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7.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GESTION MERNNR\01. PROGRAMAS BID\07. AUDITORIAS FINANCIERAS BID\01. BID II_EC-L1147\01. ETAPA PREPARATORIA\07. CERTIFICACION PAC\"/>
    </mc:Choice>
  </mc:AlternateContent>
  <bookViews>
    <workbookView xWindow="0" yWindow="0" windowWidth="20490" windowHeight="7155" firstSheet="6" activeTab="8"/>
  </bookViews>
  <sheets>
    <sheet name="AsignadosXcapital" sheetId="138" r:id="rId1"/>
    <sheet name="TechosXcompXSubcomponente" sheetId="126" r:id="rId2"/>
    <sheet name="SaldosXCapitaDetalle" sheetId="152" r:id="rId3"/>
    <sheet name="AsignadosXcomponente" sheetId="155" r:id="rId4"/>
    <sheet name="AvFIS1" sheetId="172" r:id="rId5"/>
    <sheet name="AvanceFísicoAgosto2019" sheetId="175" r:id="rId6"/>
    <sheet name="AvanceFísicoSeptiembre2019" sheetId="176" r:id="rId7"/>
    <sheet name="AvFis2" sheetId="173" r:id="rId8"/>
    <sheet name="PLAN DE ADQUISICIONES BID II" sheetId="1" r:id="rId9"/>
  </sheets>
  <definedNames>
    <definedName name="_xlnm._FilterDatabase" localSheetId="7" hidden="1">AvFis2!$B$2:$F$125</definedName>
    <definedName name="_xlnm._FilterDatabase" localSheetId="8" hidden="1">'PLAN DE ADQUISICIONES BID II'!$A$1:$OU$370</definedName>
  </definedNames>
  <calcPr calcId="152511"/>
  <pivotCaches>
    <pivotCache cacheId="3" r:id="rId10"/>
    <pivotCache cacheId="4" r:id="rId11"/>
    <pivotCache cacheId="5" r:id="rId12"/>
  </pivotCaches>
</workbook>
</file>

<file path=xl/calcChain.xml><?xml version="1.0" encoding="utf-8"?>
<calcChain xmlns="http://schemas.openxmlformats.org/spreadsheetml/2006/main">
  <c r="AI238" i="1" l="1"/>
  <c r="AD238" i="1"/>
  <c r="AH238" i="1" s="1"/>
  <c r="AF238" i="1" l="1"/>
  <c r="AJ238" i="1" s="1"/>
  <c r="AD237" i="1" l="1"/>
  <c r="AB169" i="1" l="1"/>
  <c r="AB161" i="1"/>
  <c r="AB157" i="1"/>
  <c r="AB154" i="1"/>
  <c r="AB151" i="1"/>
  <c r="AB149" i="1"/>
  <c r="AB147" i="1"/>
  <c r="AB18" i="1"/>
  <c r="AF20" i="1"/>
  <c r="AF171" i="1"/>
  <c r="AJ171" i="1" s="1"/>
  <c r="AF172" i="1"/>
  <c r="AJ172" i="1" s="1"/>
  <c r="AF173" i="1"/>
  <c r="AJ173" i="1" s="1"/>
  <c r="AF174" i="1"/>
  <c r="AJ174" i="1" s="1"/>
  <c r="AF175" i="1"/>
  <c r="AJ175" i="1" s="1"/>
  <c r="AF176" i="1"/>
  <c r="AJ176" i="1" s="1"/>
  <c r="AF170" i="1"/>
  <c r="AJ170" i="1" s="1"/>
  <c r="AH171" i="1"/>
  <c r="AH172" i="1"/>
  <c r="AH173" i="1"/>
  <c r="AH174" i="1"/>
  <c r="AH175" i="1"/>
  <c r="AH176" i="1"/>
  <c r="AH170" i="1"/>
  <c r="AI176" i="1"/>
  <c r="AI175" i="1"/>
  <c r="AI174" i="1"/>
  <c r="AI173" i="1"/>
  <c r="AI172" i="1"/>
  <c r="AI171" i="1"/>
  <c r="AI170" i="1"/>
  <c r="BO44" i="1" l="1"/>
  <c r="BO41" i="1"/>
  <c r="AI48" i="1"/>
  <c r="AH48" i="1"/>
  <c r="AF48" i="1"/>
  <c r="AJ48" i="1" s="1"/>
  <c r="AI47" i="1"/>
  <c r="AD47" i="1"/>
  <c r="AH47" i="1" s="1"/>
  <c r="AI46" i="1"/>
  <c r="AD46" i="1"/>
  <c r="AH46" i="1" s="1"/>
  <c r="AI45" i="1"/>
  <c r="AH45" i="1"/>
  <c r="AF45" i="1"/>
  <c r="AJ45" i="1" s="1"/>
  <c r="AF47" i="1" l="1"/>
  <c r="AJ47" i="1" s="1"/>
  <c r="AF46" i="1"/>
  <c r="AJ46" i="1" s="1"/>
  <c r="BG362" i="1"/>
  <c r="AI362" i="1"/>
  <c r="AH362" i="1"/>
  <c r="AF362" i="1"/>
  <c r="AJ362" i="1" s="1"/>
  <c r="BG368" i="1"/>
  <c r="AI368" i="1"/>
  <c r="AH368" i="1"/>
  <c r="AF368" i="1"/>
  <c r="AJ368" i="1" s="1"/>
  <c r="AD184" i="1"/>
  <c r="AL325" i="1" l="1"/>
  <c r="AL327" i="1"/>
  <c r="AL326" i="1"/>
  <c r="AL146" i="1"/>
  <c r="AL145" i="1"/>
  <c r="AL185" i="1"/>
  <c r="AL278" i="1"/>
  <c r="AL279" i="1"/>
  <c r="AL244" i="1"/>
  <c r="AL243" i="1"/>
  <c r="AL65" i="1"/>
  <c r="AS148" i="1" l="1"/>
  <c r="AT148" i="1" s="1"/>
  <c r="AS217" i="1"/>
  <c r="AT217" i="1" s="1"/>
  <c r="AS216" i="1"/>
  <c r="AT216" i="1" s="1"/>
  <c r="AS214" i="1"/>
  <c r="AT214" i="1" s="1"/>
  <c r="AS215" i="1"/>
  <c r="AT215" i="1" s="1"/>
  <c r="AS60" i="1"/>
  <c r="AT60" i="1" s="1"/>
  <c r="EJ188" i="1" l="1"/>
  <c r="AP188" i="1" l="1"/>
  <c r="AS188" i="1" s="1"/>
  <c r="AT188" i="1" s="1"/>
  <c r="EJ148" i="1"/>
  <c r="AC188" i="1"/>
  <c r="G36" i="176" l="1"/>
  <c r="H36" i="176" s="1"/>
  <c r="F36" i="176"/>
  <c r="D29" i="176"/>
  <c r="D30" i="176"/>
  <c r="D46" i="176"/>
  <c r="D43" i="176"/>
  <c r="D31" i="176"/>
  <c r="D32" i="176"/>
  <c r="D33" i="176"/>
  <c r="D34" i="176"/>
  <c r="D35" i="176"/>
  <c r="D36" i="176"/>
  <c r="D37" i="176"/>
  <c r="D45" i="176"/>
  <c r="D38" i="176"/>
  <c r="D39" i="176"/>
  <c r="D40" i="176"/>
  <c r="D47" i="176"/>
  <c r="D41" i="176"/>
  <c r="D42" i="176"/>
  <c r="D48" i="176"/>
  <c r="D28" i="176"/>
  <c r="E125" i="173"/>
  <c r="F39" i="173"/>
  <c r="F40" i="173"/>
  <c r="F41" i="173"/>
  <c r="F42" i="173"/>
  <c r="F43" i="173"/>
  <c r="F44" i="173"/>
  <c r="F45" i="173"/>
  <c r="F46" i="173"/>
  <c r="F47" i="173"/>
  <c r="F48" i="173"/>
  <c r="F49" i="173"/>
  <c r="F50" i="173"/>
  <c r="F51" i="173"/>
  <c r="F52" i="173"/>
  <c r="F53" i="173"/>
  <c r="F54" i="173"/>
  <c r="F55" i="173"/>
  <c r="F56" i="173"/>
  <c r="F57" i="173"/>
  <c r="F58" i="173"/>
  <c r="F59" i="173"/>
  <c r="F60" i="173"/>
  <c r="F61" i="173"/>
  <c r="F62" i="173"/>
  <c r="F63" i="173"/>
  <c r="F64" i="173"/>
  <c r="F65" i="173"/>
  <c r="F66" i="173"/>
  <c r="F67" i="173"/>
  <c r="F68" i="173"/>
  <c r="F69" i="173"/>
  <c r="F70" i="173"/>
  <c r="F71" i="173"/>
  <c r="F72" i="173"/>
  <c r="F73" i="173"/>
  <c r="F74" i="173"/>
  <c r="F75" i="173"/>
  <c r="F76" i="173"/>
  <c r="F77" i="173"/>
  <c r="F78" i="173"/>
  <c r="F79" i="173"/>
  <c r="F80" i="173"/>
  <c r="F81" i="173"/>
  <c r="F82" i="173"/>
  <c r="F83" i="173"/>
  <c r="F84" i="173"/>
  <c r="F85" i="173"/>
  <c r="F86" i="173"/>
  <c r="F87" i="173"/>
  <c r="F88" i="173"/>
  <c r="F89" i="173"/>
  <c r="F90" i="173"/>
  <c r="F91" i="173"/>
  <c r="F92" i="173"/>
  <c r="F93" i="173"/>
  <c r="F94" i="173"/>
  <c r="F95" i="173"/>
  <c r="F96" i="173"/>
  <c r="F97" i="173"/>
  <c r="F98" i="173"/>
  <c r="F99" i="173"/>
  <c r="F100" i="173"/>
  <c r="F101" i="173"/>
  <c r="F102" i="173"/>
  <c r="F103" i="173"/>
  <c r="F104" i="173"/>
  <c r="F105" i="173"/>
  <c r="F106" i="173"/>
  <c r="F107" i="173"/>
  <c r="F108" i="173"/>
  <c r="F109" i="173"/>
  <c r="F110" i="173"/>
  <c r="F111" i="173"/>
  <c r="F112" i="173"/>
  <c r="F113" i="173"/>
  <c r="F114" i="173"/>
  <c r="F115" i="173"/>
  <c r="F116" i="173"/>
  <c r="F117" i="173"/>
  <c r="F118" i="173"/>
  <c r="F119" i="173"/>
  <c r="F120" i="173"/>
  <c r="F121" i="173"/>
  <c r="F122" i="173"/>
  <c r="F123" i="173"/>
  <c r="F124" i="173"/>
  <c r="IH44" i="1"/>
  <c r="AI44" i="1"/>
  <c r="AH44" i="1"/>
  <c r="AF44" i="1"/>
  <c r="AJ44" i="1" s="1"/>
  <c r="IH42" i="1"/>
  <c r="BO42" i="1"/>
  <c r="AI42" i="1"/>
  <c r="AD42" i="1"/>
  <c r="IH43" i="1"/>
  <c r="BO43" i="1"/>
  <c r="AI43" i="1"/>
  <c r="AD43" i="1"/>
  <c r="AH43" i="1" s="1"/>
  <c r="AH42" i="1" l="1"/>
  <c r="AF42" i="1"/>
  <c r="AJ42" i="1" s="1"/>
  <c r="AF43" i="1"/>
  <c r="AJ43" i="1" s="1"/>
  <c r="C51" i="175"/>
  <c r="D51" i="175" s="1"/>
  <c r="B51" i="175"/>
  <c r="D29" i="175" l="1"/>
  <c r="D30" i="175"/>
  <c r="D46" i="175"/>
  <c r="D43" i="175"/>
  <c r="D31" i="175"/>
  <c r="D32" i="175"/>
  <c r="D33" i="175"/>
  <c r="D34" i="175"/>
  <c r="D35" i="175"/>
  <c r="D36" i="175"/>
  <c r="D37" i="175"/>
  <c r="D45" i="175"/>
  <c r="D38" i="175"/>
  <c r="D39" i="175"/>
  <c r="D40" i="175"/>
  <c r="D47" i="175"/>
  <c r="D41" i="175"/>
  <c r="D42" i="175"/>
  <c r="D48" i="175"/>
  <c r="D28" i="175"/>
  <c r="F38" i="173" l="1"/>
  <c r="F37" i="173"/>
  <c r="F36" i="173"/>
  <c r="F35" i="173"/>
  <c r="F34" i="173"/>
  <c r="F33" i="173"/>
  <c r="F32" i="173"/>
  <c r="F31" i="173"/>
  <c r="F30" i="173"/>
  <c r="F29" i="173"/>
  <c r="F28" i="173"/>
  <c r="F27" i="173"/>
  <c r="F26" i="173"/>
  <c r="F25" i="173"/>
  <c r="F24" i="173"/>
  <c r="F23" i="173"/>
  <c r="F22" i="173"/>
  <c r="F21" i="173"/>
  <c r="F20" i="173"/>
  <c r="F19" i="173"/>
  <c r="F18" i="173"/>
  <c r="F17" i="173"/>
  <c r="F16" i="173"/>
  <c r="F15" i="173"/>
  <c r="F14" i="173"/>
  <c r="F13" i="173"/>
  <c r="F12" i="173"/>
  <c r="F11" i="173"/>
  <c r="F10" i="173"/>
  <c r="F9" i="173"/>
  <c r="F8" i="173"/>
  <c r="F7" i="173"/>
  <c r="F6" i="173"/>
  <c r="F5" i="173"/>
  <c r="F4" i="173"/>
  <c r="AL352" i="1" l="1"/>
  <c r="AL15" i="1"/>
  <c r="F3" i="173" l="1"/>
  <c r="F125" i="173" l="1"/>
  <c r="AL82" i="1"/>
  <c r="AI168" i="1" l="1"/>
  <c r="AI167" i="1"/>
  <c r="AI166" i="1"/>
  <c r="AI165" i="1"/>
  <c r="AI164" i="1"/>
  <c r="AI163" i="1"/>
  <c r="AI162" i="1"/>
  <c r="AL178" i="1" l="1"/>
  <c r="AL177" i="1"/>
  <c r="AL222" i="1"/>
  <c r="AL221" i="1"/>
  <c r="AL70" i="1"/>
  <c r="AK376" i="1"/>
  <c r="AL378" i="1" l="1"/>
  <c r="AL195" i="1"/>
  <c r="AL259" i="1" l="1"/>
  <c r="AL255" i="1"/>
  <c r="AL254" i="1"/>
  <c r="AL253" i="1"/>
  <c r="AL252" i="1"/>
  <c r="AL203" i="1" l="1"/>
  <c r="AE78" i="1" l="1"/>
  <c r="AE76" i="1"/>
  <c r="AL348" i="1"/>
  <c r="AL347" i="1"/>
  <c r="AL346" i="1"/>
  <c r="AL345" i="1"/>
  <c r="AL283" i="1"/>
  <c r="AL276" i="1"/>
  <c r="AL275" i="1"/>
  <c r="AL273" i="1"/>
  <c r="AL270" i="1"/>
  <c r="AL269" i="1"/>
  <c r="AL268" i="1"/>
  <c r="AL266" i="1"/>
  <c r="AL265" i="1"/>
  <c r="AL263" i="1"/>
  <c r="AL262" i="1"/>
  <c r="AL260" i="1"/>
  <c r="AL256" i="1"/>
  <c r="AL247" i="1"/>
  <c r="AL246" i="1"/>
  <c r="AL245" i="1"/>
  <c r="AL242" i="1"/>
  <c r="AL241" i="1"/>
  <c r="AL234" i="1"/>
  <c r="AL223" i="1"/>
  <c r="AE124" i="1"/>
  <c r="AL86" i="1"/>
  <c r="AL75" i="1"/>
  <c r="AL74" i="1"/>
  <c r="AL73" i="1"/>
  <c r="AL72" i="1"/>
  <c r="AL71" i="1"/>
  <c r="AL69" i="1"/>
  <c r="AL68" i="1"/>
  <c r="AL67" i="1"/>
  <c r="AL66" i="1"/>
  <c r="AL64" i="1"/>
  <c r="AL63" i="1"/>
  <c r="AL40" i="1"/>
  <c r="AL39" i="1"/>
  <c r="AL38" i="1"/>
  <c r="AL37" i="1"/>
  <c r="AL36" i="1"/>
  <c r="AL35" i="1"/>
  <c r="AL34" i="1"/>
  <c r="AL33" i="1"/>
  <c r="AL32" i="1"/>
  <c r="AL31" i="1"/>
  <c r="AL30" i="1"/>
  <c r="AL29" i="1"/>
  <c r="AL28" i="1"/>
  <c r="AL358" i="1"/>
  <c r="AL356" i="1"/>
  <c r="AL341" i="1"/>
  <c r="AL340" i="1"/>
  <c r="AL339" i="1"/>
  <c r="AL342" i="1"/>
  <c r="AL337" i="1"/>
  <c r="AL336" i="1"/>
  <c r="AL335" i="1"/>
  <c r="AL334" i="1"/>
  <c r="AL333" i="1"/>
  <c r="AL332" i="1"/>
  <c r="AL210" i="1"/>
  <c r="AL209" i="1"/>
  <c r="AL208" i="1"/>
  <c r="AL206" i="1"/>
  <c r="AL205" i="1"/>
  <c r="AL204" i="1"/>
  <c r="AL202" i="1"/>
  <c r="AL201" i="1"/>
  <c r="AL200" i="1"/>
  <c r="AL27" i="1"/>
  <c r="AL218" i="1"/>
  <c r="AL344" i="1"/>
  <c r="AL343" i="1"/>
  <c r="AE222" i="1"/>
  <c r="AE221" i="1"/>
  <c r="AL219" i="1"/>
  <c r="AL220" i="1"/>
  <c r="AL370" i="1"/>
  <c r="AL26" i="1"/>
  <c r="AE178" i="1"/>
  <c r="AE177" i="1"/>
  <c r="AL331" i="1"/>
  <c r="AL330" i="1"/>
  <c r="AL329" i="1"/>
  <c r="AL181" i="1"/>
  <c r="AL180" i="1"/>
  <c r="AL179" i="1"/>
  <c r="AL24" i="1"/>
  <c r="AL199" i="1"/>
  <c r="AL198" i="1"/>
  <c r="AL197" i="1"/>
  <c r="AL196" i="1"/>
  <c r="AL23" i="1"/>
  <c r="AL150" i="1"/>
  <c r="AL25" i="1"/>
  <c r="AL22" i="1"/>
  <c r="AL2" i="1"/>
  <c r="F264" i="152"/>
  <c r="H264" i="152"/>
  <c r="AL161" i="1" l="1"/>
  <c r="AL149" i="1"/>
  <c r="AL169" i="1"/>
  <c r="AL157" i="1"/>
  <c r="AL154" i="1"/>
  <c r="AE151" i="1"/>
  <c r="AL147" i="1"/>
  <c r="AL18" i="1"/>
  <c r="AL350" i="1"/>
  <c r="AL183" i="1"/>
  <c r="AL355" i="1"/>
  <c r="AM354" i="1"/>
  <c r="AM353" i="1"/>
  <c r="AM184" i="1"/>
  <c r="AL182" i="1"/>
  <c r="AL189" i="1"/>
  <c r="AE195" i="1"/>
  <c r="AL16" i="1"/>
  <c r="AL144" i="1"/>
  <c r="AE143" i="1"/>
  <c r="AL6" i="1"/>
  <c r="AL5" i="1"/>
  <c r="AL13" i="1"/>
  <c r="AL14" i="1"/>
  <c r="AL137" i="1"/>
  <c r="AL320" i="1"/>
  <c r="AL319" i="1"/>
  <c r="AL324" i="1"/>
  <c r="AL313" i="1"/>
  <c r="AL323" i="1"/>
  <c r="AL142" i="1"/>
  <c r="AL141" i="1"/>
  <c r="AL140" i="1"/>
  <c r="AL136" i="1"/>
  <c r="AL134" i="1"/>
  <c r="AL133" i="1"/>
  <c r="AL138" i="1"/>
  <c r="AL132" i="1"/>
  <c r="AL322" i="1"/>
  <c r="AL321" i="1"/>
  <c r="AL186" i="1"/>
  <c r="AL3" i="1"/>
  <c r="AE4" i="1"/>
  <c r="AL128" i="1"/>
  <c r="AL288" i="1"/>
  <c r="AL131" i="1"/>
  <c r="AL130" i="1"/>
  <c r="AL129" i="1"/>
  <c r="AL126" i="1"/>
  <c r="AL127" i="1"/>
  <c r="AE300" i="1"/>
  <c r="AE298" i="1"/>
  <c r="AL299" i="1"/>
  <c r="AE297" i="1"/>
  <c r="AM296" i="1"/>
  <c r="AE125" i="1"/>
  <c r="AM123" i="1"/>
  <c r="AL122" i="1"/>
  <c r="AM121" i="1"/>
  <c r="AE120" i="1"/>
  <c r="AM119" i="1"/>
  <c r="AL293" i="1"/>
  <c r="AL292" i="1"/>
  <c r="AI294" i="1"/>
  <c r="AM291" i="1"/>
  <c r="AM290" i="1"/>
  <c r="AL117" i="1"/>
  <c r="AL118" i="1"/>
  <c r="AL116" i="1"/>
  <c r="AL281" i="1"/>
  <c r="AL280" i="1"/>
  <c r="AL284" i="1"/>
  <c r="AL277" i="1"/>
  <c r="AL282" i="1"/>
  <c r="AL108" i="1"/>
  <c r="AL107" i="1"/>
  <c r="AL111" i="1"/>
  <c r="AL104" i="1"/>
  <c r="AL101" i="1"/>
  <c r="AL233" i="1"/>
  <c r="AL99" i="1"/>
  <c r="AL90" i="1"/>
  <c r="AL91" i="1"/>
  <c r="AL100" i="1"/>
  <c r="AL224" i="1"/>
  <c r="AL95" i="1"/>
  <c r="AL96" i="1"/>
  <c r="AL97" i="1"/>
  <c r="AL94" i="1"/>
  <c r="AL89" i="1"/>
  <c r="AL80" i="1"/>
  <c r="AI78" i="1"/>
  <c r="AI76" i="1"/>
  <c r="AL83" i="1"/>
  <c r="AH87" i="1"/>
  <c r="AM87" i="1"/>
  <c r="AI374" i="1"/>
  <c r="AB62" i="1"/>
  <c r="AE371" i="1" l="1"/>
  <c r="AS236" i="1" l="1"/>
  <c r="AT236" i="1" s="1"/>
  <c r="AK372" i="1" l="1"/>
  <c r="IH3" i="1" l="1"/>
  <c r="IH4" i="1"/>
  <c r="IH5" i="1"/>
  <c r="IH6" i="1"/>
  <c r="IH7" i="1"/>
  <c r="IH8" i="1"/>
  <c r="IH9" i="1"/>
  <c r="IH10" i="1"/>
  <c r="IH11" i="1"/>
  <c r="IH12" i="1"/>
  <c r="IH13" i="1"/>
  <c r="IH14" i="1"/>
  <c r="IH15" i="1"/>
  <c r="IH16" i="1"/>
  <c r="IH17" i="1"/>
  <c r="IH18" i="1"/>
  <c r="IH19" i="1"/>
  <c r="IH20" i="1"/>
  <c r="IH21" i="1"/>
  <c r="IH22" i="1"/>
  <c r="IH23" i="1"/>
  <c r="IH24" i="1"/>
  <c r="IH25" i="1"/>
  <c r="IH26" i="1"/>
  <c r="IH27" i="1"/>
  <c r="IH28" i="1"/>
  <c r="IH29" i="1"/>
  <c r="IH30" i="1"/>
  <c r="IH31" i="1"/>
  <c r="IH32" i="1"/>
  <c r="IH33" i="1"/>
  <c r="IH34" i="1"/>
  <c r="IH35" i="1"/>
  <c r="IH36" i="1"/>
  <c r="IH37" i="1"/>
  <c r="IH38" i="1"/>
  <c r="IH39" i="1"/>
  <c r="IH40" i="1"/>
  <c r="IH41" i="1"/>
  <c r="IH49" i="1"/>
  <c r="IH50" i="1"/>
  <c r="IH51" i="1"/>
  <c r="IH52" i="1"/>
  <c r="IH53" i="1"/>
  <c r="IH54" i="1"/>
  <c r="IH55" i="1"/>
  <c r="IH60" i="1"/>
  <c r="IH62" i="1"/>
  <c r="IH63" i="1"/>
  <c r="IH64" i="1"/>
  <c r="IH65" i="1"/>
  <c r="IH66" i="1"/>
  <c r="IH67" i="1"/>
  <c r="IH68" i="1"/>
  <c r="IH69" i="1"/>
  <c r="IH70" i="1"/>
  <c r="IH71" i="1"/>
  <c r="IH72" i="1"/>
  <c r="IH73" i="1"/>
  <c r="IH74" i="1"/>
  <c r="IH75" i="1"/>
  <c r="IH76" i="1"/>
  <c r="IH77" i="1"/>
  <c r="IH78" i="1"/>
  <c r="IH79" i="1"/>
  <c r="IH80" i="1"/>
  <c r="IH81" i="1"/>
  <c r="IH82" i="1"/>
  <c r="IH83" i="1"/>
  <c r="IH84" i="1"/>
  <c r="IH85" i="1"/>
  <c r="IH86" i="1"/>
  <c r="IH87" i="1"/>
  <c r="IH88" i="1"/>
  <c r="IH89" i="1"/>
  <c r="IH90" i="1"/>
  <c r="IH91" i="1"/>
  <c r="IH92" i="1"/>
  <c r="IH93" i="1"/>
  <c r="IH94" i="1"/>
  <c r="IH95" i="1"/>
  <c r="IH96" i="1"/>
  <c r="IH97" i="1"/>
  <c r="IH98" i="1"/>
  <c r="IH99" i="1"/>
  <c r="IH100" i="1"/>
  <c r="IH101" i="1"/>
  <c r="IH102" i="1"/>
  <c r="IH103" i="1"/>
  <c r="IH104" i="1"/>
  <c r="IH105" i="1"/>
  <c r="IH106" i="1"/>
  <c r="IH107" i="1"/>
  <c r="IH108" i="1"/>
  <c r="IH109" i="1"/>
  <c r="IH110" i="1"/>
  <c r="IH111" i="1"/>
  <c r="IH112" i="1"/>
  <c r="IH113" i="1"/>
  <c r="IH114" i="1"/>
  <c r="IH115" i="1"/>
  <c r="IH116" i="1"/>
  <c r="IH117" i="1"/>
  <c r="IH118" i="1"/>
  <c r="IH119" i="1"/>
  <c r="IH120" i="1"/>
  <c r="IH121" i="1"/>
  <c r="IH122" i="1"/>
  <c r="IH123" i="1"/>
  <c r="IH124" i="1"/>
  <c r="IH125" i="1"/>
  <c r="IH126" i="1"/>
  <c r="IH127" i="1"/>
  <c r="IH128" i="1"/>
  <c r="IH129" i="1"/>
  <c r="IH130" i="1"/>
  <c r="IH131" i="1"/>
  <c r="IH132" i="1"/>
  <c r="IH133" i="1"/>
  <c r="IH134" i="1"/>
  <c r="IH135" i="1"/>
  <c r="IH136" i="1"/>
  <c r="IH137" i="1"/>
  <c r="IH138" i="1"/>
  <c r="IH139" i="1"/>
  <c r="IH140" i="1"/>
  <c r="IH141" i="1"/>
  <c r="IH142" i="1"/>
  <c r="IH143" i="1"/>
  <c r="IH144" i="1"/>
  <c r="IH145" i="1"/>
  <c r="IH146" i="1"/>
  <c r="IH147" i="1"/>
  <c r="IH148" i="1"/>
  <c r="IH149" i="1"/>
  <c r="IH150" i="1"/>
  <c r="IH151" i="1"/>
  <c r="IH152" i="1"/>
  <c r="IH153" i="1"/>
  <c r="IH154" i="1"/>
  <c r="IH155" i="1"/>
  <c r="IH156" i="1"/>
  <c r="IH157" i="1"/>
  <c r="IH158" i="1"/>
  <c r="IH159" i="1"/>
  <c r="IH160" i="1"/>
  <c r="IH161" i="1"/>
  <c r="IH169" i="1"/>
  <c r="IH177" i="1"/>
  <c r="IH178" i="1"/>
  <c r="IH179" i="1"/>
  <c r="IH180" i="1"/>
  <c r="IH181" i="1"/>
  <c r="IH182" i="1"/>
  <c r="IH183" i="1"/>
  <c r="IH184" i="1"/>
  <c r="IH185" i="1"/>
  <c r="IH186" i="1"/>
  <c r="IH187" i="1"/>
  <c r="IH188" i="1"/>
  <c r="IH189" i="1"/>
  <c r="IH190" i="1"/>
  <c r="IH191" i="1"/>
  <c r="IH192" i="1"/>
  <c r="IH193" i="1"/>
  <c r="IH194" i="1"/>
  <c r="IH195" i="1"/>
  <c r="IH196" i="1"/>
  <c r="IH197" i="1"/>
  <c r="IH198" i="1"/>
  <c r="IH199" i="1"/>
  <c r="IH200" i="1"/>
  <c r="IH201" i="1"/>
  <c r="IH202" i="1"/>
  <c r="IH203" i="1"/>
  <c r="IH204" i="1"/>
  <c r="IH205" i="1"/>
  <c r="IH206" i="1"/>
  <c r="IH207" i="1"/>
  <c r="IH208" i="1"/>
  <c r="IH209" i="1"/>
  <c r="IH210" i="1"/>
  <c r="IH211" i="1"/>
  <c r="IH212" i="1"/>
  <c r="IH213" i="1"/>
  <c r="IH217" i="1"/>
  <c r="IH218" i="1"/>
  <c r="IH219" i="1"/>
  <c r="IH220" i="1"/>
  <c r="IH221" i="1"/>
  <c r="IH222" i="1"/>
  <c r="IH223" i="1"/>
  <c r="IH224" i="1"/>
  <c r="IH225" i="1"/>
  <c r="IH226" i="1"/>
  <c r="IH227" i="1"/>
  <c r="IH228" i="1"/>
  <c r="IH229" i="1"/>
  <c r="IH230" i="1"/>
  <c r="IH231" i="1"/>
  <c r="IH232" i="1"/>
  <c r="IH233" i="1"/>
  <c r="IH234" i="1"/>
  <c r="IH235" i="1"/>
  <c r="IH236" i="1"/>
  <c r="IH237" i="1"/>
  <c r="IH239" i="1"/>
  <c r="IH240" i="1"/>
  <c r="IH241" i="1"/>
  <c r="IH242" i="1"/>
  <c r="IH243" i="1"/>
  <c r="IH244" i="1"/>
  <c r="IH245" i="1"/>
  <c r="IH246" i="1"/>
  <c r="IH247" i="1"/>
  <c r="IH248" i="1"/>
  <c r="IH249" i="1"/>
  <c r="IH250" i="1"/>
  <c r="IH251" i="1"/>
  <c r="IH252" i="1"/>
  <c r="IH253" i="1"/>
  <c r="IH254" i="1"/>
  <c r="IH255" i="1"/>
  <c r="IH256" i="1"/>
  <c r="IH257" i="1"/>
  <c r="IH258" i="1"/>
  <c r="IH259" i="1"/>
  <c r="IH260" i="1"/>
  <c r="IH261" i="1"/>
  <c r="IH262" i="1"/>
  <c r="IH263" i="1"/>
  <c r="IH264" i="1"/>
  <c r="IH265" i="1"/>
  <c r="IH266" i="1"/>
  <c r="IH267" i="1"/>
  <c r="IH268" i="1"/>
  <c r="IH269" i="1"/>
  <c r="IH270" i="1"/>
  <c r="IH271" i="1"/>
  <c r="IH272" i="1"/>
  <c r="IH273" i="1"/>
  <c r="IH274" i="1"/>
  <c r="IH275" i="1"/>
  <c r="IH276" i="1"/>
  <c r="IH277" i="1"/>
  <c r="IH278" i="1"/>
  <c r="IH279" i="1"/>
  <c r="IH280" i="1"/>
  <c r="IH281" i="1"/>
  <c r="IH282" i="1"/>
  <c r="IH283" i="1"/>
  <c r="IH284" i="1"/>
  <c r="IH285" i="1"/>
  <c r="IH286" i="1"/>
  <c r="IH287" i="1"/>
  <c r="IH288" i="1"/>
  <c r="IH289" i="1"/>
  <c r="IH290" i="1"/>
  <c r="IH291" i="1"/>
  <c r="IH292" i="1"/>
  <c r="IH293" i="1"/>
  <c r="IH294" i="1"/>
  <c r="IH295" i="1"/>
  <c r="IH296" i="1"/>
  <c r="IH297" i="1"/>
  <c r="IH298" i="1"/>
  <c r="IH299" i="1"/>
  <c r="IH300" i="1"/>
  <c r="IH301" i="1"/>
  <c r="IH302" i="1"/>
  <c r="IH303" i="1"/>
  <c r="IH304" i="1"/>
  <c r="IH305" i="1"/>
  <c r="IH306" i="1"/>
  <c r="IH307" i="1"/>
  <c r="IH308" i="1"/>
  <c r="IH309" i="1"/>
  <c r="IH310" i="1"/>
  <c r="IH311" i="1"/>
  <c r="IH312" i="1"/>
  <c r="IH313" i="1"/>
  <c r="IH314" i="1"/>
  <c r="IH315" i="1"/>
  <c r="IH316" i="1"/>
  <c r="IH317" i="1"/>
  <c r="IH318" i="1"/>
  <c r="IH319" i="1"/>
  <c r="IH320" i="1"/>
  <c r="IH321" i="1"/>
  <c r="IH322" i="1"/>
  <c r="IH323" i="1"/>
  <c r="IH324" i="1"/>
  <c r="IH325" i="1"/>
  <c r="IH326" i="1"/>
  <c r="IH327" i="1"/>
  <c r="IH328" i="1"/>
  <c r="IH329" i="1"/>
  <c r="IH330" i="1"/>
  <c r="IH331" i="1"/>
  <c r="IH332" i="1"/>
  <c r="IH333" i="1"/>
  <c r="IH334" i="1"/>
  <c r="IH335" i="1"/>
  <c r="IH336" i="1"/>
  <c r="IH337" i="1"/>
  <c r="IH338" i="1"/>
  <c r="IH339" i="1"/>
  <c r="IH340" i="1"/>
  <c r="IH341" i="1"/>
  <c r="IH342" i="1"/>
  <c r="IH343" i="1"/>
  <c r="IH344" i="1"/>
  <c r="IH345" i="1"/>
  <c r="IH346" i="1"/>
  <c r="IH347" i="1"/>
  <c r="IH348" i="1"/>
  <c r="IH349" i="1"/>
  <c r="IH350" i="1"/>
  <c r="IH351" i="1"/>
  <c r="IH352" i="1"/>
  <c r="IH353" i="1"/>
  <c r="IH354" i="1"/>
  <c r="IH355" i="1"/>
  <c r="IH356" i="1"/>
  <c r="IH357" i="1"/>
  <c r="IH358" i="1"/>
  <c r="IH359" i="1"/>
  <c r="IH360" i="1"/>
  <c r="IH361" i="1"/>
  <c r="IH363" i="1"/>
  <c r="IH364" i="1"/>
  <c r="IH365" i="1"/>
  <c r="IH366" i="1"/>
  <c r="IH367" i="1"/>
  <c r="IH369" i="1"/>
  <c r="IH370" i="1"/>
  <c r="IH2" i="1"/>
  <c r="IG371" i="1"/>
  <c r="AK371" i="1"/>
  <c r="IH371" i="1" l="1"/>
  <c r="AF54" i="1"/>
  <c r="AJ54" i="1" s="1"/>
  <c r="AH54" i="1"/>
  <c r="AI53" i="1"/>
  <c r="AH53" i="1"/>
  <c r="AF53" i="1"/>
  <c r="AJ53" i="1" s="1"/>
  <c r="AI52" i="1"/>
  <c r="AH52" i="1"/>
  <c r="AF52" i="1"/>
  <c r="AJ52" i="1" s="1"/>
  <c r="BQ50" i="1" l="1"/>
  <c r="BS50" i="1" s="1"/>
  <c r="BO50" i="1"/>
  <c r="BT50" i="1" l="1"/>
  <c r="CA50" i="1" s="1"/>
  <c r="AJ20" i="1" l="1"/>
  <c r="AI3" i="1"/>
  <c r="AI5"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9" i="1"/>
  <c r="AI50" i="1"/>
  <c r="AI51" i="1"/>
  <c r="AI60" i="1"/>
  <c r="AI62" i="1"/>
  <c r="AI63" i="1"/>
  <c r="AI64" i="1"/>
  <c r="AI65" i="1"/>
  <c r="AI66" i="1"/>
  <c r="AI67" i="1"/>
  <c r="AI68" i="1"/>
  <c r="AI69" i="1"/>
  <c r="AI71" i="1"/>
  <c r="AI72" i="1"/>
  <c r="AI73" i="1"/>
  <c r="AI74" i="1"/>
  <c r="AI75" i="1"/>
  <c r="AI77"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52" i="1"/>
  <c r="AI153" i="1"/>
  <c r="AI154" i="1"/>
  <c r="AI155" i="1"/>
  <c r="AI156" i="1"/>
  <c r="AI157" i="1"/>
  <c r="AI158" i="1"/>
  <c r="AI159" i="1"/>
  <c r="AI160" i="1"/>
  <c r="AI161" i="1"/>
  <c r="AI169" i="1"/>
  <c r="AI177" i="1"/>
  <c r="AI178" i="1"/>
  <c r="AI179" i="1"/>
  <c r="AI180" i="1"/>
  <c r="AI181" i="1"/>
  <c r="AI182" i="1"/>
  <c r="AI183" i="1"/>
  <c r="AI184" i="1"/>
  <c r="AI185" i="1"/>
  <c r="AI186" i="1"/>
  <c r="AI187" i="1"/>
  <c r="AI188" i="1"/>
  <c r="AI189" i="1"/>
  <c r="AI190" i="1"/>
  <c r="AI191" i="1"/>
  <c r="AI192" i="1"/>
  <c r="AI193" i="1"/>
  <c r="AI194" i="1"/>
  <c r="AI195" i="1"/>
  <c r="AI196" i="1"/>
  <c r="AI197" i="1"/>
  <c r="AI198" i="1"/>
  <c r="AI199" i="1"/>
  <c r="AI200" i="1"/>
  <c r="AI201" i="1"/>
  <c r="AI202" i="1"/>
  <c r="AI203" i="1"/>
  <c r="AI204" i="1"/>
  <c r="AI205" i="1"/>
  <c r="AI206" i="1"/>
  <c r="AI207" i="1"/>
  <c r="AI208" i="1"/>
  <c r="AI209" i="1"/>
  <c r="AI210" i="1"/>
  <c r="AI211" i="1"/>
  <c r="AI212" i="1"/>
  <c r="AI213" i="1"/>
  <c r="AI217" i="1"/>
  <c r="AI218" i="1"/>
  <c r="AI219" i="1"/>
  <c r="AI220" i="1"/>
  <c r="AI221" i="1"/>
  <c r="AI222" i="1"/>
  <c r="AI223" i="1"/>
  <c r="AI224" i="1"/>
  <c r="AI225" i="1"/>
  <c r="AI226" i="1"/>
  <c r="AI227" i="1"/>
  <c r="AI228" i="1"/>
  <c r="AI229" i="1"/>
  <c r="AI230" i="1"/>
  <c r="AI231" i="1"/>
  <c r="AI232" i="1"/>
  <c r="AI233" i="1"/>
  <c r="AI234" i="1"/>
  <c r="AI235" i="1"/>
  <c r="AI236" i="1"/>
  <c r="AI237" i="1"/>
  <c r="AI239" i="1"/>
  <c r="AI240" i="1"/>
  <c r="AI241" i="1"/>
  <c r="AI242" i="1"/>
  <c r="AI243" i="1"/>
  <c r="AI244" i="1"/>
  <c r="AI245" i="1"/>
  <c r="AI246" i="1"/>
  <c r="AI247" i="1"/>
  <c r="AI248" i="1"/>
  <c r="AI249" i="1"/>
  <c r="AI250" i="1"/>
  <c r="AI251" i="1"/>
  <c r="AI252" i="1"/>
  <c r="AI253" i="1"/>
  <c r="AI254" i="1"/>
  <c r="AI255" i="1"/>
  <c r="AI256" i="1"/>
  <c r="AI257" i="1"/>
  <c r="AI258" i="1"/>
  <c r="AI259" i="1"/>
  <c r="AI260" i="1"/>
  <c r="AI261" i="1"/>
  <c r="AI262" i="1"/>
  <c r="AI263" i="1"/>
  <c r="AI264" i="1"/>
  <c r="AI265" i="1"/>
  <c r="AI266" i="1"/>
  <c r="AI267" i="1"/>
  <c r="AI268" i="1"/>
  <c r="AI269" i="1"/>
  <c r="AI270" i="1"/>
  <c r="AI271" i="1"/>
  <c r="AI272" i="1"/>
  <c r="AI273" i="1"/>
  <c r="AI274" i="1"/>
  <c r="AI275" i="1"/>
  <c r="AI276" i="1"/>
  <c r="AI277" i="1"/>
  <c r="AI278" i="1"/>
  <c r="AI279" i="1"/>
  <c r="AI280" i="1"/>
  <c r="AI281" i="1"/>
  <c r="AI282" i="1"/>
  <c r="AI283" i="1"/>
  <c r="AI284" i="1"/>
  <c r="AI285" i="1"/>
  <c r="AI286" i="1"/>
  <c r="AI287" i="1"/>
  <c r="AI288" i="1"/>
  <c r="AI289" i="1"/>
  <c r="AI290" i="1"/>
  <c r="AI291" i="1"/>
  <c r="AI292" i="1"/>
  <c r="AI293" i="1"/>
  <c r="AI295" i="1"/>
  <c r="AI296" i="1"/>
  <c r="AI297" i="1"/>
  <c r="AI298" i="1"/>
  <c r="AI299" i="1"/>
  <c r="AI300" i="1"/>
  <c r="AI301" i="1"/>
  <c r="AI302" i="1"/>
  <c r="AI303" i="1"/>
  <c r="AI304" i="1"/>
  <c r="AI305" i="1"/>
  <c r="AI306" i="1"/>
  <c r="AI307" i="1"/>
  <c r="AI308" i="1"/>
  <c r="AI309" i="1"/>
  <c r="AI310" i="1"/>
  <c r="AI311" i="1"/>
  <c r="AI312" i="1"/>
  <c r="AI313" i="1"/>
  <c r="AI314" i="1"/>
  <c r="AI315" i="1"/>
  <c r="AI316" i="1"/>
  <c r="AI317" i="1"/>
  <c r="AI318" i="1"/>
  <c r="AI319" i="1"/>
  <c r="AI320" i="1"/>
  <c r="AI321" i="1"/>
  <c r="AI322" i="1"/>
  <c r="AI323" i="1"/>
  <c r="AI324" i="1"/>
  <c r="AI325" i="1"/>
  <c r="AI326" i="1"/>
  <c r="AI327" i="1"/>
  <c r="AI328" i="1"/>
  <c r="AI329" i="1"/>
  <c r="AI330" i="1"/>
  <c r="AI331" i="1"/>
  <c r="AI332" i="1"/>
  <c r="AI333" i="1"/>
  <c r="AI334" i="1"/>
  <c r="AI335" i="1"/>
  <c r="AI336" i="1"/>
  <c r="AI337" i="1"/>
  <c r="AI338" i="1"/>
  <c r="AI339" i="1"/>
  <c r="AI340" i="1"/>
  <c r="AI341" i="1"/>
  <c r="AI342" i="1"/>
  <c r="AI343" i="1"/>
  <c r="AI344" i="1"/>
  <c r="AI345" i="1"/>
  <c r="AI346" i="1"/>
  <c r="AI347" i="1"/>
  <c r="AI348" i="1"/>
  <c r="AI349" i="1"/>
  <c r="AI350" i="1"/>
  <c r="AI351" i="1"/>
  <c r="AI352" i="1"/>
  <c r="AI353" i="1"/>
  <c r="AI354" i="1"/>
  <c r="AI355" i="1"/>
  <c r="AI356" i="1"/>
  <c r="AI357" i="1"/>
  <c r="AI358" i="1"/>
  <c r="AI359" i="1"/>
  <c r="AI360" i="1"/>
  <c r="AI361" i="1"/>
  <c r="AI363" i="1"/>
  <c r="AI364" i="1"/>
  <c r="AI365" i="1"/>
  <c r="AI366" i="1"/>
  <c r="AI367" i="1"/>
  <c r="AI369" i="1"/>
  <c r="AI370" i="1"/>
  <c r="AI2" i="1"/>
  <c r="AH3" i="1"/>
  <c r="AH5" i="1"/>
  <c r="AH6" i="1"/>
  <c r="AH7" i="1"/>
  <c r="AH8" i="1"/>
  <c r="AH9" i="1"/>
  <c r="AH10" i="1"/>
  <c r="AH11" i="1"/>
  <c r="AH12" i="1"/>
  <c r="AH13" i="1"/>
  <c r="AH14" i="1"/>
  <c r="AH15" i="1"/>
  <c r="AH16" i="1"/>
  <c r="AH17" i="1"/>
  <c r="AH18" i="1"/>
  <c r="AH20" i="1"/>
  <c r="AH21" i="1"/>
  <c r="AH22" i="1"/>
  <c r="AH23" i="1"/>
  <c r="AH24" i="1"/>
  <c r="AH25" i="1"/>
  <c r="AH26" i="1"/>
  <c r="AH27" i="1"/>
  <c r="AH28" i="1"/>
  <c r="AH29" i="1"/>
  <c r="AH30" i="1"/>
  <c r="AH31" i="1"/>
  <c r="AH32" i="1"/>
  <c r="AH33" i="1"/>
  <c r="AH34" i="1"/>
  <c r="AH35" i="1"/>
  <c r="AH36" i="1"/>
  <c r="AH37" i="1"/>
  <c r="AH38" i="1"/>
  <c r="AH39" i="1"/>
  <c r="AH40" i="1"/>
  <c r="AH49" i="1"/>
  <c r="AH50" i="1"/>
  <c r="AH51" i="1"/>
  <c r="AH60"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9" i="1"/>
  <c r="AH140" i="1"/>
  <c r="AH141" i="1"/>
  <c r="AH142" i="1"/>
  <c r="AH143" i="1"/>
  <c r="AH144" i="1"/>
  <c r="AH145" i="1"/>
  <c r="AH146" i="1"/>
  <c r="AH147" i="1"/>
  <c r="AH149" i="1"/>
  <c r="AH150" i="1"/>
  <c r="AH152" i="1"/>
  <c r="AH153" i="1"/>
  <c r="AH155" i="1"/>
  <c r="AH156" i="1"/>
  <c r="AH158" i="1"/>
  <c r="AH159" i="1"/>
  <c r="AH160" i="1"/>
  <c r="AH161" i="1"/>
  <c r="AH169" i="1"/>
  <c r="AH177" i="1"/>
  <c r="AH178" i="1"/>
  <c r="AH179" i="1"/>
  <c r="AH180" i="1"/>
  <c r="AH181" i="1"/>
  <c r="AH182" i="1"/>
  <c r="AH183" i="1"/>
  <c r="AH185" i="1"/>
  <c r="AH186" i="1"/>
  <c r="AH187" i="1"/>
  <c r="AH190" i="1"/>
  <c r="AH191" i="1"/>
  <c r="AH192" i="1"/>
  <c r="AH193" i="1"/>
  <c r="AH194" i="1"/>
  <c r="AH195" i="1"/>
  <c r="AH196" i="1"/>
  <c r="AH197" i="1"/>
  <c r="AH198" i="1"/>
  <c r="AH199" i="1"/>
  <c r="AH200" i="1"/>
  <c r="AH201" i="1"/>
  <c r="AH202" i="1"/>
  <c r="AH203" i="1"/>
  <c r="AH204" i="1"/>
  <c r="AH205" i="1"/>
  <c r="AH206" i="1"/>
  <c r="AH207" i="1"/>
  <c r="AH208" i="1"/>
  <c r="AH209" i="1"/>
  <c r="AH210" i="1"/>
  <c r="AH211" i="1"/>
  <c r="AH217" i="1"/>
  <c r="AH218" i="1"/>
  <c r="AH219" i="1"/>
  <c r="AH220" i="1"/>
  <c r="AH221" i="1"/>
  <c r="AH222" i="1"/>
  <c r="AH223" i="1"/>
  <c r="AH224" i="1"/>
  <c r="AH225" i="1"/>
  <c r="AH226" i="1"/>
  <c r="AH227" i="1"/>
  <c r="AH228" i="1"/>
  <c r="AH229" i="1"/>
  <c r="AH230" i="1"/>
  <c r="AH231" i="1"/>
  <c r="AH232" i="1"/>
  <c r="AH233" i="1"/>
  <c r="AH234" i="1"/>
  <c r="AH235" i="1"/>
  <c r="AH236" i="1"/>
  <c r="AH237" i="1"/>
  <c r="AH239" i="1"/>
  <c r="AH240" i="1"/>
  <c r="AH241" i="1"/>
  <c r="AH242" i="1"/>
  <c r="AH243" i="1"/>
  <c r="AH244" i="1"/>
  <c r="AH245" i="1"/>
  <c r="AH246" i="1"/>
  <c r="AH247" i="1"/>
  <c r="AH248" i="1"/>
  <c r="AH249" i="1"/>
  <c r="AH250" i="1"/>
  <c r="AH251" i="1"/>
  <c r="AH252" i="1"/>
  <c r="AH253" i="1"/>
  <c r="AH254" i="1"/>
  <c r="AH255" i="1"/>
  <c r="AH256" i="1"/>
  <c r="AH257" i="1"/>
  <c r="AH258" i="1"/>
  <c r="AH259" i="1"/>
  <c r="AH260" i="1"/>
  <c r="AH261" i="1"/>
  <c r="AH262" i="1"/>
  <c r="AH263" i="1"/>
  <c r="AH264" i="1"/>
  <c r="AH265" i="1"/>
  <c r="AH266" i="1"/>
  <c r="AH267" i="1"/>
  <c r="AH268" i="1"/>
  <c r="AH269" i="1"/>
  <c r="AH270" i="1"/>
  <c r="AH271" i="1"/>
  <c r="AH272" i="1"/>
  <c r="AH273" i="1"/>
  <c r="AH274" i="1"/>
  <c r="AH275" i="1"/>
  <c r="AH276" i="1"/>
  <c r="AH277" i="1"/>
  <c r="AH278" i="1"/>
  <c r="AH279" i="1"/>
  <c r="AH280" i="1"/>
  <c r="AH281" i="1"/>
  <c r="AH282" i="1"/>
  <c r="AH283" i="1"/>
  <c r="AH284" i="1"/>
  <c r="AH285" i="1"/>
  <c r="AH286" i="1"/>
  <c r="AH287" i="1"/>
  <c r="AH289" i="1"/>
  <c r="AH290" i="1"/>
  <c r="AH291" i="1"/>
  <c r="AH292" i="1"/>
  <c r="AH293" i="1"/>
  <c r="AH294" i="1"/>
  <c r="AH295" i="1"/>
  <c r="AH296" i="1"/>
  <c r="AH297" i="1"/>
  <c r="AH298" i="1"/>
  <c r="AH299" i="1"/>
  <c r="AH300" i="1"/>
  <c r="AH301" i="1"/>
  <c r="AH302" i="1"/>
  <c r="AH303" i="1"/>
  <c r="AH304" i="1"/>
  <c r="AH305" i="1"/>
  <c r="AH306" i="1"/>
  <c r="AH307" i="1"/>
  <c r="AH308" i="1"/>
  <c r="AH309" i="1"/>
  <c r="AH310" i="1"/>
  <c r="AH311" i="1"/>
  <c r="AH312" i="1"/>
  <c r="AH313" i="1"/>
  <c r="AH314" i="1"/>
  <c r="AH315" i="1"/>
  <c r="AH316" i="1"/>
  <c r="AH317" i="1"/>
  <c r="AH318" i="1"/>
  <c r="AH319" i="1"/>
  <c r="AH320" i="1"/>
  <c r="AH321" i="1"/>
  <c r="AH322" i="1"/>
  <c r="AH323" i="1"/>
  <c r="AH324" i="1"/>
  <c r="AH325" i="1"/>
  <c r="AH326" i="1"/>
  <c r="AH327" i="1"/>
  <c r="AH328" i="1"/>
  <c r="AH329" i="1"/>
  <c r="AH330" i="1"/>
  <c r="AH331" i="1"/>
  <c r="AH332" i="1"/>
  <c r="AH333" i="1"/>
  <c r="AH334" i="1"/>
  <c r="AH335" i="1"/>
  <c r="AH336" i="1"/>
  <c r="AH337" i="1"/>
  <c r="AH338" i="1"/>
  <c r="AH339" i="1"/>
  <c r="AH340" i="1"/>
  <c r="AH341" i="1"/>
  <c r="AH342" i="1"/>
  <c r="AH343" i="1"/>
  <c r="AH344" i="1"/>
  <c r="AH345" i="1"/>
  <c r="AH346" i="1"/>
  <c r="AH347" i="1"/>
  <c r="AH348" i="1"/>
  <c r="AH350" i="1"/>
  <c r="AH351" i="1"/>
  <c r="AH354" i="1"/>
  <c r="AH355" i="1"/>
  <c r="AH356" i="1"/>
  <c r="AH357" i="1"/>
  <c r="AH358" i="1"/>
  <c r="AH359" i="1"/>
  <c r="AH361" i="1"/>
  <c r="AH363" i="1"/>
  <c r="AH364" i="1"/>
  <c r="AH365" i="1"/>
  <c r="AH366" i="1"/>
  <c r="AH367" i="1"/>
  <c r="AH369" i="1"/>
  <c r="AH370" i="1"/>
  <c r="AH2" i="1"/>
  <c r="AB187" i="1" l="1"/>
  <c r="AL187" i="1" s="1"/>
  <c r="AB19" i="1"/>
  <c r="AL19" i="1" l="1"/>
  <c r="AB188" i="1"/>
  <c r="AB148" i="1"/>
  <c r="AB160" i="1"/>
  <c r="AD148" i="1"/>
  <c r="AH148" i="1" s="1"/>
  <c r="AD188" i="1"/>
  <c r="AH188" i="1" s="1"/>
  <c r="DY148" i="1" l="1"/>
  <c r="BG148" i="1"/>
  <c r="AJ148" i="1"/>
  <c r="AF3" i="1" l="1"/>
  <c r="AJ3" i="1" s="1"/>
  <c r="AF5" i="1"/>
  <c r="AJ5" i="1" s="1"/>
  <c r="AF6" i="1"/>
  <c r="AJ6" i="1" s="1"/>
  <c r="AF7" i="1"/>
  <c r="AJ7" i="1" s="1"/>
  <c r="AF8" i="1"/>
  <c r="AJ8" i="1" s="1"/>
  <c r="AF9" i="1"/>
  <c r="AJ9" i="1" s="1"/>
  <c r="AF10" i="1"/>
  <c r="AJ10" i="1" s="1"/>
  <c r="AF11" i="1"/>
  <c r="AJ11" i="1" s="1"/>
  <c r="AF12" i="1"/>
  <c r="AJ12" i="1" s="1"/>
  <c r="AF13" i="1"/>
  <c r="AJ13" i="1" s="1"/>
  <c r="AF14" i="1"/>
  <c r="AJ14" i="1" s="1"/>
  <c r="AF15" i="1"/>
  <c r="AJ15" i="1" s="1"/>
  <c r="AF16" i="1"/>
  <c r="AJ16" i="1" s="1"/>
  <c r="AF17" i="1"/>
  <c r="AJ17" i="1" s="1"/>
  <c r="AF18" i="1"/>
  <c r="AJ18" i="1" s="1"/>
  <c r="AF21" i="1"/>
  <c r="AJ21" i="1" s="1"/>
  <c r="AF22" i="1"/>
  <c r="AJ22" i="1" s="1"/>
  <c r="AF23" i="1"/>
  <c r="AJ23" i="1" s="1"/>
  <c r="AF24" i="1"/>
  <c r="AJ24" i="1" s="1"/>
  <c r="AF25" i="1"/>
  <c r="AJ25" i="1" s="1"/>
  <c r="AF26" i="1"/>
  <c r="AJ26" i="1" s="1"/>
  <c r="AF27" i="1"/>
  <c r="AJ27" i="1" s="1"/>
  <c r="AF28" i="1"/>
  <c r="AJ28" i="1" s="1"/>
  <c r="AF29" i="1"/>
  <c r="AJ29" i="1" s="1"/>
  <c r="AF30" i="1"/>
  <c r="AJ30" i="1" s="1"/>
  <c r="AF31" i="1"/>
  <c r="AJ31" i="1" s="1"/>
  <c r="AF32" i="1"/>
  <c r="AJ32" i="1" s="1"/>
  <c r="AF33" i="1"/>
  <c r="AJ33" i="1" s="1"/>
  <c r="AF34" i="1"/>
  <c r="AJ34" i="1" s="1"/>
  <c r="AF35" i="1"/>
  <c r="AJ35" i="1" s="1"/>
  <c r="AF36" i="1"/>
  <c r="AJ36" i="1" s="1"/>
  <c r="AF37" i="1"/>
  <c r="AJ37" i="1" s="1"/>
  <c r="AF38" i="1"/>
  <c r="AJ38" i="1" s="1"/>
  <c r="AF39" i="1"/>
  <c r="AJ39" i="1" s="1"/>
  <c r="AF40" i="1"/>
  <c r="AJ40" i="1" s="1"/>
  <c r="AF49" i="1"/>
  <c r="AJ49" i="1" s="1"/>
  <c r="AF50" i="1"/>
  <c r="AJ50" i="1" s="1"/>
  <c r="AF51" i="1"/>
  <c r="AJ51" i="1" s="1"/>
  <c r="AF60" i="1"/>
  <c r="AJ60" i="1" s="1"/>
  <c r="AF62" i="1"/>
  <c r="AJ62" i="1" s="1"/>
  <c r="AF63" i="1"/>
  <c r="AJ63" i="1" s="1"/>
  <c r="AF64" i="1"/>
  <c r="AJ64" i="1" s="1"/>
  <c r="AF65" i="1"/>
  <c r="AJ65" i="1" s="1"/>
  <c r="AF66" i="1"/>
  <c r="AJ66" i="1" s="1"/>
  <c r="AF67" i="1"/>
  <c r="AJ67" i="1" s="1"/>
  <c r="AF68" i="1"/>
  <c r="AJ68" i="1" s="1"/>
  <c r="AF69" i="1"/>
  <c r="AJ69" i="1" s="1"/>
  <c r="AF70" i="1"/>
  <c r="AJ70" i="1" s="1"/>
  <c r="AF71" i="1"/>
  <c r="AJ71" i="1" s="1"/>
  <c r="AF72" i="1"/>
  <c r="AJ72" i="1" s="1"/>
  <c r="AF73" i="1"/>
  <c r="AJ73" i="1" s="1"/>
  <c r="AF74" i="1"/>
  <c r="AJ74" i="1" s="1"/>
  <c r="AF75" i="1"/>
  <c r="AJ75" i="1" s="1"/>
  <c r="AF76" i="1"/>
  <c r="AJ76" i="1" s="1"/>
  <c r="AF77" i="1"/>
  <c r="AJ77" i="1" s="1"/>
  <c r="AF78" i="1"/>
  <c r="AJ78" i="1" s="1"/>
  <c r="AF79" i="1"/>
  <c r="AJ79" i="1" s="1"/>
  <c r="AF80" i="1"/>
  <c r="AJ80" i="1" s="1"/>
  <c r="AF81" i="1"/>
  <c r="AJ81" i="1" s="1"/>
  <c r="AF82" i="1"/>
  <c r="AJ82" i="1" s="1"/>
  <c r="AF83" i="1"/>
  <c r="AJ83" i="1" s="1"/>
  <c r="AF84" i="1"/>
  <c r="AJ84" i="1" s="1"/>
  <c r="AF85" i="1"/>
  <c r="AJ85" i="1" s="1"/>
  <c r="AF86" i="1"/>
  <c r="AJ86" i="1" s="1"/>
  <c r="AF87" i="1"/>
  <c r="AJ87" i="1" s="1"/>
  <c r="AF88" i="1"/>
  <c r="AJ88" i="1" s="1"/>
  <c r="AF89" i="1"/>
  <c r="AJ89" i="1" s="1"/>
  <c r="AF90" i="1"/>
  <c r="AJ90" i="1" s="1"/>
  <c r="AF91" i="1"/>
  <c r="AJ91" i="1" s="1"/>
  <c r="AF92" i="1"/>
  <c r="AJ92" i="1" s="1"/>
  <c r="AF93" i="1"/>
  <c r="AJ93" i="1" s="1"/>
  <c r="AF94" i="1"/>
  <c r="AJ94" i="1" s="1"/>
  <c r="AF95" i="1"/>
  <c r="AJ95" i="1" s="1"/>
  <c r="AF96" i="1"/>
  <c r="AJ96" i="1" s="1"/>
  <c r="AF97" i="1"/>
  <c r="AJ97" i="1" s="1"/>
  <c r="AF98" i="1"/>
  <c r="AJ98" i="1" s="1"/>
  <c r="AF99" i="1"/>
  <c r="AJ99" i="1" s="1"/>
  <c r="AF100" i="1"/>
  <c r="AJ100" i="1" s="1"/>
  <c r="AF101" i="1"/>
  <c r="AJ101" i="1" s="1"/>
  <c r="AF102" i="1"/>
  <c r="AJ102" i="1" s="1"/>
  <c r="AF103" i="1"/>
  <c r="AJ103" i="1" s="1"/>
  <c r="AF104" i="1"/>
  <c r="AJ104" i="1" s="1"/>
  <c r="AF105" i="1"/>
  <c r="AJ105" i="1" s="1"/>
  <c r="AF106" i="1"/>
  <c r="AJ106" i="1" s="1"/>
  <c r="AF107" i="1"/>
  <c r="AJ107" i="1" s="1"/>
  <c r="AF108" i="1"/>
  <c r="AJ108" i="1" s="1"/>
  <c r="AF109" i="1"/>
  <c r="AJ109" i="1" s="1"/>
  <c r="AF110" i="1"/>
  <c r="AJ110" i="1" s="1"/>
  <c r="AF111" i="1"/>
  <c r="AJ111" i="1" s="1"/>
  <c r="AF112" i="1"/>
  <c r="AJ112" i="1" s="1"/>
  <c r="AF113" i="1"/>
  <c r="AJ113" i="1" s="1"/>
  <c r="AF114" i="1"/>
  <c r="AJ114" i="1" s="1"/>
  <c r="AF115" i="1"/>
  <c r="AJ115" i="1" s="1"/>
  <c r="AF116" i="1"/>
  <c r="AJ116" i="1" s="1"/>
  <c r="AF117" i="1"/>
  <c r="AJ117" i="1" s="1"/>
  <c r="AF118" i="1"/>
  <c r="AJ118" i="1" s="1"/>
  <c r="AF119" i="1"/>
  <c r="AJ119" i="1" s="1"/>
  <c r="AF120" i="1"/>
  <c r="AJ120" i="1" s="1"/>
  <c r="AF121" i="1"/>
  <c r="AJ121" i="1" s="1"/>
  <c r="AF122" i="1"/>
  <c r="AJ122" i="1" s="1"/>
  <c r="AF123" i="1"/>
  <c r="AJ123" i="1" s="1"/>
  <c r="AF124" i="1"/>
  <c r="AJ124" i="1" s="1"/>
  <c r="AF125" i="1"/>
  <c r="AJ125" i="1" s="1"/>
  <c r="AF126" i="1"/>
  <c r="AJ126" i="1" s="1"/>
  <c r="AF127" i="1"/>
  <c r="AJ127" i="1" s="1"/>
  <c r="AF128" i="1"/>
  <c r="AJ128" i="1" s="1"/>
  <c r="AF129" i="1"/>
  <c r="AJ129" i="1" s="1"/>
  <c r="AF130" i="1"/>
  <c r="AJ130" i="1" s="1"/>
  <c r="AF131" i="1"/>
  <c r="AJ131" i="1" s="1"/>
  <c r="AF132" i="1"/>
  <c r="AJ132" i="1" s="1"/>
  <c r="AF133" i="1"/>
  <c r="AJ133" i="1" s="1"/>
  <c r="AF134" i="1"/>
  <c r="AJ134" i="1" s="1"/>
  <c r="AF135" i="1"/>
  <c r="AJ135" i="1" s="1"/>
  <c r="AF136" i="1"/>
  <c r="AJ136" i="1" s="1"/>
  <c r="AF137" i="1"/>
  <c r="AJ137" i="1" s="1"/>
  <c r="AF139" i="1"/>
  <c r="AJ139" i="1" s="1"/>
  <c r="AF140" i="1"/>
  <c r="AJ140" i="1" s="1"/>
  <c r="AF141" i="1"/>
  <c r="AJ141" i="1" s="1"/>
  <c r="AF142" i="1"/>
  <c r="AJ142" i="1" s="1"/>
  <c r="AF143" i="1"/>
  <c r="AJ143" i="1" s="1"/>
  <c r="AF144" i="1"/>
  <c r="AJ144" i="1" s="1"/>
  <c r="AF145" i="1"/>
  <c r="AJ145" i="1" s="1"/>
  <c r="AF146" i="1"/>
  <c r="AJ146" i="1" s="1"/>
  <c r="AF147" i="1"/>
  <c r="AJ147" i="1" s="1"/>
  <c r="AF149" i="1"/>
  <c r="AJ149" i="1" s="1"/>
  <c r="AF150" i="1"/>
  <c r="AJ150" i="1" s="1"/>
  <c r="AF152" i="1"/>
  <c r="AJ152" i="1" s="1"/>
  <c r="AF153" i="1"/>
  <c r="AJ153" i="1" s="1"/>
  <c r="AF155" i="1"/>
  <c r="AJ155" i="1" s="1"/>
  <c r="AF156" i="1"/>
  <c r="AJ156" i="1" s="1"/>
  <c r="AF158" i="1"/>
  <c r="AJ158" i="1" s="1"/>
  <c r="AF159" i="1"/>
  <c r="AJ159" i="1" s="1"/>
  <c r="AF160" i="1"/>
  <c r="AJ160" i="1" s="1"/>
  <c r="AF161" i="1"/>
  <c r="AJ161" i="1" s="1"/>
  <c r="AF169" i="1"/>
  <c r="AJ169" i="1" s="1"/>
  <c r="AF177" i="1"/>
  <c r="AJ177" i="1" s="1"/>
  <c r="AF178" i="1"/>
  <c r="AJ178" i="1" s="1"/>
  <c r="AF179" i="1"/>
  <c r="AJ179" i="1" s="1"/>
  <c r="AF180" i="1"/>
  <c r="AJ180" i="1" s="1"/>
  <c r="AF181" i="1"/>
  <c r="AJ181" i="1" s="1"/>
  <c r="AF182" i="1"/>
  <c r="AJ182" i="1" s="1"/>
  <c r="AF183" i="1"/>
  <c r="AJ183" i="1" s="1"/>
  <c r="AF185" i="1"/>
  <c r="AJ185" i="1" s="1"/>
  <c r="AF186" i="1"/>
  <c r="AJ186" i="1" s="1"/>
  <c r="AF187" i="1"/>
  <c r="AJ187" i="1" s="1"/>
  <c r="AJ188" i="1"/>
  <c r="AF190" i="1"/>
  <c r="AJ190" i="1" s="1"/>
  <c r="AF191" i="1"/>
  <c r="AJ191" i="1" s="1"/>
  <c r="AF192" i="1"/>
  <c r="AJ192" i="1" s="1"/>
  <c r="AF193" i="1"/>
  <c r="AJ193" i="1" s="1"/>
  <c r="AF194" i="1"/>
  <c r="AJ194" i="1" s="1"/>
  <c r="AF195" i="1"/>
  <c r="AJ195" i="1" s="1"/>
  <c r="AF196" i="1"/>
  <c r="AJ196" i="1" s="1"/>
  <c r="AF197" i="1"/>
  <c r="AJ197" i="1" s="1"/>
  <c r="AF198" i="1"/>
  <c r="AJ198" i="1" s="1"/>
  <c r="AF199" i="1"/>
  <c r="AJ199" i="1" s="1"/>
  <c r="AF200" i="1"/>
  <c r="AJ200" i="1" s="1"/>
  <c r="AF201" i="1"/>
  <c r="AJ201" i="1" s="1"/>
  <c r="AF202" i="1"/>
  <c r="AJ202" i="1" s="1"/>
  <c r="AF203" i="1"/>
  <c r="AJ203" i="1" s="1"/>
  <c r="AF204" i="1"/>
  <c r="AJ204" i="1" s="1"/>
  <c r="AF205" i="1"/>
  <c r="AJ205" i="1" s="1"/>
  <c r="AF206" i="1"/>
  <c r="AJ206" i="1" s="1"/>
  <c r="AF207" i="1"/>
  <c r="AJ207" i="1" s="1"/>
  <c r="AF208" i="1"/>
  <c r="AJ208" i="1" s="1"/>
  <c r="AF209" i="1"/>
  <c r="AJ209" i="1" s="1"/>
  <c r="AF210" i="1"/>
  <c r="AJ210" i="1" s="1"/>
  <c r="AF211" i="1"/>
  <c r="AJ211" i="1" s="1"/>
  <c r="AF217" i="1"/>
  <c r="AJ217" i="1" s="1"/>
  <c r="AF218" i="1"/>
  <c r="AJ218" i="1" s="1"/>
  <c r="AF219" i="1"/>
  <c r="AJ219" i="1" s="1"/>
  <c r="AF220" i="1"/>
  <c r="AJ220" i="1" s="1"/>
  <c r="AF221" i="1"/>
  <c r="AJ221" i="1" s="1"/>
  <c r="AF222" i="1"/>
  <c r="AJ222" i="1" s="1"/>
  <c r="AF223" i="1"/>
  <c r="AJ223" i="1" s="1"/>
  <c r="AF224" i="1"/>
  <c r="AJ224" i="1" s="1"/>
  <c r="AF225" i="1"/>
  <c r="AJ225" i="1" s="1"/>
  <c r="AF226" i="1"/>
  <c r="AJ226" i="1" s="1"/>
  <c r="AF227" i="1"/>
  <c r="AJ227" i="1" s="1"/>
  <c r="AF228" i="1"/>
  <c r="AJ228" i="1" s="1"/>
  <c r="AF229" i="1"/>
  <c r="AJ229" i="1" s="1"/>
  <c r="AF230" i="1"/>
  <c r="AJ230" i="1" s="1"/>
  <c r="AF231" i="1"/>
  <c r="AJ231" i="1" s="1"/>
  <c r="AF232" i="1"/>
  <c r="AJ232" i="1" s="1"/>
  <c r="AF233" i="1"/>
  <c r="AJ233" i="1" s="1"/>
  <c r="AF234" i="1"/>
  <c r="AJ234" i="1" s="1"/>
  <c r="AF235" i="1"/>
  <c r="AJ235" i="1" s="1"/>
  <c r="AJ236" i="1"/>
  <c r="AF237" i="1"/>
  <c r="AJ237" i="1" s="1"/>
  <c r="AF239" i="1"/>
  <c r="AJ239" i="1" s="1"/>
  <c r="AF240" i="1"/>
  <c r="AJ240" i="1" s="1"/>
  <c r="AF241" i="1"/>
  <c r="AJ241" i="1" s="1"/>
  <c r="AF242" i="1"/>
  <c r="AJ242" i="1" s="1"/>
  <c r="AF243" i="1"/>
  <c r="AJ243" i="1" s="1"/>
  <c r="AF244" i="1"/>
  <c r="AJ244" i="1" s="1"/>
  <c r="AF245" i="1"/>
  <c r="AJ245" i="1" s="1"/>
  <c r="AF246" i="1"/>
  <c r="AJ246" i="1" s="1"/>
  <c r="AF247" i="1"/>
  <c r="AJ247" i="1" s="1"/>
  <c r="AF248" i="1"/>
  <c r="AJ248" i="1" s="1"/>
  <c r="AF249" i="1"/>
  <c r="AJ249" i="1" s="1"/>
  <c r="AF250" i="1"/>
  <c r="AJ250" i="1" s="1"/>
  <c r="AF251" i="1"/>
  <c r="AJ251" i="1" s="1"/>
  <c r="AF252" i="1"/>
  <c r="AJ252" i="1" s="1"/>
  <c r="AF253" i="1"/>
  <c r="AJ253" i="1" s="1"/>
  <c r="AF254" i="1"/>
  <c r="AJ254" i="1" s="1"/>
  <c r="AF255" i="1"/>
  <c r="AJ255" i="1" s="1"/>
  <c r="AF256" i="1"/>
  <c r="AJ256" i="1" s="1"/>
  <c r="AF257" i="1"/>
  <c r="AJ257" i="1" s="1"/>
  <c r="AF258" i="1"/>
  <c r="AJ258" i="1" s="1"/>
  <c r="AF259" i="1"/>
  <c r="AJ259" i="1" s="1"/>
  <c r="AF260" i="1"/>
  <c r="AJ260" i="1" s="1"/>
  <c r="AF261" i="1"/>
  <c r="AJ261" i="1" s="1"/>
  <c r="AF262" i="1"/>
  <c r="AJ262" i="1" s="1"/>
  <c r="AF263" i="1"/>
  <c r="AJ263" i="1" s="1"/>
  <c r="AF264" i="1"/>
  <c r="AJ264" i="1" s="1"/>
  <c r="AF265" i="1"/>
  <c r="AJ265" i="1" s="1"/>
  <c r="AF266" i="1"/>
  <c r="AJ266" i="1" s="1"/>
  <c r="AF267" i="1"/>
  <c r="AJ267" i="1" s="1"/>
  <c r="AF268" i="1"/>
  <c r="AJ268" i="1" s="1"/>
  <c r="AF269" i="1"/>
  <c r="AJ269" i="1" s="1"/>
  <c r="AF270" i="1"/>
  <c r="AJ270" i="1" s="1"/>
  <c r="AF271" i="1"/>
  <c r="AJ271" i="1" s="1"/>
  <c r="AF272" i="1"/>
  <c r="AJ272" i="1" s="1"/>
  <c r="AF273" i="1"/>
  <c r="AJ273" i="1" s="1"/>
  <c r="AF274" i="1"/>
  <c r="AJ274" i="1" s="1"/>
  <c r="AF275" i="1"/>
  <c r="AJ275" i="1" s="1"/>
  <c r="AF276" i="1"/>
  <c r="AJ276" i="1" s="1"/>
  <c r="AF277" i="1"/>
  <c r="AJ277" i="1" s="1"/>
  <c r="AF278" i="1"/>
  <c r="AJ278" i="1" s="1"/>
  <c r="AF279" i="1"/>
  <c r="AJ279" i="1" s="1"/>
  <c r="AF280" i="1"/>
  <c r="AJ280" i="1" s="1"/>
  <c r="AF281" i="1"/>
  <c r="AJ281" i="1" s="1"/>
  <c r="AF282" i="1"/>
  <c r="AJ282" i="1" s="1"/>
  <c r="AF283" i="1"/>
  <c r="AJ283" i="1" s="1"/>
  <c r="AF284" i="1"/>
  <c r="AJ284" i="1" s="1"/>
  <c r="AF285" i="1"/>
  <c r="AJ285" i="1" s="1"/>
  <c r="AF286" i="1"/>
  <c r="AJ286" i="1" s="1"/>
  <c r="AF287" i="1"/>
  <c r="AJ287" i="1" s="1"/>
  <c r="AF289" i="1"/>
  <c r="AJ289" i="1" s="1"/>
  <c r="AF290" i="1"/>
  <c r="AJ290" i="1" s="1"/>
  <c r="AF291" i="1"/>
  <c r="AJ291" i="1" s="1"/>
  <c r="AF292" i="1"/>
  <c r="AJ292" i="1" s="1"/>
  <c r="AF293" i="1"/>
  <c r="AJ293" i="1" s="1"/>
  <c r="AF294" i="1"/>
  <c r="AJ294" i="1" s="1"/>
  <c r="AF295" i="1"/>
  <c r="AJ295" i="1" s="1"/>
  <c r="AF296" i="1"/>
  <c r="AJ296" i="1" s="1"/>
  <c r="AF297" i="1"/>
  <c r="AJ297" i="1" s="1"/>
  <c r="AF298" i="1"/>
  <c r="AJ298" i="1" s="1"/>
  <c r="AF299" i="1"/>
  <c r="AJ299" i="1" s="1"/>
  <c r="AF300" i="1"/>
  <c r="AJ300" i="1" s="1"/>
  <c r="AF301" i="1"/>
  <c r="AJ301" i="1" s="1"/>
  <c r="AF302" i="1"/>
  <c r="AJ302" i="1" s="1"/>
  <c r="AF303" i="1"/>
  <c r="AJ303" i="1" s="1"/>
  <c r="AF304" i="1"/>
  <c r="AJ304" i="1" s="1"/>
  <c r="AF305" i="1"/>
  <c r="AJ305" i="1" s="1"/>
  <c r="AF306" i="1"/>
  <c r="AJ306" i="1" s="1"/>
  <c r="AF307" i="1"/>
  <c r="AJ307" i="1" s="1"/>
  <c r="AF308" i="1"/>
  <c r="AJ308" i="1" s="1"/>
  <c r="AF309" i="1"/>
  <c r="AJ309" i="1" s="1"/>
  <c r="AF310" i="1"/>
  <c r="AJ310" i="1" s="1"/>
  <c r="AF311" i="1"/>
  <c r="AJ311" i="1" s="1"/>
  <c r="AF312" i="1"/>
  <c r="AJ312" i="1" s="1"/>
  <c r="AF313" i="1"/>
  <c r="AJ313" i="1" s="1"/>
  <c r="AF314" i="1"/>
  <c r="AJ314" i="1" s="1"/>
  <c r="AF315" i="1"/>
  <c r="AJ315" i="1" s="1"/>
  <c r="AF316" i="1"/>
  <c r="AJ316" i="1" s="1"/>
  <c r="AF317" i="1"/>
  <c r="AJ317" i="1" s="1"/>
  <c r="AF318" i="1"/>
  <c r="AJ318" i="1" s="1"/>
  <c r="AF319" i="1"/>
  <c r="AJ319" i="1" s="1"/>
  <c r="AF320" i="1"/>
  <c r="AJ320" i="1" s="1"/>
  <c r="AF321" i="1"/>
  <c r="AJ321" i="1" s="1"/>
  <c r="AF322" i="1"/>
  <c r="AJ322" i="1" s="1"/>
  <c r="AF323" i="1"/>
  <c r="AJ323" i="1" s="1"/>
  <c r="AF324" i="1"/>
  <c r="AJ324" i="1" s="1"/>
  <c r="AF325" i="1"/>
  <c r="AJ325" i="1" s="1"/>
  <c r="AF326" i="1"/>
  <c r="AJ326" i="1" s="1"/>
  <c r="AF327" i="1"/>
  <c r="AJ327" i="1" s="1"/>
  <c r="AF328" i="1"/>
  <c r="AJ328" i="1" s="1"/>
  <c r="AF329" i="1"/>
  <c r="AJ329" i="1" s="1"/>
  <c r="AF330" i="1"/>
  <c r="AJ330" i="1" s="1"/>
  <c r="AF331" i="1"/>
  <c r="AJ331" i="1" s="1"/>
  <c r="AF332" i="1"/>
  <c r="AJ332" i="1" s="1"/>
  <c r="AF333" i="1"/>
  <c r="AJ333" i="1" s="1"/>
  <c r="AF334" i="1"/>
  <c r="AJ334" i="1" s="1"/>
  <c r="AF335" i="1"/>
  <c r="AJ335" i="1" s="1"/>
  <c r="AF336" i="1"/>
  <c r="AJ336" i="1" s="1"/>
  <c r="AF337" i="1"/>
  <c r="AJ337" i="1" s="1"/>
  <c r="AF338" i="1"/>
  <c r="AJ338" i="1" s="1"/>
  <c r="AF339" i="1"/>
  <c r="AJ339" i="1" s="1"/>
  <c r="AF340" i="1"/>
  <c r="AJ340" i="1" s="1"/>
  <c r="AF341" i="1"/>
  <c r="AJ341" i="1" s="1"/>
  <c r="AF342" i="1"/>
  <c r="AJ342" i="1" s="1"/>
  <c r="AF343" i="1"/>
  <c r="AJ343" i="1" s="1"/>
  <c r="AF344" i="1"/>
  <c r="AJ344" i="1" s="1"/>
  <c r="AF345" i="1"/>
  <c r="AJ345" i="1" s="1"/>
  <c r="AF346" i="1"/>
  <c r="AJ346" i="1" s="1"/>
  <c r="AF347" i="1"/>
  <c r="AJ347" i="1" s="1"/>
  <c r="AF348" i="1"/>
  <c r="AJ348" i="1" s="1"/>
  <c r="AF350" i="1"/>
  <c r="AJ350" i="1" s="1"/>
  <c r="AF351" i="1"/>
  <c r="AJ351" i="1" s="1"/>
  <c r="AF354" i="1"/>
  <c r="AJ354" i="1" s="1"/>
  <c r="AF355" i="1"/>
  <c r="AJ355" i="1" s="1"/>
  <c r="AF356" i="1"/>
  <c r="AJ356" i="1" s="1"/>
  <c r="AF357" i="1"/>
  <c r="AJ357" i="1" s="1"/>
  <c r="AF358" i="1"/>
  <c r="AJ358" i="1" s="1"/>
  <c r="AF359" i="1"/>
  <c r="AJ359" i="1" s="1"/>
  <c r="AF361" i="1"/>
  <c r="AJ361" i="1" s="1"/>
  <c r="AF363" i="1"/>
  <c r="AJ363" i="1" s="1"/>
  <c r="AF364" i="1"/>
  <c r="AJ364" i="1" s="1"/>
  <c r="AF365" i="1"/>
  <c r="AJ365" i="1" s="1"/>
  <c r="AF366" i="1"/>
  <c r="AJ366" i="1" s="1"/>
  <c r="AF367" i="1"/>
  <c r="AJ367" i="1" s="1"/>
  <c r="AF369" i="1"/>
  <c r="AJ369" i="1" s="1"/>
  <c r="AF370" i="1"/>
  <c r="AJ370" i="1" s="1"/>
  <c r="AF2" i="1"/>
  <c r="AJ2" i="1" s="1"/>
  <c r="AD360" i="1"/>
  <c r="AD353" i="1"/>
  <c r="AD352" i="1"/>
  <c r="AD349" i="1"/>
  <c r="AD288" i="1"/>
  <c r="AD213" i="1"/>
  <c r="AD212" i="1"/>
  <c r="AD157" i="1"/>
  <c r="AD154" i="1"/>
  <c r="AD151" i="1"/>
  <c r="AD138" i="1"/>
  <c r="AD19" i="1"/>
  <c r="AD4" i="1"/>
  <c r="AH4" i="1" l="1"/>
  <c r="AF212" i="1"/>
  <c r="AJ212" i="1" s="1"/>
  <c r="AH212" i="1"/>
  <c r="AF352" i="1"/>
  <c r="AJ352" i="1" s="1"/>
  <c r="AH352" i="1"/>
  <c r="AH19" i="1"/>
  <c r="AF213" i="1"/>
  <c r="AJ213" i="1" s="1"/>
  <c r="AH213" i="1"/>
  <c r="AF360" i="1"/>
  <c r="AJ360" i="1" s="1"/>
  <c r="AH360" i="1"/>
  <c r="AF349" i="1"/>
  <c r="AJ349" i="1" s="1"/>
  <c r="AH349" i="1"/>
  <c r="AH154" i="1"/>
  <c r="AH353" i="1"/>
  <c r="AH157" i="1"/>
  <c r="AF151" i="1"/>
  <c r="AJ151" i="1" s="1"/>
  <c r="AH151" i="1"/>
  <c r="AH41" i="1"/>
  <c r="AH288" i="1"/>
  <c r="AH138" i="1"/>
  <c r="AH184" i="1"/>
  <c r="AF19" i="1"/>
  <c r="AJ19" i="1" s="1"/>
  <c r="AF4" i="1"/>
  <c r="AJ4" i="1" s="1"/>
  <c r="AF154" i="1"/>
  <c r="AJ154" i="1" s="1"/>
  <c r="AF157" i="1"/>
  <c r="AJ157" i="1" s="1"/>
  <c r="AF353" i="1"/>
  <c r="AJ353" i="1" s="1"/>
  <c r="AF288" i="1"/>
  <c r="AJ288" i="1" s="1"/>
  <c r="AF184" i="1"/>
  <c r="AJ184" i="1" s="1"/>
  <c r="AF138" i="1"/>
  <c r="AJ138" i="1" s="1"/>
  <c r="AF41" i="1"/>
  <c r="AJ41" i="1" s="1"/>
  <c r="AB213" i="1" l="1"/>
  <c r="AB212" i="1"/>
  <c r="AL212" i="1" l="1"/>
  <c r="AL213" i="1"/>
  <c r="DY274" i="1"/>
  <c r="BF274" i="1"/>
  <c r="BG274" i="1" s="1"/>
  <c r="AT274" i="1"/>
  <c r="EJ273" i="1"/>
  <c r="DY273" i="1"/>
  <c r="BF273" i="1"/>
  <c r="BG273" i="1" s="1"/>
  <c r="AT273" i="1"/>
  <c r="EJ272" i="1"/>
  <c r="DY272" i="1"/>
  <c r="BF272" i="1"/>
  <c r="BG272" i="1" s="1"/>
  <c r="EJ271" i="1"/>
  <c r="DY271" i="1"/>
  <c r="BF271" i="1"/>
  <c r="BG271" i="1" s="1"/>
  <c r="EJ270" i="1"/>
  <c r="DY270" i="1"/>
  <c r="BF270" i="1"/>
  <c r="BG270" i="1" s="1"/>
  <c r="AT270" i="1"/>
  <c r="DY269" i="1"/>
  <c r="BF269" i="1"/>
  <c r="BG269" i="1" s="1"/>
  <c r="AT269" i="1"/>
  <c r="EJ268" i="1"/>
  <c r="DY268" i="1"/>
  <c r="BF268" i="1"/>
  <c r="BG268" i="1" s="1"/>
  <c r="EJ267" i="1"/>
  <c r="DY267" i="1"/>
  <c r="BF267" i="1"/>
  <c r="BG267" i="1" s="1"/>
  <c r="EJ266" i="1"/>
  <c r="DY266" i="1"/>
  <c r="BF266" i="1"/>
  <c r="BG266" i="1" s="1"/>
  <c r="AT266" i="1"/>
  <c r="EJ265" i="1"/>
  <c r="DY265" i="1"/>
  <c r="BF265" i="1"/>
  <c r="BG265" i="1" s="1"/>
  <c r="AT265" i="1"/>
  <c r="EJ264" i="1"/>
  <c r="DY264" i="1"/>
  <c r="BF264" i="1"/>
  <c r="BG264" i="1" s="1"/>
  <c r="EJ263" i="1"/>
  <c r="DY263" i="1"/>
  <c r="BF263" i="1"/>
  <c r="BG263" i="1" s="1"/>
  <c r="AT263" i="1"/>
  <c r="EJ262" i="1"/>
  <c r="DY262" i="1"/>
  <c r="BF262" i="1"/>
  <c r="BG262" i="1" s="1"/>
  <c r="AT262" i="1"/>
  <c r="EJ261" i="1"/>
  <c r="DY261" i="1"/>
  <c r="BF261" i="1"/>
  <c r="BG261" i="1" s="1"/>
  <c r="EJ260" i="1"/>
  <c r="DY260" i="1"/>
  <c r="BF260" i="1"/>
  <c r="BG260" i="1" s="1"/>
  <c r="DY259" i="1"/>
  <c r="BG259" i="1"/>
  <c r="EI258" i="1"/>
  <c r="EJ258" i="1" s="1"/>
  <c r="CZ258" i="1"/>
  <c r="DY258" i="1" s="1"/>
  <c r="AT258" i="1"/>
  <c r="AS258" i="1"/>
  <c r="EI257" i="1"/>
  <c r="EJ257" i="1" s="1"/>
  <c r="DC257" i="1"/>
  <c r="CZ257" i="1"/>
  <c r="AT257" i="1"/>
  <c r="AS257" i="1"/>
  <c r="EI256" i="1"/>
  <c r="EJ256" i="1" s="1"/>
  <c r="CZ256" i="1"/>
  <c r="DY256" i="1" s="1"/>
  <c r="AT256" i="1"/>
  <c r="AS256" i="1"/>
  <c r="DY255" i="1"/>
  <c r="BG255" i="1"/>
  <c r="DY254" i="1"/>
  <c r="BG254" i="1"/>
  <c r="DY253" i="1"/>
  <c r="BG253" i="1"/>
  <c r="DY252" i="1"/>
  <c r="BG252" i="1"/>
  <c r="DY250" i="1"/>
  <c r="BF250" i="1"/>
  <c r="BG250" i="1" s="1"/>
  <c r="DY247" i="1"/>
  <c r="BF247" i="1"/>
  <c r="BG247" i="1" s="1"/>
  <c r="DY246" i="1"/>
  <c r="BF246" i="1"/>
  <c r="BG246" i="1" s="1"/>
  <c r="DY245" i="1"/>
  <c r="BF245" i="1"/>
  <c r="BG245" i="1" s="1"/>
  <c r="DY244" i="1"/>
  <c r="BF244" i="1"/>
  <c r="BG244" i="1" s="1"/>
  <c r="AT244" i="1"/>
  <c r="AS244" i="1"/>
  <c r="DY243" i="1"/>
  <c r="BF243" i="1"/>
  <c r="BG243" i="1" s="1"/>
  <c r="AT243" i="1"/>
  <c r="AS243" i="1"/>
  <c r="DY242" i="1"/>
  <c r="BF242" i="1"/>
  <c r="BG242" i="1" s="1"/>
  <c r="DY241" i="1"/>
  <c r="BF241" i="1"/>
  <c r="BG241" i="1" s="1"/>
  <c r="DY240" i="1"/>
  <c r="BF240" i="1"/>
  <c r="BG240" i="1" s="1"/>
  <c r="AT240" i="1"/>
  <c r="AS240" i="1"/>
  <c r="DY239" i="1"/>
  <c r="BF239" i="1"/>
  <c r="BG239" i="1" s="1"/>
  <c r="AT239" i="1"/>
  <c r="AS239" i="1"/>
  <c r="DY235" i="1"/>
  <c r="BG235" i="1"/>
  <c r="AT235" i="1"/>
  <c r="AS235" i="1"/>
  <c r="BG234" i="1"/>
  <c r="AT234" i="1"/>
  <c r="AS234" i="1"/>
  <c r="DY233" i="1"/>
  <c r="BG233" i="1"/>
  <c r="EI232" i="1"/>
  <c r="DY232" i="1"/>
  <c r="BF232" i="1"/>
  <c r="BG232" i="1" s="1"/>
  <c r="EI231" i="1"/>
  <c r="DY231" i="1"/>
  <c r="BF231" i="1"/>
  <c r="BG231" i="1" s="1"/>
  <c r="EI230" i="1"/>
  <c r="DY230" i="1"/>
  <c r="BF230" i="1"/>
  <c r="BG230" i="1" s="1"/>
  <c r="EI229" i="1"/>
  <c r="DY229" i="1"/>
  <c r="BF229" i="1"/>
  <c r="BG229" i="1" s="1"/>
  <c r="EI228" i="1"/>
  <c r="DY228" i="1"/>
  <c r="BF228" i="1"/>
  <c r="BG228" i="1" s="1"/>
  <c r="EI227" i="1"/>
  <c r="DY227" i="1"/>
  <c r="BF227" i="1"/>
  <c r="BG227" i="1" s="1"/>
  <c r="EI226" i="1"/>
  <c r="DY226" i="1"/>
  <c r="BF226" i="1"/>
  <c r="BG226" i="1" s="1"/>
  <c r="EI225" i="1"/>
  <c r="DY225" i="1"/>
  <c r="BF225" i="1"/>
  <c r="BG225" i="1" s="1"/>
  <c r="EI224" i="1"/>
  <c r="CW224" i="1"/>
  <c r="DY224" i="1" s="1"/>
  <c r="BF224" i="1"/>
  <c r="BG224" i="1" s="1"/>
  <c r="EI223" i="1"/>
  <c r="EJ223" i="1" s="1"/>
  <c r="DI223" i="1"/>
  <c r="DF223" i="1"/>
  <c r="DC223" i="1"/>
  <c r="CZ223" i="1"/>
  <c r="CW223" i="1"/>
  <c r="BF223" i="1"/>
  <c r="BG223" i="1" s="1"/>
  <c r="EI222" i="1"/>
  <c r="CZ222" i="1"/>
  <c r="CW222" i="1"/>
  <c r="BF222" i="1"/>
  <c r="BG222" i="1" s="1"/>
  <c r="EI221" i="1"/>
  <c r="CW221" i="1"/>
  <c r="DY221" i="1" s="1"/>
  <c r="BF221" i="1"/>
  <c r="BG221" i="1" s="1"/>
  <c r="EI220" i="1"/>
  <c r="EJ220" i="1" s="1"/>
  <c r="CW220" i="1"/>
  <c r="DY220" i="1" s="1"/>
  <c r="BF220" i="1"/>
  <c r="BG220" i="1" s="1"/>
  <c r="EI219" i="1"/>
  <c r="EJ219" i="1" s="1"/>
  <c r="CZ219" i="1"/>
  <c r="CW219" i="1"/>
  <c r="BF219" i="1"/>
  <c r="BG219" i="1" s="1"/>
  <c r="DY218" i="1"/>
  <c r="BF218" i="1"/>
  <c r="BG218" i="1" s="1"/>
  <c r="EI213" i="1"/>
  <c r="EJ213" i="1" s="1"/>
  <c r="CZ213" i="1"/>
  <c r="CW213" i="1"/>
  <c r="BF213" i="1"/>
  <c r="BG213" i="1" s="1"/>
  <c r="EI212" i="1"/>
  <c r="EJ212" i="1" s="1"/>
  <c r="CZ212" i="1"/>
  <c r="DY212" i="1" s="1"/>
  <c r="BF212" i="1"/>
  <c r="DY211" i="1"/>
  <c r="BG211" i="1"/>
  <c r="EI210" i="1"/>
  <c r="EJ210" i="1" s="1"/>
  <c r="DC210" i="1"/>
  <c r="CZ210" i="1"/>
  <c r="BF210" i="1"/>
  <c r="BG210" i="1" s="1"/>
  <c r="EI209" i="1"/>
  <c r="EJ209" i="1" s="1"/>
  <c r="CZ209" i="1"/>
  <c r="CW209" i="1"/>
  <c r="BF209" i="1"/>
  <c r="BG209" i="1" s="1"/>
  <c r="EI208" i="1"/>
  <c r="EJ208" i="1" s="1"/>
  <c r="CZ208" i="1"/>
  <c r="CW208" i="1"/>
  <c r="BF208" i="1"/>
  <c r="BG208" i="1" s="1"/>
  <c r="DY207" i="1"/>
  <c r="BG207" i="1"/>
  <c r="EI206" i="1"/>
  <c r="EJ206" i="1" s="1"/>
  <c r="DC206" i="1"/>
  <c r="CZ206" i="1"/>
  <c r="CW206" i="1"/>
  <c r="BF206" i="1"/>
  <c r="BG206" i="1" s="1"/>
  <c r="EI205" i="1"/>
  <c r="EJ205" i="1" s="1"/>
  <c r="DC205" i="1"/>
  <c r="CZ205" i="1"/>
  <c r="BF205" i="1"/>
  <c r="BG205" i="1" s="1"/>
  <c r="EI204" i="1"/>
  <c r="EJ204" i="1" s="1"/>
  <c r="DC204" i="1"/>
  <c r="CZ204" i="1"/>
  <c r="BF204" i="1"/>
  <c r="BG204" i="1" s="1"/>
  <c r="EI203" i="1"/>
  <c r="EJ203" i="1" s="1"/>
  <c r="DY203" i="1"/>
  <c r="BF203" i="1"/>
  <c r="BG203" i="1" s="1"/>
  <c r="EI202" i="1"/>
  <c r="EJ202" i="1" s="1"/>
  <c r="DU202" i="1"/>
  <c r="DR202" i="1"/>
  <c r="DO202" i="1"/>
  <c r="DL202" i="1"/>
  <c r="DI202" i="1"/>
  <c r="DF202" i="1"/>
  <c r="DC202" i="1"/>
  <c r="CZ202" i="1"/>
  <c r="CW202" i="1"/>
  <c r="BF202" i="1"/>
  <c r="BG202" i="1" s="1"/>
  <c r="EI201" i="1"/>
  <c r="EJ201" i="1" s="1"/>
  <c r="DU201" i="1"/>
  <c r="DR201" i="1"/>
  <c r="DO201" i="1"/>
  <c r="DL201" i="1"/>
  <c r="DI201" i="1"/>
  <c r="DF201" i="1"/>
  <c r="DC201" i="1"/>
  <c r="CZ201" i="1"/>
  <c r="CW201" i="1"/>
  <c r="BF201" i="1"/>
  <c r="BG201" i="1" s="1"/>
  <c r="EI200" i="1"/>
  <c r="EJ200" i="1" s="1"/>
  <c r="DU200" i="1"/>
  <c r="DR200" i="1"/>
  <c r="DO200" i="1"/>
  <c r="DL200" i="1"/>
  <c r="DI200" i="1"/>
  <c r="DF200" i="1"/>
  <c r="DC200" i="1"/>
  <c r="CZ200" i="1"/>
  <c r="CW200" i="1"/>
  <c r="BF200" i="1"/>
  <c r="BG200" i="1" s="1"/>
  <c r="EI199" i="1"/>
  <c r="EJ199" i="1" s="1"/>
  <c r="CZ199" i="1"/>
  <c r="DY199" i="1" s="1"/>
  <c r="BF199" i="1"/>
  <c r="BG199" i="1" s="1"/>
  <c r="EI198" i="1"/>
  <c r="EJ198" i="1" s="1"/>
  <c r="CZ198" i="1"/>
  <c r="CW198" i="1"/>
  <c r="BF198" i="1"/>
  <c r="BG198" i="1" s="1"/>
  <c r="EI197" i="1"/>
  <c r="EJ197" i="1" s="1"/>
  <c r="CZ197" i="1"/>
  <c r="CW197" i="1"/>
  <c r="BF197" i="1"/>
  <c r="BG197" i="1" s="1"/>
  <c r="EI196" i="1"/>
  <c r="EJ196" i="1" s="1"/>
  <c r="DF196" i="1"/>
  <c r="DC196" i="1"/>
  <c r="CZ196" i="1"/>
  <c r="CW196" i="1"/>
  <c r="BF196" i="1"/>
  <c r="BG196" i="1" s="1"/>
  <c r="EI195" i="1"/>
  <c r="EJ195" i="1" s="1"/>
  <c r="CW195" i="1"/>
  <c r="DY195" i="1" s="1"/>
  <c r="BF195" i="1"/>
  <c r="BG195" i="1" s="1"/>
  <c r="AT195" i="1"/>
  <c r="AS195" i="1"/>
  <c r="DY194" i="1"/>
  <c r="BG194" i="1"/>
  <c r="DY193" i="1"/>
  <c r="BG193" i="1"/>
  <c r="DY192" i="1"/>
  <c r="BG192" i="1"/>
  <c r="EI191" i="1"/>
  <c r="EJ191" i="1" s="1"/>
  <c r="CW191" i="1"/>
  <c r="BF191" i="1"/>
  <c r="BG191" i="1" s="1"/>
  <c r="AT191" i="1"/>
  <c r="EI190" i="1"/>
  <c r="EJ190" i="1" s="1"/>
  <c r="CW190" i="1"/>
  <c r="BF190" i="1"/>
  <c r="BG190" i="1" s="1"/>
  <c r="AT190" i="1"/>
  <c r="EI189" i="1"/>
  <c r="EJ189" i="1" s="1"/>
  <c r="DF189" i="1"/>
  <c r="DC189" i="1"/>
  <c r="CW189" i="1"/>
  <c r="BF189" i="1"/>
  <c r="BG189" i="1" s="1"/>
  <c r="AT189" i="1"/>
  <c r="AO189" i="1"/>
  <c r="AC189" i="1"/>
  <c r="AA189" i="1"/>
  <c r="AD189" i="1" s="1"/>
  <c r="EI187" i="1"/>
  <c r="EJ187" i="1" s="1"/>
  <c r="DY187" i="1"/>
  <c r="BF187" i="1"/>
  <c r="BG187" i="1" s="1"/>
  <c r="AT187" i="1"/>
  <c r="AS187" i="1"/>
  <c r="EI186" i="1"/>
  <c r="EJ186" i="1" s="1"/>
  <c r="DY186" i="1"/>
  <c r="EE186" i="1" s="1"/>
  <c r="BF186" i="1"/>
  <c r="BG186" i="1" s="1"/>
  <c r="AT186" i="1"/>
  <c r="EI185" i="1"/>
  <c r="EJ185" i="1" s="1"/>
  <c r="CW185" i="1"/>
  <c r="DY185" i="1" s="1"/>
  <c r="BF185" i="1"/>
  <c r="BG185" i="1" s="1"/>
  <c r="AT185" i="1"/>
  <c r="EI184" i="1"/>
  <c r="EJ184" i="1" s="1"/>
  <c r="CW184" i="1"/>
  <c r="DY184" i="1" s="1"/>
  <c r="BF184" i="1"/>
  <c r="BG184" i="1" s="1"/>
  <c r="AT184" i="1"/>
  <c r="AO184" i="1"/>
  <c r="EI183" i="1"/>
  <c r="EJ183" i="1" s="1"/>
  <c r="CZ183" i="1"/>
  <c r="CW183" i="1"/>
  <c r="BF183" i="1"/>
  <c r="BG183" i="1" s="1"/>
  <c r="AT183" i="1"/>
  <c r="EI182" i="1"/>
  <c r="EJ182" i="1" s="1"/>
  <c r="CW182" i="1"/>
  <c r="DY182" i="1" s="1"/>
  <c r="BF182" i="1"/>
  <c r="BG182" i="1" s="1"/>
  <c r="AT182" i="1"/>
  <c r="BG180" i="1"/>
  <c r="AT180" i="1"/>
  <c r="AS180" i="1"/>
  <c r="EI179" i="1"/>
  <c r="EJ179" i="1" s="1"/>
  <c r="DC179" i="1"/>
  <c r="CZ179" i="1"/>
  <c r="CW179" i="1"/>
  <c r="BF179" i="1"/>
  <c r="BG179" i="1" s="1"/>
  <c r="EI178" i="1"/>
  <c r="EJ178" i="1" s="1"/>
  <c r="DF178" i="1"/>
  <c r="DC178" i="1"/>
  <c r="CZ178" i="1"/>
  <c r="CW178" i="1"/>
  <c r="BF178" i="1"/>
  <c r="BG178" i="1" s="1"/>
  <c r="EI177" i="1"/>
  <c r="EJ177" i="1" s="1"/>
  <c r="DF177" i="1"/>
  <c r="CZ177" i="1"/>
  <c r="CW177" i="1"/>
  <c r="BF177" i="1"/>
  <c r="BG177" i="1" s="1"/>
  <c r="EI169" i="1"/>
  <c r="EJ169" i="1" s="1"/>
  <c r="DY169" i="1"/>
  <c r="BF169" i="1"/>
  <c r="BG169" i="1" s="1"/>
  <c r="AT169" i="1"/>
  <c r="AS169" i="1"/>
  <c r="EI161" i="1"/>
  <c r="EJ161" i="1" s="1"/>
  <c r="CW161" i="1"/>
  <c r="DY161" i="1" s="1"/>
  <c r="BF161" i="1"/>
  <c r="BG161" i="1" s="1"/>
  <c r="DY160" i="1"/>
  <c r="BG160" i="1"/>
  <c r="EJ159" i="1"/>
  <c r="DY159" i="1"/>
  <c r="BF159" i="1"/>
  <c r="BG159" i="1" s="1"/>
  <c r="EJ158" i="1"/>
  <c r="DY158" i="1"/>
  <c r="BF158" i="1"/>
  <c r="BG158" i="1" s="1"/>
  <c r="EI157" i="1"/>
  <c r="EJ157" i="1" s="1"/>
  <c r="DC157" i="1"/>
  <c r="CW157" i="1"/>
  <c r="BF157" i="1"/>
  <c r="BG157" i="1" s="1"/>
  <c r="EI156" i="1"/>
  <c r="EJ156" i="1" s="1"/>
  <c r="DY156" i="1"/>
  <c r="BF156" i="1"/>
  <c r="BG156" i="1" s="1"/>
  <c r="EI155" i="1"/>
  <c r="EJ155" i="1" s="1"/>
  <c r="DY155" i="1"/>
  <c r="BF155" i="1"/>
  <c r="BG155" i="1" s="1"/>
  <c r="EI154" i="1"/>
  <c r="EJ154" i="1" s="1"/>
  <c r="DF154" i="1"/>
  <c r="CZ154" i="1"/>
  <c r="CW154" i="1"/>
  <c r="BF154" i="1"/>
  <c r="BG154" i="1" s="1"/>
  <c r="DY153" i="1"/>
  <c r="BF153" i="1"/>
  <c r="BG153" i="1" s="1"/>
  <c r="DY152" i="1"/>
  <c r="BF152" i="1"/>
  <c r="BG152" i="1" s="1"/>
  <c r="EI151" i="1"/>
  <c r="EJ151" i="1" s="1"/>
  <c r="DF151" i="1"/>
  <c r="CZ151" i="1"/>
  <c r="CW151" i="1"/>
  <c r="BF151" i="1"/>
  <c r="BG151" i="1" s="1"/>
  <c r="EI150" i="1"/>
  <c r="EJ150" i="1" s="1"/>
  <c r="CZ150" i="1"/>
  <c r="CW150" i="1"/>
  <c r="BF150" i="1"/>
  <c r="BG150" i="1" s="1"/>
  <c r="EI149" i="1"/>
  <c r="EJ149" i="1" s="1"/>
  <c r="CW149" i="1"/>
  <c r="DY149" i="1" s="1"/>
  <c r="BF149" i="1"/>
  <c r="BG149" i="1" s="1"/>
  <c r="EI147" i="1"/>
  <c r="EJ147" i="1" s="1"/>
  <c r="DF147" i="1"/>
  <c r="CZ147" i="1"/>
  <c r="CW147" i="1"/>
  <c r="BF147" i="1"/>
  <c r="BG147" i="1" s="1"/>
  <c r="EI146" i="1"/>
  <c r="EJ146" i="1" s="1"/>
  <c r="CW146" i="1"/>
  <c r="DY146" i="1" s="1"/>
  <c r="BF146" i="1"/>
  <c r="BG146" i="1" s="1"/>
  <c r="AT146" i="1"/>
  <c r="AS146" i="1"/>
  <c r="EI145" i="1"/>
  <c r="EJ145" i="1" s="1"/>
  <c r="CW145" i="1"/>
  <c r="DY145" i="1" s="1"/>
  <c r="BF145" i="1"/>
  <c r="BG145" i="1" s="1"/>
  <c r="BD145" i="1"/>
  <c r="AT145" i="1"/>
  <c r="AS145" i="1"/>
  <c r="EI144" i="1"/>
  <c r="EJ144" i="1" s="1"/>
  <c r="DY144" i="1"/>
  <c r="EE144" i="1" s="1"/>
  <c r="EF144" i="1" s="1"/>
  <c r="BF144" i="1"/>
  <c r="BG144" i="1" s="1"/>
  <c r="AT144" i="1"/>
  <c r="AS144" i="1"/>
  <c r="EI143" i="1"/>
  <c r="EJ143" i="1" s="1"/>
  <c r="DF143" i="1"/>
  <c r="DC143" i="1"/>
  <c r="BF143" i="1"/>
  <c r="BG143" i="1" s="1"/>
  <c r="DY142" i="1"/>
  <c r="BG142" i="1"/>
  <c r="AT142" i="1"/>
  <c r="AS142" i="1"/>
  <c r="AT141" i="1"/>
  <c r="AS141" i="1"/>
  <c r="DY140" i="1"/>
  <c r="BG140" i="1"/>
  <c r="AT140" i="1"/>
  <c r="AS140" i="1"/>
  <c r="DY139" i="1"/>
  <c r="BG139" i="1"/>
  <c r="DY138" i="1"/>
  <c r="BG138" i="1"/>
  <c r="AT138" i="1"/>
  <c r="AS138" i="1"/>
  <c r="DY137" i="1"/>
  <c r="BF137" i="1"/>
  <c r="BG137" i="1" s="1"/>
  <c r="AT137" i="1"/>
  <c r="AS137" i="1"/>
  <c r="EI136" i="1"/>
  <c r="EJ136" i="1" s="1"/>
  <c r="CW136" i="1"/>
  <c r="DY136" i="1" s="1"/>
  <c r="BF136" i="1"/>
  <c r="BG136" i="1" s="1"/>
  <c r="AT136" i="1"/>
  <c r="EI135" i="1"/>
  <c r="EJ135" i="1" s="1"/>
  <c r="CZ135" i="1"/>
  <c r="CW135" i="1"/>
  <c r="BF135" i="1"/>
  <c r="BG135" i="1" s="1"/>
  <c r="AT135" i="1"/>
  <c r="EI134" i="1"/>
  <c r="EJ134" i="1" s="1"/>
  <c r="DY134" i="1"/>
  <c r="BF134" i="1"/>
  <c r="BG134" i="1" s="1"/>
  <c r="AT134" i="1"/>
  <c r="EI133" i="1"/>
  <c r="EJ133" i="1" s="1"/>
  <c r="DY133" i="1"/>
  <c r="BF133" i="1"/>
  <c r="BG133" i="1" s="1"/>
  <c r="AT133" i="1"/>
  <c r="EI132" i="1"/>
  <c r="EJ132" i="1" s="1"/>
  <c r="CW132" i="1"/>
  <c r="DY132" i="1" s="1"/>
  <c r="EE132" i="1" s="1"/>
  <c r="EF132" i="1" s="1"/>
  <c r="BF132" i="1"/>
  <c r="BG132" i="1" s="1"/>
  <c r="AT132" i="1"/>
  <c r="EI131" i="1"/>
  <c r="EJ131" i="1" s="1"/>
  <c r="DY131" i="1"/>
  <c r="BF131" i="1"/>
  <c r="BG131" i="1" s="1"/>
  <c r="AS131" i="1"/>
  <c r="EI130" i="1"/>
  <c r="EJ130" i="1" s="1"/>
  <c r="DC130" i="1"/>
  <c r="CZ130" i="1"/>
  <c r="CW130" i="1"/>
  <c r="BF130" i="1"/>
  <c r="BG130" i="1" s="1"/>
  <c r="BD130" i="1"/>
  <c r="AT130" i="1"/>
  <c r="AS130" i="1"/>
  <c r="EI129" i="1"/>
  <c r="EJ129" i="1" s="1"/>
  <c r="DC129" i="1"/>
  <c r="CZ129" i="1"/>
  <c r="CW129" i="1"/>
  <c r="BF129" i="1"/>
  <c r="BG129" i="1" s="1"/>
  <c r="AT129" i="1"/>
  <c r="AS129" i="1"/>
  <c r="EI128" i="1"/>
  <c r="EJ128" i="1" s="1"/>
  <c r="DY128" i="1"/>
  <c r="BF128" i="1"/>
  <c r="BG128" i="1" s="1"/>
  <c r="BD128" i="1"/>
  <c r="AT128" i="1"/>
  <c r="AS128" i="1"/>
  <c r="DY127" i="1"/>
  <c r="BF127" i="1"/>
  <c r="BG127" i="1" s="1"/>
  <c r="EI126" i="1"/>
  <c r="EJ126" i="1" s="1"/>
  <c r="DY126" i="1"/>
  <c r="BF126" i="1"/>
  <c r="BG126" i="1" s="1"/>
  <c r="AT126" i="1"/>
  <c r="AS126" i="1"/>
  <c r="EI125" i="1"/>
  <c r="EJ125" i="1" s="1"/>
  <c r="CW125" i="1"/>
  <c r="DY125" i="1" s="1"/>
  <c r="BF125" i="1"/>
  <c r="BG125" i="1" s="1"/>
  <c r="AT125" i="1"/>
  <c r="AS125" i="1"/>
  <c r="EI124" i="1"/>
  <c r="EJ124" i="1" s="1"/>
  <c r="CW124" i="1"/>
  <c r="DY124" i="1" s="1"/>
  <c r="BF124" i="1"/>
  <c r="BG124" i="1" s="1"/>
  <c r="AT124" i="1"/>
  <c r="AS124" i="1"/>
  <c r="DY123" i="1"/>
  <c r="BF123" i="1"/>
  <c r="BG123" i="1" s="1"/>
  <c r="AT123" i="1"/>
  <c r="AS123" i="1"/>
  <c r="EI122" i="1"/>
  <c r="EJ122" i="1" s="1"/>
  <c r="CZ122" i="1"/>
  <c r="DY122" i="1" s="1"/>
  <c r="BF122" i="1"/>
  <c r="BG122" i="1" s="1"/>
  <c r="AT122" i="1"/>
  <c r="AS122" i="1"/>
  <c r="EI121" i="1"/>
  <c r="EJ121" i="1" s="1"/>
  <c r="CZ121" i="1"/>
  <c r="CW121" i="1"/>
  <c r="BF121" i="1"/>
  <c r="BG121" i="1" s="1"/>
  <c r="AT121" i="1"/>
  <c r="AS121" i="1"/>
  <c r="EI120" i="1"/>
  <c r="EJ120" i="1" s="1"/>
  <c r="CW120" i="1"/>
  <c r="DY120" i="1" s="1"/>
  <c r="BF120" i="1"/>
  <c r="BG120" i="1" s="1"/>
  <c r="AT120" i="1"/>
  <c r="AS120" i="1"/>
  <c r="EI119" i="1"/>
  <c r="EJ119" i="1" s="1"/>
  <c r="CZ119" i="1"/>
  <c r="CW119" i="1"/>
  <c r="BF119" i="1"/>
  <c r="BG119" i="1" s="1"/>
  <c r="AT119" i="1"/>
  <c r="AS119" i="1"/>
  <c r="EI118" i="1"/>
  <c r="EJ118" i="1" s="1"/>
  <c r="CW118" i="1"/>
  <c r="DY118" i="1" s="1"/>
  <c r="BF118" i="1"/>
  <c r="BG118" i="1" s="1"/>
  <c r="AT118" i="1"/>
  <c r="AS118" i="1"/>
  <c r="EI117" i="1"/>
  <c r="EJ117" i="1" s="1"/>
  <c r="DF117" i="1"/>
  <c r="CW117" i="1"/>
  <c r="BF117" i="1"/>
  <c r="BG117" i="1" s="1"/>
  <c r="AT117" i="1"/>
  <c r="AS117" i="1"/>
  <c r="EI116" i="1"/>
  <c r="EJ116" i="1" s="1"/>
  <c r="CW116" i="1"/>
  <c r="DY116" i="1" s="1"/>
  <c r="BF116" i="1"/>
  <c r="BG116" i="1" s="1"/>
  <c r="AT116" i="1"/>
  <c r="AS116" i="1"/>
  <c r="EI115" i="1"/>
  <c r="EJ115" i="1" s="1"/>
  <c r="CW115" i="1"/>
  <c r="DY115" i="1" s="1"/>
  <c r="BF115" i="1"/>
  <c r="BG115" i="1" s="1"/>
  <c r="AT115" i="1"/>
  <c r="AS115" i="1"/>
  <c r="BG114" i="1"/>
  <c r="DY113" i="1"/>
  <c r="BG113" i="1"/>
  <c r="DY112" i="1"/>
  <c r="BG112" i="1"/>
  <c r="DY111" i="1"/>
  <c r="BG111" i="1"/>
  <c r="EI110" i="1"/>
  <c r="EJ110" i="1" s="1"/>
  <c r="CW110" i="1"/>
  <c r="DY110" i="1" s="1"/>
  <c r="BF110" i="1"/>
  <c r="BG110" i="1" s="1"/>
  <c r="EI109" i="1"/>
  <c r="EJ109" i="1" s="1"/>
  <c r="CW109" i="1"/>
  <c r="DY109" i="1" s="1"/>
  <c r="BF109" i="1"/>
  <c r="BG109" i="1" s="1"/>
  <c r="EI108" i="1"/>
  <c r="EJ108" i="1" s="1"/>
  <c r="DC108" i="1"/>
  <c r="CW108" i="1"/>
  <c r="BF108" i="1"/>
  <c r="BG108" i="1" s="1"/>
  <c r="EM107" i="1"/>
  <c r="EI107" i="1"/>
  <c r="EJ107" i="1" s="1"/>
  <c r="DF107" i="1"/>
  <c r="DC107" i="1"/>
  <c r="CZ107" i="1"/>
  <c r="CW107" i="1"/>
  <c r="BF107" i="1"/>
  <c r="BG107" i="1" s="1"/>
  <c r="DY106" i="1"/>
  <c r="BG106" i="1"/>
  <c r="DY105" i="1"/>
  <c r="BG105" i="1"/>
  <c r="DY104" i="1"/>
  <c r="BG104" i="1"/>
  <c r="EI103" i="1"/>
  <c r="EJ103" i="1" s="1"/>
  <c r="EM103" i="1" s="1"/>
  <c r="DY103" i="1"/>
  <c r="BF103" i="1"/>
  <c r="BG103" i="1" s="1"/>
  <c r="EI102" i="1"/>
  <c r="EJ102" i="1" s="1"/>
  <c r="EM102" i="1" s="1"/>
  <c r="DY102" i="1"/>
  <c r="BF102" i="1"/>
  <c r="BG102" i="1" s="1"/>
  <c r="EI101" i="1"/>
  <c r="EJ101" i="1" s="1"/>
  <c r="EM101" i="1" s="1"/>
  <c r="DF101" i="1"/>
  <c r="CW101" i="1"/>
  <c r="BF101" i="1"/>
  <c r="BG101" i="1" s="1"/>
  <c r="EI100" i="1"/>
  <c r="EJ100" i="1" s="1"/>
  <c r="EM100" i="1" s="1"/>
  <c r="DC100" i="1"/>
  <c r="CZ100" i="1"/>
  <c r="CW100" i="1"/>
  <c r="BF100" i="1"/>
  <c r="BG100" i="1" s="1"/>
  <c r="AT100" i="1"/>
  <c r="AS100" i="1"/>
  <c r="EI99" i="1"/>
  <c r="EJ99" i="1" s="1"/>
  <c r="CZ99" i="1"/>
  <c r="CW99" i="1"/>
  <c r="BF99" i="1"/>
  <c r="BG99" i="1" s="1"/>
  <c r="EI98" i="1"/>
  <c r="EJ98" i="1" s="1"/>
  <c r="DY98" i="1"/>
  <c r="BF98" i="1"/>
  <c r="BG98" i="1" s="1"/>
  <c r="EI97" i="1"/>
  <c r="EJ97" i="1" s="1"/>
  <c r="DC97" i="1"/>
  <c r="CW97" i="1"/>
  <c r="BF97" i="1"/>
  <c r="BG97" i="1" s="1"/>
  <c r="EI96" i="1"/>
  <c r="EJ96" i="1" s="1"/>
  <c r="CW96" i="1"/>
  <c r="DY96" i="1" s="1"/>
  <c r="BF96" i="1"/>
  <c r="BG96" i="1" s="1"/>
  <c r="EI95" i="1"/>
  <c r="EJ95" i="1" s="1"/>
  <c r="CZ95" i="1"/>
  <c r="CW95" i="1"/>
  <c r="BF95" i="1"/>
  <c r="BG95" i="1" s="1"/>
  <c r="EI94" i="1"/>
  <c r="EJ94" i="1" s="1"/>
  <c r="CZ94" i="1"/>
  <c r="CW94" i="1"/>
  <c r="BF94" i="1"/>
  <c r="BG94" i="1" s="1"/>
  <c r="EI93" i="1"/>
  <c r="EJ93" i="1" s="1"/>
  <c r="CW93" i="1"/>
  <c r="DY93" i="1" s="1"/>
  <c r="BF93" i="1"/>
  <c r="BG93" i="1" s="1"/>
  <c r="EI92" i="1"/>
  <c r="EJ92" i="1" s="1"/>
  <c r="CW92" i="1"/>
  <c r="DY92" i="1" s="1"/>
  <c r="BF92" i="1"/>
  <c r="BG92" i="1" s="1"/>
  <c r="EI91" i="1"/>
  <c r="EJ91" i="1" s="1"/>
  <c r="CW91" i="1"/>
  <c r="DY91" i="1" s="1"/>
  <c r="BF91" i="1"/>
  <c r="BG91" i="1" s="1"/>
  <c r="EI90" i="1"/>
  <c r="EJ90" i="1" s="1"/>
  <c r="CW90" i="1"/>
  <c r="DY90" i="1" s="1"/>
  <c r="BF90" i="1"/>
  <c r="BG90" i="1" s="1"/>
  <c r="EI89" i="1"/>
  <c r="EJ89" i="1" s="1"/>
  <c r="CW89" i="1"/>
  <c r="DY89" i="1" s="1"/>
  <c r="EE89" i="1" s="1"/>
  <c r="EF89" i="1" s="1"/>
  <c r="BF89" i="1"/>
  <c r="BG89" i="1" s="1"/>
  <c r="FC88" i="1"/>
  <c r="EY88" i="1"/>
  <c r="EU88" i="1"/>
  <c r="EQ88" i="1"/>
  <c r="EI88" i="1"/>
  <c r="EJ88" i="1" s="1"/>
  <c r="DY88" i="1"/>
  <c r="AT88" i="1"/>
  <c r="AB88" i="1"/>
  <c r="DY87" i="1"/>
  <c r="BG87" i="1"/>
  <c r="AT87" i="1"/>
  <c r="AS87" i="1"/>
  <c r="EI86" i="1"/>
  <c r="EJ86" i="1" s="1"/>
  <c r="CW86" i="1"/>
  <c r="DY86" i="1" s="1"/>
  <c r="BF86" i="1"/>
  <c r="BG86" i="1" s="1"/>
  <c r="AT86" i="1"/>
  <c r="EI85" i="1"/>
  <c r="EJ85" i="1" s="1"/>
  <c r="DY85" i="1"/>
  <c r="BF85" i="1"/>
  <c r="BG85" i="1" s="1"/>
  <c r="EI84" i="1"/>
  <c r="EJ84" i="1" s="1"/>
  <c r="DY84" i="1"/>
  <c r="BF84" i="1"/>
  <c r="BG84" i="1" s="1"/>
  <c r="EI83" i="1"/>
  <c r="EJ83" i="1" s="1"/>
  <c r="DY83" i="1"/>
  <c r="BF83" i="1"/>
  <c r="BG83" i="1" s="1"/>
  <c r="AT83" i="1"/>
  <c r="DY82" i="1"/>
  <c r="BG82" i="1"/>
  <c r="AT82" i="1"/>
  <c r="AS82" i="1"/>
  <c r="EI81" i="1"/>
  <c r="EJ81" i="1" s="1"/>
  <c r="DY81" i="1"/>
  <c r="BF81" i="1"/>
  <c r="BG81" i="1" s="1"/>
  <c r="EI80" i="1"/>
  <c r="EJ80" i="1" s="1"/>
  <c r="DC80" i="1"/>
  <c r="CZ80" i="1"/>
  <c r="CW80" i="1"/>
  <c r="BF80" i="1"/>
  <c r="BG80" i="1" s="1"/>
  <c r="EI79" i="1"/>
  <c r="EJ79" i="1" s="1"/>
  <c r="DY79" i="1"/>
  <c r="BF79" i="1"/>
  <c r="BG79" i="1" s="1"/>
  <c r="EI78" i="1"/>
  <c r="EJ78" i="1" s="1"/>
  <c r="CW78" i="1"/>
  <c r="DY78" i="1" s="1"/>
  <c r="BF78" i="1"/>
  <c r="BG78" i="1" s="1"/>
  <c r="EI77" i="1"/>
  <c r="EJ77" i="1" s="1"/>
  <c r="DY77" i="1"/>
  <c r="BF77" i="1"/>
  <c r="BG77" i="1" s="1"/>
  <c r="EI76" i="1"/>
  <c r="EJ76" i="1" s="1"/>
  <c r="DC76" i="1"/>
  <c r="CZ76" i="1"/>
  <c r="CW76" i="1"/>
  <c r="BF76" i="1"/>
  <c r="BG76" i="1" s="1"/>
  <c r="EI75" i="1"/>
  <c r="EJ75" i="1" s="1"/>
  <c r="CW75" i="1"/>
  <c r="DY75" i="1" s="1"/>
  <c r="BF75" i="1"/>
  <c r="BG75" i="1" s="1"/>
  <c r="EI74" i="1"/>
  <c r="EJ74" i="1" s="1"/>
  <c r="CZ74" i="1"/>
  <c r="CW74" i="1"/>
  <c r="BF74" i="1"/>
  <c r="BG74" i="1" s="1"/>
  <c r="EI73" i="1"/>
  <c r="EJ73" i="1" s="1"/>
  <c r="DY73" i="1"/>
  <c r="BF73" i="1"/>
  <c r="BG73" i="1" s="1"/>
  <c r="EI72" i="1"/>
  <c r="EJ72" i="1" s="1"/>
  <c r="CW72" i="1"/>
  <c r="DY72" i="1" s="1"/>
  <c r="BF72" i="1"/>
  <c r="BG72" i="1" s="1"/>
  <c r="EI71" i="1"/>
  <c r="EJ71" i="1" s="1"/>
  <c r="CW71" i="1"/>
  <c r="DY71" i="1" s="1"/>
  <c r="BF71" i="1"/>
  <c r="BG71" i="1" s="1"/>
  <c r="EI70" i="1"/>
  <c r="EJ70" i="1" s="1"/>
  <c r="DC70" i="1"/>
  <c r="CZ70" i="1"/>
  <c r="BF70" i="1"/>
  <c r="BG70" i="1" s="1"/>
  <c r="AT70" i="1"/>
  <c r="AS70" i="1"/>
  <c r="EI69" i="1"/>
  <c r="EJ69" i="1" s="1"/>
  <c r="DY69" i="1"/>
  <c r="BF69" i="1"/>
  <c r="BG69" i="1" s="1"/>
  <c r="AT69" i="1"/>
  <c r="AS69" i="1"/>
  <c r="EI68" i="1"/>
  <c r="EJ68" i="1" s="1"/>
  <c r="CZ68" i="1"/>
  <c r="CW68" i="1"/>
  <c r="BF68" i="1"/>
  <c r="BG68" i="1" s="1"/>
  <c r="EI67" i="1"/>
  <c r="EJ67" i="1" s="1"/>
  <c r="CZ67" i="1"/>
  <c r="CW67" i="1"/>
  <c r="BF67" i="1"/>
  <c r="BG67" i="1" s="1"/>
  <c r="EI66" i="1"/>
  <c r="EJ66" i="1" s="1"/>
  <c r="CW66" i="1"/>
  <c r="DY66" i="1" s="1"/>
  <c r="BF66" i="1"/>
  <c r="BG66" i="1" s="1"/>
  <c r="EI65" i="1"/>
  <c r="EJ65" i="1" s="1"/>
  <c r="CZ65" i="1"/>
  <c r="CW65" i="1"/>
  <c r="BF65" i="1"/>
  <c r="BG65" i="1" s="1"/>
  <c r="BD65" i="1"/>
  <c r="AT65" i="1"/>
  <c r="AS65" i="1"/>
  <c r="EI64" i="1"/>
  <c r="EJ64" i="1" s="1"/>
  <c r="CW64" i="1"/>
  <c r="DY64" i="1" s="1"/>
  <c r="BF64" i="1"/>
  <c r="BG64" i="1" s="1"/>
  <c r="BD64" i="1"/>
  <c r="AT64" i="1"/>
  <c r="AS64" i="1"/>
  <c r="EI63" i="1"/>
  <c r="EJ63" i="1" s="1"/>
  <c r="CZ63" i="1"/>
  <c r="CW63" i="1"/>
  <c r="BF63" i="1"/>
  <c r="BG63" i="1" s="1"/>
  <c r="AT63" i="1"/>
  <c r="AS63" i="1"/>
  <c r="EQ62" i="1"/>
  <c r="EI62" i="1"/>
  <c r="EJ62" i="1" s="1"/>
  <c r="CW62" i="1"/>
  <c r="DY62" i="1" s="1"/>
  <c r="BF62" i="1"/>
  <c r="BG62" i="1" s="1"/>
  <c r="AT62" i="1"/>
  <c r="AS62" i="1"/>
  <c r="DY40" i="1"/>
  <c r="BF40" i="1"/>
  <c r="BG40" i="1" s="1"/>
  <c r="DY39" i="1"/>
  <c r="BF39" i="1"/>
  <c r="BG39" i="1" s="1"/>
  <c r="DY38" i="1"/>
  <c r="BF38" i="1"/>
  <c r="BG38" i="1" s="1"/>
  <c r="AT38" i="1"/>
  <c r="AS38" i="1"/>
  <c r="DY37" i="1"/>
  <c r="BF37" i="1"/>
  <c r="BG37" i="1" s="1"/>
  <c r="AT37" i="1"/>
  <c r="AS37" i="1"/>
  <c r="DY36" i="1"/>
  <c r="BF36" i="1"/>
  <c r="BG36" i="1" s="1"/>
  <c r="AT36" i="1"/>
  <c r="AS36" i="1"/>
  <c r="DY35" i="1"/>
  <c r="BF35" i="1"/>
  <c r="BG35" i="1" s="1"/>
  <c r="AT35" i="1"/>
  <c r="AS35" i="1"/>
  <c r="DY34" i="1"/>
  <c r="BF34" i="1"/>
  <c r="BG34" i="1" s="1"/>
  <c r="AT34" i="1"/>
  <c r="AS34" i="1"/>
  <c r="DY33" i="1"/>
  <c r="BF33" i="1"/>
  <c r="BG33" i="1" s="1"/>
  <c r="AT33" i="1"/>
  <c r="AS33" i="1"/>
  <c r="DY32" i="1"/>
  <c r="BF32" i="1"/>
  <c r="BG32" i="1" s="1"/>
  <c r="AT32" i="1"/>
  <c r="AS32" i="1"/>
  <c r="DY31" i="1"/>
  <c r="BF31" i="1"/>
  <c r="BG31" i="1" s="1"/>
  <c r="AT31" i="1"/>
  <c r="AS31" i="1"/>
  <c r="DY30" i="1"/>
  <c r="BF30" i="1"/>
  <c r="BG30" i="1" s="1"/>
  <c r="AT30" i="1"/>
  <c r="AS30" i="1"/>
  <c r="DY29" i="1"/>
  <c r="BF29" i="1"/>
  <c r="BG29" i="1" s="1"/>
  <c r="AT29" i="1"/>
  <c r="AS29" i="1"/>
  <c r="DY28" i="1"/>
  <c r="BF28" i="1"/>
  <c r="BG28" i="1" s="1"/>
  <c r="AT28" i="1"/>
  <c r="AS28" i="1"/>
  <c r="DY27" i="1"/>
  <c r="BF27" i="1"/>
  <c r="BG27" i="1" s="1"/>
  <c r="DY26" i="1"/>
  <c r="BF26" i="1"/>
  <c r="BG26" i="1" s="1"/>
  <c r="DY25" i="1"/>
  <c r="BF25" i="1"/>
  <c r="BG25" i="1" s="1"/>
  <c r="DY24" i="1"/>
  <c r="BF24" i="1"/>
  <c r="BG24" i="1" s="1"/>
  <c r="DY23" i="1"/>
  <c r="BF23" i="1"/>
  <c r="BG23" i="1" s="1"/>
  <c r="DY22" i="1"/>
  <c r="BF22" i="1"/>
  <c r="BG22" i="1" s="1"/>
  <c r="DY21" i="1"/>
  <c r="BF21" i="1"/>
  <c r="BG21" i="1" s="1"/>
  <c r="EI19" i="1"/>
  <c r="EJ19" i="1" s="1"/>
  <c r="DY19" i="1"/>
  <c r="CA19" i="1"/>
  <c r="BF19" i="1"/>
  <c r="BG19" i="1" s="1"/>
  <c r="AT19" i="1"/>
  <c r="AO19" i="1"/>
  <c r="EI18" i="1"/>
  <c r="EJ18" i="1" s="1"/>
  <c r="DY18" i="1"/>
  <c r="BF18" i="1"/>
  <c r="BG18" i="1" s="1"/>
  <c r="AT18" i="1"/>
  <c r="EI17" i="1"/>
  <c r="EJ17" i="1" s="1"/>
  <c r="CW17" i="1"/>
  <c r="DY17" i="1" s="1"/>
  <c r="BF17" i="1"/>
  <c r="BG17" i="1" s="1"/>
  <c r="AT17" i="1"/>
  <c r="AS17" i="1"/>
  <c r="EI16" i="1"/>
  <c r="EJ16" i="1" s="1"/>
  <c r="CW16" i="1"/>
  <c r="DY16" i="1" s="1"/>
  <c r="AT16" i="1"/>
  <c r="AS16" i="1"/>
  <c r="AQ16" i="1"/>
  <c r="BF16" i="1" s="1"/>
  <c r="BG16" i="1" s="1"/>
  <c r="EI15" i="1"/>
  <c r="EJ15" i="1" s="1"/>
  <c r="DY15" i="1"/>
  <c r="BT15" i="1"/>
  <c r="BG15" i="1"/>
  <c r="AT15" i="1"/>
  <c r="AS15" i="1"/>
  <c r="EI14" i="1"/>
  <c r="EJ14" i="1" s="1"/>
  <c r="CW14" i="1"/>
  <c r="DY14" i="1" s="1"/>
  <c r="BF14" i="1"/>
  <c r="BG14" i="1" s="1"/>
  <c r="AT14" i="1"/>
  <c r="EI13" i="1"/>
  <c r="EJ13" i="1" s="1"/>
  <c r="CW13" i="1"/>
  <c r="DY13" i="1" s="1"/>
  <c r="BF13" i="1"/>
  <c r="BG13" i="1" s="1"/>
  <c r="AT13" i="1"/>
  <c r="EI12" i="1"/>
  <c r="EJ12" i="1" s="1"/>
  <c r="DY12" i="1"/>
  <c r="BF12" i="1"/>
  <c r="BG12" i="1" s="1"/>
  <c r="AT12" i="1"/>
  <c r="AS12" i="1"/>
  <c r="EI11" i="1"/>
  <c r="EJ11" i="1" s="1"/>
  <c r="DY11" i="1"/>
  <c r="BF11" i="1"/>
  <c r="BG11" i="1" s="1"/>
  <c r="AT11" i="1"/>
  <c r="EI10" i="1"/>
  <c r="EJ10" i="1" s="1"/>
  <c r="DY10" i="1"/>
  <c r="AQ10" i="1"/>
  <c r="BF10" i="1" s="1"/>
  <c r="BG10" i="1" s="1"/>
  <c r="EI9" i="1"/>
  <c r="EJ9" i="1" s="1"/>
  <c r="DY9" i="1"/>
  <c r="BF9" i="1"/>
  <c r="BG9" i="1" s="1"/>
  <c r="AT9" i="1"/>
  <c r="EI8" i="1"/>
  <c r="EJ8" i="1" s="1"/>
  <c r="DY8" i="1"/>
  <c r="BF8" i="1"/>
  <c r="BG8" i="1" s="1"/>
  <c r="AT8" i="1"/>
  <c r="EI7" i="1"/>
  <c r="EJ7" i="1" s="1"/>
  <c r="DY7" i="1"/>
  <c r="BF7" i="1"/>
  <c r="BG7" i="1" s="1"/>
  <c r="AT7" i="1"/>
  <c r="EI6" i="1"/>
  <c r="EJ6" i="1" s="1"/>
  <c r="DY6" i="1"/>
  <c r="AQ6" i="1"/>
  <c r="DY5" i="1"/>
  <c r="BF5" i="1"/>
  <c r="BG5" i="1" s="1"/>
  <c r="AT5" i="1"/>
  <c r="AS5" i="1"/>
  <c r="DY4" i="1"/>
  <c r="BG4" i="1"/>
  <c r="AT4" i="1"/>
  <c r="AS4" i="1"/>
  <c r="AO4" i="1"/>
  <c r="EI3" i="1"/>
  <c r="EJ3" i="1" s="1"/>
  <c r="CZ3" i="1"/>
  <c r="CW3" i="1"/>
  <c r="BF3" i="1"/>
  <c r="BG3" i="1" s="1"/>
  <c r="EI2" i="1"/>
  <c r="EJ2" i="1" s="1"/>
  <c r="EM2" i="1" s="1"/>
  <c r="CZ2" i="1"/>
  <c r="CW2" i="1"/>
  <c r="BF2" i="1"/>
  <c r="BG2" i="1" s="1"/>
  <c r="AH189" i="1" l="1"/>
  <c r="AD371" i="1"/>
  <c r="AL376" i="1"/>
  <c r="DY157" i="1"/>
  <c r="AF189" i="1"/>
  <c r="DY204" i="1"/>
  <c r="DY209" i="1"/>
  <c r="DY206" i="1"/>
  <c r="DY95" i="1"/>
  <c r="DY121" i="1"/>
  <c r="DY198" i="1"/>
  <c r="DY2" i="1"/>
  <c r="DY257" i="1"/>
  <c r="DY201" i="1"/>
  <c r="DY205" i="1"/>
  <c r="DY147" i="1"/>
  <c r="DY208" i="1"/>
  <c r="DY68" i="1"/>
  <c r="DY70" i="1"/>
  <c r="DY143" i="1"/>
  <c r="EE143" i="1" s="1"/>
  <c r="EF143" i="1" s="1"/>
  <c r="DY183" i="1"/>
  <c r="DY197" i="1"/>
  <c r="DY213" i="1"/>
  <c r="DY223" i="1"/>
  <c r="DY67" i="1"/>
  <c r="DY80" i="1"/>
  <c r="BF88" i="1"/>
  <c r="BG88" i="1" s="1"/>
  <c r="DY94" i="1"/>
  <c r="DY117" i="1"/>
  <c r="DY119" i="1"/>
  <c r="DY150" i="1"/>
  <c r="DY210" i="1"/>
  <c r="DY222" i="1"/>
  <c r="DY178" i="1"/>
  <c r="DY196" i="1"/>
  <c r="DY107" i="1"/>
  <c r="DY189" i="1"/>
  <c r="DY63" i="1"/>
  <c r="DY76" i="1"/>
  <c r="DY135" i="1"/>
  <c r="DY177" i="1"/>
  <c r="BG212" i="1"/>
  <c r="BG372" i="1" s="1"/>
  <c r="BF372" i="1"/>
  <c r="DY202" i="1"/>
  <c r="DY65" i="1"/>
  <c r="DY219" i="1"/>
  <c r="DY154" i="1"/>
  <c r="AT6" i="1"/>
  <c r="DY179" i="1"/>
  <c r="DY108" i="1"/>
  <c r="DY130" i="1"/>
  <c r="DY200" i="1"/>
  <c r="DY3" i="1"/>
  <c r="DY129" i="1"/>
  <c r="DY74" i="1"/>
  <c r="FD88" i="1"/>
  <c r="DY100" i="1"/>
  <c r="BF6" i="1"/>
  <c r="BG6" i="1" s="1"/>
  <c r="DY151" i="1"/>
  <c r="AS10" i="1"/>
  <c r="AT10" i="1"/>
  <c r="DY101" i="1"/>
  <c r="AS6" i="1"/>
  <c r="DY99" i="1"/>
  <c r="DY97" i="1"/>
  <c r="AK377" i="1" l="1"/>
  <c r="AL377" i="1"/>
  <c r="AF371" i="1"/>
  <c r="AJ189" i="1"/>
  <c r="AB360" i="1" l="1"/>
  <c r="DY351" i="1" l="1"/>
  <c r="BG351" i="1"/>
  <c r="AT283" i="1" l="1"/>
  <c r="AT284" i="1"/>
  <c r="AS283" i="1"/>
  <c r="AS284" i="1"/>
  <c r="AT279" i="1"/>
  <c r="AT278" i="1"/>
  <c r="AT277" i="1"/>
  <c r="AS279" i="1"/>
  <c r="AS278" i="1"/>
  <c r="AS277" i="1"/>
  <c r="AT358" i="1"/>
  <c r="AS358" i="1"/>
  <c r="BF350" i="1" l="1"/>
  <c r="BF348" i="1"/>
  <c r="BF347" i="1"/>
  <c r="AT353" i="1" l="1"/>
  <c r="AS353" i="1"/>
  <c r="AT355" i="1"/>
  <c r="AS355" i="1"/>
  <c r="AT354" i="1"/>
  <c r="AS354" i="1"/>
  <c r="AT350" i="1"/>
  <c r="AT348" i="1"/>
  <c r="AS350" i="1"/>
  <c r="AS348" i="1"/>
  <c r="AT347" i="1"/>
  <c r="AS347" i="1"/>
  <c r="AO353" i="1" l="1"/>
  <c r="EJ348" i="1" l="1"/>
  <c r="BF344" i="1" l="1"/>
  <c r="BF343" i="1"/>
  <c r="BF342" i="1"/>
  <c r="BF340" i="1"/>
  <c r="BF339" i="1"/>
  <c r="BF338" i="1"/>
  <c r="BF337" i="1"/>
  <c r="BF336" i="1"/>
  <c r="BF335" i="1"/>
  <c r="BF334" i="1"/>
  <c r="BF333" i="1"/>
  <c r="BF332" i="1"/>
  <c r="BF331" i="1"/>
  <c r="BF330" i="1"/>
  <c r="BF329" i="1"/>
  <c r="BF327" i="1"/>
  <c r="BF326" i="1"/>
  <c r="BF325" i="1"/>
  <c r="BF318" i="1"/>
  <c r="BF317" i="1"/>
  <c r="BF316" i="1"/>
  <c r="BF314" i="1"/>
  <c r="BF300" i="1"/>
  <c r="BF298" i="1"/>
  <c r="BF297" i="1"/>
  <c r="BF296" i="1"/>
  <c r="BF295" i="1"/>
  <c r="BF294" i="1"/>
  <c r="BF293" i="1"/>
  <c r="BF292" i="1"/>
  <c r="BF291" i="1"/>
  <c r="BF290" i="1"/>
  <c r="BF289" i="1"/>
  <c r="BF286" i="1"/>
  <c r="BF284" i="1"/>
  <c r="BF283" i="1"/>
  <c r="BF282" i="1"/>
  <c r="BF281" i="1"/>
  <c r="BF280" i="1"/>
  <c r="BF279" i="1"/>
  <c r="BF278" i="1"/>
  <c r="BF277" i="1"/>
  <c r="BF276" i="1"/>
  <c r="BF275" i="1"/>
  <c r="BF315" i="1" l="1"/>
  <c r="BF313" i="1"/>
  <c r="BG347" i="1" l="1"/>
  <c r="BG348" i="1"/>
  <c r="BG349" i="1"/>
  <c r="BG350" i="1"/>
  <c r="BG353" i="1"/>
  <c r="BG356" i="1"/>
  <c r="BG357" i="1"/>
  <c r="BG358" i="1"/>
  <c r="BG359" i="1"/>
  <c r="BG360" i="1"/>
  <c r="BG361" i="1"/>
  <c r="BG363" i="1"/>
  <c r="BG364" i="1"/>
  <c r="BG365" i="1"/>
  <c r="BG366" i="1"/>
  <c r="BG367" i="1"/>
  <c r="BG371" i="1"/>
  <c r="BG285" i="1"/>
  <c r="BG287" i="1"/>
  <c r="BG299" i="1"/>
  <c r="BG301" i="1"/>
  <c r="BG302" i="1"/>
  <c r="BG303" i="1"/>
  <c r="BG304" i="1"/>
  <c r="BG305" i="1"/>
  <c r="BG306" i="1"/>
  <c r="BG307" i="1"/>
  <c r="BG308" i="1"/>
  <c r="BG309" i="1"/>
  <c r="BG310" i="1"/>
  <c r="BG311" i="1"/>
  <c r="BG312" i="1"/>
  <c r="BG319" i="1"/>
  <c r="BG320" i="1"/>
  <c r="BG321" i="1"/>
  <c r="BG322" i="1"/>
  <c r="BG323" i="1"/>
  <c r="BG324" i="1"/>
  <c r="BG328" i="1"/>
  <c r="BF370" i="1" l="1"/>
  <c r="BG370" i="1" s="1"/>
  <c r="CZ281" i="1" l="1"/>
  <c r="DF280" i="1"/>
  <c r="DC280" i="1"/>
  <c r="DC279" i="1"/>
  <c r="CZ279" i="1"/>
  <c r="CZ278" i="1"/>
  <c r="DC277" i="1"/>
  <c r="CZ277" i="1"/>
  <c r="DF283" i="1"/>
  <c r="AS296" i="1" l="1"/>
  <c r="AT356" i="1" l="1"/>
  <c r="AS356" i="1"/>
  <c r="AS281" i="1"/>
  <c r="AS282" i="1"/>
  <c r="AS280" i="1"/>
  <c r="AT281" i="1"/>
  <c r="AT282" i="1"/>
  <c r="BF346" i="1" l="1"/>
  <c r="BG346" i="1" s="1"/>
  <c r="BF345" i="1"/>
  <c r="BG345" i="1" s="1"/>
  <c r="BG344" i="1"/>
  <c r="BG343" i="1"/>
  <c r="BG342" i="1"/>
  <c r="BG340" i="1"/>
  <c r="BG339" i="1"/>
  <c r="BG338" i="1"/>
  <c r="BG337" i="1"/>
  <c r="BG336" i="1"/>
  <c r="BG335" i="1"/>
  <c r="BG334" i="1"/>
  <c r="BG333" i="1"/>
  <c r="BG332" i="1"/>
  <c r="BG331" i="1"/>
  <c r="BG330" i="1"/>
  <c r="BG329" i="1"/>
  <c r="BG327" i="1"/>
  <c r="BG326" i="1"/>
  <c r="BG325" i="1"/>
  <c r="BG318" i="1"/>
  <c r="BG317" i="1"/>
  <c r="BG316" i="1"/>
  <c r="BG315" i="1"/>
  <c r="BG314" i="1"/>
  <c r="BG313" i="1"/>
  <c r="BG300" i="1"/>
  <c r="BG298" i="1"/>
  <c r="BG297" i="1"/>
  <c r="BG296" i="1"/>
  <c r="BG295" i="1"/>
  <c r="BG294" i="1"/>
  <c r="BG293" i="1"/>
  <c r="BG292" i="1"/>
  <c r="BG291" i="1"/>
  <c r="BG290" i="1"/>
  <c r="BG289" i="1"/>
  <c r="BG286" i="1"/>
  <c r="BG284" i="1"/>
  <c r="BG283" i="1"/>
  <c r="BG282" i="1"/>
  <c r="BG281" i="1"/>
  <c r="BG280" i="1"/>
  <c r="BG279" i="1"/>
  <c r="BG278" i="1"/>
  <c r="BG277" i="1"/>
  <c r="BG276" i="1"/>
  <c r="BG275" i="1"/>
  <c r="AT296" i="1" l="1"/>
  <c r="DY370" i="1" l="1"/>
  <c r="DY367" i="1"/>
  <c r="DY366" i="1"/>
  <c r="DY365" i="1"/>
  <c r="DY364" i="1"/>
  <c r="DY363" i="1"/>
  <c r="DY361" i="1"/>
  <c r="DY360" i="1"/>
  <c r="DY359" i="1"/>
  <c r="DY358" i="1"/>
  <c r="DY357" i="1"/>
  <c r="DY356" i="1"/>
  <c r="DY350" i="1"/>
  <c r="DY349" i="1"/>
  <c r="DY348" i="1"/>
  <c r="DY346" i="1"/>
  <c r="DY345" i="1"/>
  <c r="DY344" i="1"/>
  <c r="DY343" i="1"/>
  <c r="DY342" i="1"/>
  <c r="DY341" i="1"/>
  <c r="DY340" i="1"/>
  <c r="DY339" i="1"/>
  <c r="DY338" i="1"/>
  <c r="DY337" i="1"/>
  <c r="DY336" i="1"/>
  <c r="DY335" i="1"/>
  <c r="DY334" i="1"/>
  <c r="DY333" i="1"/>
  <c r="DY332" i="1"/>
  <c r="DY331" i="1"/>
  <c r="DY330" i="1"/>
  <c r="DY329" i="1"/>
  <c r="DY328" i="1"/>
  <c r="DY327" i="1"/>
  <c r="DY326" i="1"/>
  <c r="DY325" i="1"/>
  <c r="DY324" i="1"/>
  <c r="DY323" i="1"/>
  <c r="DY322" i="1"/>
  <c r="DY321" i="1"/>
  <c r="DY320" i="1"/>
  <c r="DY319" i="1"/>
  <c r="DY318" i="1"/>
  <c r="DY317" i="1"/>
  <c r="DY316" i="1"/>
  <c r="DY315" i="1"/>
  <c r="DY314" i="1"/>
  <c r="DY313" i="1"/>
  <c r="DY312" i="1"/>
  <c r="DY311" i="1"/>
  <c r="DY310" i="1"/>
  <c r="DY309" i="1"/>
  <c r="DY308" i="1"/>
  <c r="DY307" i="1"/>
  <c r="DY306" i="1"/>
  <c r="DY305" i="1"/>
  <c r="DY304" i="1"/>
  <c r="DY303" i="1"/>
  <c r="DY302" i="1"/>
  <c r="DY301" i="1"/>
  <c r="DY300" i="1"/>
  <c r="DY299" i="1"/>
  <c r="DY298" i="1"/>
  <c r="DY297" i="1"/>
  <c r="DY296" i="1"/>
  <c r="DY295" i="1"/>
  <c r="DY294" i="1"/>
  <c r="DY293" i="1"/>
  <c r="DY292" i="1"/>
  <c r="DY291" i="1"/>
  <c r="DY290" i="1"/>
  <c r="DY289" i="1"/>
  <c r="DY288" i="1"/>
  <c r="DY286" i="1"/>
  <c r="DY284" i="1"/>
  <c r="DY283" i="1"/>
  <c r="DY282" i="1"/>
  <c r="DY281" i="1"/>
  <c r="DY279" i="1"/>
  <c r="DY278" i="1"/>
  <c r="DY277" i="1"/>
  <c r="DY276" i="1"/>
  <c r="DY275" i="1"/>
  <c r="EI318" i="1" l="1"/>
  <c r="EJ318" i="1" s="1"/>
  <c r="EI316" i="1"/>
  <c r="EJ316" i="1" s="1"/>
  <c r="EI315" i="1"/>
  <c r="EJ315" i="1" s="1"/>
  <c r="EI314" i="1"/>
  <c r="EJ314" i="1" s="1"/>
  <c r="EJ331" i="1" l="1"/>
  <c r="EJ330" i="1"/>
  <c r="EJ329" i="1"/>
  <c r="EI283" i="1"/>
  <c r="EJ283" i="1" s="1"/>
  <c r="EI282" i="1"/>
  <c r="EJ282" i="1" s="1"/>
  <c r="EI280" i="1"/>
  <c r="EJ280" i="1" s="1"/>
  <c r="EI278" i="1"/>
  <c r="EJ278" i="1" s="1"/>
  <c r="EI277" i="1"/>
  <c r="EJ277" i="1" s="1"/>
  <c r="EI284" i="1"/>
  <c r="EJ284" i="1" s="1"/>
  <c r="EI281" i="1" l="1"/>
  <c r="EJ281" i="1" s="1"/>
  <c r="EI279" i="1"/>
  <c r="EJ279" i="1" s="1"/>
  <c r="EJ327" i="1" l="1"/>
  <c r="AT327" i="1" l="1"/>
  <c r="AT326" i="1"/>
  <c r="AT325" i="1"/>
  <c r="AS327" i="1"/>
  <c r="AS326" i="1"/>
  <c r="AS325" i="1"/>
  <c r="AT370" i="1" l="1"/>
  <c r="AS370" i="1"/>
  <c r="AS290" i="1" l="1"/>
  <c r="EJ340" i="1" l="1"/>
  <c r="CZ280" i="1" l="1"/>
  <c r="DY280" i="1" s="1"/>
  <c r="AT280" i="1" l="1"/>
  <c r="AO288" i="1"/>
  <c r="AQ288" i="1"/>
  <c r="EE275" i="1"/>
  <c r="EF275" i="1" s="1"/>
  <c r="AT290" i="1"/>
  <c r="AT346" i="1"/>
  <c r="EI345" i="1"/>
  <c r="EJ345" i="1" s="1"/>
  <c r="AT345" i="1"/>
  <c r="EI346" i="1"/>
  <c r="EJ346" i="1" s="1"/>
  <c r="EI313" i="1"/>
  <c r="EJ313" i="1" s="1"/>
  <c r="EI317" i="1"/>
  <c r="EJ317" i="1" s="1"/>
  <c r="FF340" i="1"/>
  <c r="EJ334" i="1"/>
  <c r="EJ335" i="1"/>
  <c r="BF341" i="1" l="1"/>
  <c r="BG341" i="1" s="1"/>
  <c r="AB371" i="1"/>
  <c r="BF288" i="1"/>
  <c r="BG288" i="1" s="1"/>
  <c r="AT288" i="1"/>
  <c r="AS288" i="1"/>
  <c r="AO371" i="1"/>
  <c r="AQ371" i="1"/>
  <c r="DY371" i="1" l="1"/>
</calcChain>
</file>

<file path=xl/comments1.xml><?xml version="1.0" encoding="utf-8"?>
<comments xmlns="http://schemas.openxmlformats.org/spreadsheetml/2006/main">
  <authors>
    <author>Silvia Irene Vargas Carvajal</author>
    <author>Mauricio Fernando Andrade López</author>
    <author>Santiago Rubén Córdova Vaca</author>
  </authors>
  <commentList>
    <comment ref="AB2" authorId="0" shapeId="0">
      <text>
        <r>
          <rPr>
            <b/>
            <sz val="9"/>
            <color indexed="81"/>
            <rFont val="Tahoma"/>
            <family val="2"/>
          </rPr>
          <t>Silvia Irene Vargas Carvajal:</t>
        </r>
        <r>
          <rPr>
            <sz val="9"/>
            <color indexed="81"/>
            <rFont val="Tahoma"/>
            <family val="2"/>
          </rPr>
          <t xml:space="preserve">
VER REFORMA</t>
        </r>
      </text>
    </comment>
    <comment ref="AB4" authorId="0" shapeId="0">
      <text>
        <r>
          <rPr>
            <b/>
            <sz val="9"/>
            <color indexed="81"/>
            <rFont val="Tahoma"/>
            <family val="2"/>
          </rPr>
          <t>Silvia Irene Vargas Carvajal:</t>
        </r>
        <r>
          <rPr>
            <sz val="9"/>
            <color indexed="81"/>
            <rFont val="Tahoma"/>
            <family val="2"/>
          </rPr>
          <t xml:space="preserve">
a este proceso se suma el valor de US$25.000,00 por lo que el valor de este proceso actual sera de US$238.600,00</t>
        </r>
      </text>
    </comment>
    <comment ref="AD4" authorId="0" shapeId="0">
      <text>
        <r>
          <rPr>
            <b/>
            <sz val="9"/>
            <color indexed="81"/>
            <rFont val="Tahoma"/>
            <family val="2"/>
          </rPr>
          <t>Silvia Irene Vargas Carvajal:</t>
        </r>
        <r>
          <rPr>
            <sz val="9"/>
            <color indexed="81"/>
            <rFont val="Tahoma"/>
            <family val="2"/>
          </rPr>
          <t xml:space="preserve">
a este proceso se suma el valor de US$25.000,00 por lo que el valor de este proceso actual sera de US$238.600,00</t>
        </r>
      </text>
    </comment>
    <comment ref="AO4" authorId="0" shapeId="0">
      <text>
        <r>
          <rPr>
            <b/>
            <sz val="9"/>
            <color indexed="81"/>
            <rFont val="Tahoma"/>
            <family val="2"/>
          </rPr>
          <t>Silvia Irene Vargas Carvajal:</t>
        </r>
        <r>
          <rPr>
            <sz val="9"/>
            <color indexed="81"/>
            <rFont val="Tahoma"/>
            <family val="2"/>
          </rPr>
          <t xml:space="preserve">
a este proceso se suma el valor de US$25.000,00 por lo que el valor de este proceso actual sera de US$238.600,00</t>
        </r>
      </text>
    </comment>
    <comment ref="BN4" authorId="0" shapeId="0">
      <text>
        <r>
          <rPr>
            <b/>
            <sz val="9"/>
            <color indexed="81"/>
            <rFont val="Tahoma"/>
            <family val="2"/>
          </rPr>
          <t>Silvia Irene Vargas Carvajal:</t>
        </r>
        <r>
          <rPr>
            <sz val="9"/>
            <color indexed="81"/>
            <rFont val="Tahoma"/>
            <family val="2"/>
          </rPr>
          <t xml:space="preserve">
PROYECCIÓN</t>
        </r>
      </text>
    </comment>
    <comment ref="CV16" authorId="0" shapeId="0">
      <text>
        <r>
          <rPr>
            <b/>
            <sz val="9"/>
            <color indexed="81"/>
            <rFont val="Tahoma"/>
            <family val="2"/>
          </rPr>
          <t>Silvia Irene Vargas Carvajal:</t>
        </r>
        <r>
          <rPr>
            <sz val="9"/>
            <color indexed="81"/>
            <rFont val="Tahoma"/>
            <family val="2"/>
          </rPr>
          <t xml:space="preserve">
VERIFICAR CON MAURI</t>
        </r>
      </text>
    </comment>
    <comment ref="AQ18" authorId="0" shapeId="0">
      <text>
        <r>
          <rPr>
            <b/>
            <sz val="9"/>
            <color indexed="81"/>
            <rFont val="Tahoma"/>
            <family val="2"/>
          </rPr>
          <t>Silvia Irene Vargas Carvajal:</t>
        </r>
        <r>
          <rPr>
            <sz val="9"/>
            <color indexed="81"/>
            <rFont val="Tahoma"/>
            <family val="2"/>
          </rPr>
          <t xml:space="preserve">
EN PROCESO DE ADJUDICACIÓN</t>
        </r>
      </text>
    </comment>
    <comment ref="EJ19" authorId="0" shapeId="0">
      <text>
        <r>
          <rPr>
            <b/>
            <sz val="9"/>
            <color indexed="81"/>
            <rFont val="Tahoma"/>
            <family val="2"/>
          </rPr>
          <t>Silvia Irene Vargas Carvajal:</t>
        </r>
        <r>
          <rPr>
            <sz val="9"/>
            <color indexed="81"/>
            <rFont val="Tahoma"/>
            <family val="2"/>
          </rPr>
          <t xml:space="preserve">
fecha proyección informe de cartera</t>
        </r>
      </text>
    </comment>
    <comment ref="CX22" authorId="1" shapeId="0">
      <text>
        <r>
          <rPr>
            <b/>
            <sz val="9"/>
            <color indexed="81"/>
            <rFont val="Tahoma"/>
            <family val="2"/>
          </rPr>
          <t>Mauricio Fernando Andrade López:</t>
        </r>
        <r>
          <rPr>
            <sz val="9"/>
            <color indexed="81"/>
            <rFont val="Tahoma"/>
            <family val="2"/>
          </rPr>
          <t xml:space="preserve">
detallar el % de pago</t>
        </r>
      </text>
    </comment>
    <comment ref="V62" authorId="0" shapeId="0">
      <text>
        <r>
          <rPr>
            <b/>
            <sz val="9"/>
            <color indexed="81"/>
            <rFont val="Tahoma"/>
            <family val="2"/>
          </rPr>
          <t>Silvia Irene Vargas Carvajal:</t>
        </r>
        <r>
          <rPr>
            <sz val="9"/>
            <color indexed="81"/>
            <rFont val="Tahoma"/>
            <family val="2"/>
          </rPr>
          <t xml:space="preserve">
ESTA PENDIENTE EL RUC DE PROYECTO DEL ECUADOR</t>
        </r>
      </text>
    </comment>
    <comment ref="FV62" authorId="2" shapeId="0">
      <text>
        <r>
          <rPr>
            <b/>
            <sz val="9"/>
            <color indexed="81"/>
            <rFont val="Tahoma"/>
            <family val="2"/>
          </rPr>
          <t>SCV: Replanteo hecho. Problemas con paso de Bananera Noboa. Fiscalización en proceso de contratación.</t>
        </r>
      </text>
    </comment>
    <comment ref="FW62" authorId="2" shapeId="0">
      <text>
        <r>
          <rPr>
            <b/>
            <sz val="9"/>
            <color indexed="81"/>
            <rFont val="Tahoma"/>
            <family val="2"/>
          </rPr>
          <t>SCV: Replanteo hecho. Problemas con paso de Bananera Noboa. Fiscalización en proceso de contratación.</t>
        </r>
      </text>
    </comment>
    <comment ref="L82" authorId="0" shapeId="0">
      <text>
        <r>
          <rPr>
            <b/>
            <sz val="9"/>
            <color indexed="81"/>
            <rFont val="Tahoma"/>
            <family val="2"/>
          </rPr>
          <t>Silvia Irene Vargas Carvajal:</t>
        </r>
        <r>
          <rPr>
            <sz val="9"/>
            <color indexed="81"/>
            <rFont val="Tahoma"/>
            <family val="2"/>
          </rPr>
          <t xml:space="preserve">
PENDIENTE REASIGNAR UN NUEVO CODIGO </t>
        </r>
      </text>
    </comment>
    <comment ref="R82" authorId="0" shapeId="0">
      <text>
        <r>
          <rPr>
            <b/>
            <sz val="9"/>
            <color indexed="81"/>
            <rFont val="Tahoma"/>
            <family val="2"/>
          </rPr>
          <t>Silvia Irene Vargas Carvajal:</t>
        </r>
        <r>
          <rPr>
            <sz val="9"/>
            <color indexed="81"/>
            <rFont val="Tahoma"/>
            <family val="2"/>
          </rPr>
          <t xml:space="preserve">
PENDIENTE REASIGNAR UN NUEVO CODIGO </t>
        </r>
      </text>
    </comment>
    <comment ref="AB82" authorId="0" shapeId="0">
      <text>
        <r>
          <rPr>
            <b/>
            <sz val="9"/>
            <color indexed="81"/>
            <rFont val="Tahoma"/>
            <family val="2"/>
          </rPr>
          <t>Silvia Irene Vargas Carvajal:</t>
        </r>
        <r>
          <rPr>
            <sz val="9"/>
            <color indexed="81"/>
            <rFont val="Tahoma"/>
            <family val="2"/>
          </rPr>
          <t xml:space="preserve">
VER REFORMA</t>
        </r>
      </text>
    </comment>
    <comment ref="R86" authorId="0" shapeId="0">
      <text>
        <r>
          <rPr>
            <b/>
            <sz val="9"/>
            <color indexed="81"/>
            <rFont val="Tahoma"/>
            <family val="2"/>
          </rPr>
          <t>Silvia Irene Vargas Carvajal:</t>
        </r>
        <r>
          <rPr>
            <sz val="9"/>
            <color indexed="81"/>
            <rFont val="Tahoma"/>
            <family val="2"/>
          </rPr>
          <t xml:space="preserve">
PDTE FIRMAS EN FORMULARIO DE CONTROL DE CAMBIOS</t>
        </r>
      </text>
    </comment>
    <comment ref="AB87" authorId="0" shapeId="0">
      <text>
        <r>
          <rPr>
            <b/>
            <sz val="9"/>
            <color indexed="81"/>
            <rFont val="Tahoma"/>
            <family val="2"/>
          </rPr>
          <t>Silvia Irene Vargas Carvajal:</t>
        </r>
        <r>
          <rPr>
            <sz val="9"/>
            <color indexed="81"/>
            <rFont val="Tahoma"/>
            <family val="2"/>
          </rPr>
          <t xml:space="preserve">
VER REFORMA</t>
        </r>
      </text>
    </comment>
    <comment ref="BN88" authorId="0" shapeId="0">
      <text>
        <r>
          <rPr>
            <b/>
            <sz val="9"/>
            <color indexed="81"/>
            <rFont val="Tahoma"/>
            <family val="2"/>
          </rPr>
          <t>Silvia Irene Vargas Carvajal:</t>
        </r>
        <r>
          <rPr>
            <sz val="9"/>
            <color indexed="81"/>
            <rFont val="Tahoma"/>
            <family val="2"/>
          </rPr>
          <t xml:space="preserve">
PUBLICACIÓN EN EL UNDB</t>
        </r>
      </text>
    </comment>
    <comment ref="FB88" authorId="0" shapeId="0">
      <text>
        <r>
          <rPr>
            <b/>
            <sz val="9"/>
            <color indexed="81"/>
            <rFont val="Tahoma"/>
            <family val="2"/>
          </rPr>
          <t>Silvia Irene Vargas Carvajal:</t>
        </r>
        <r>
          <rPr>
            <sz val="9"/>
            <color indexed="81"/>
            <rFont val="Tahoma"/>
            <family val="2"/>
          </rPr>
          <t xml:space="preserve">
hasta la fecha el contrato esta suspendido</t>
        </r>
      </text>
    </comment>
    <comment ref="FD88" authorId="0" shapeId="0">
      <text>
        <r>
          <rPr>
            <b/>
            <sz val="9"/>
            <color indexed="81"/>
            <rFont val="Tahoma"/>
            <family val="2"/>
          </rPr>
          <t>Silvia Irene Vargas Carvajal:</t>
        </r>
        <r>
          <rPr>
            <sz val="9"/>
            <color indexed="81"/>
            <rFont val="Tahoma"/>
            <family val="2"/>
          </rPr>
          <t xml:space="preserve">
hasta la fecha</t>
        </r>
      </text>
    </comment>
    <comment ref="AU100" authorId="2" shapeId="0">
      <text>
        <r>
          <rPr>
            <b/>
            <sz val="9"/>
            <color indexed="81"/>
            <rFont val="Tahoma"/>
            <family val="2"/>
          </rPr>
          <t>Santiago Rubén Córdova Vaca:</t>
        </r>
        <r>
          <rPr>
            <sz val="9"/>
            <color indexed="81"/>
            <rFont val="Tahoma"/>
            <family val="2"/>
          </rPr>
          <t xml:space="preserve">
Contrato complementario
pagado 397143,09
es decir 24 centavos menos</t>
        </r>
      </text>
    </comment>
    <comment ref="AW100" authorId="0" shapeId="0">
      <text>
        <r>
          <rPr>
            <b/>
            <sz val="9"/>
            <color indexed="81"/>
            <rFont val="Tahoma"/>
            <family val="2"/>
          </rPr>
          <t>Silvia Irene Vargas Carvajal:</t>
        </r>
        <r>
          <rPr>
            <sz val="9"/>
            <color indexed="81"/>
            <rFont val="Tahoma"/>
            <family val="2"/>
          </rPr>
          <t xml:space="preserve">
ESTE VALOR ES EL RESULTADO DEL VALOR ASIGNADO A LA FISCALIZACIÓN $60.614,22 + LA DIFERENCIA ENTRE EL VALOR PUBLICADO vs CONTRATADO DE LA OBRA ST-OB-001 $256.846,33</t>
        </r>
      </text>
    </comment>
    <comment ref="EW107" authorId="0" shapeId="0">
      <text>
        <r>
          <rPr>
            <b/>
            <sz val="9"/>
            <color indexed="81"/>
            <rFont val="Tahoma"/>
            <family val="2"/>
          </rPr>
          <t>Silvia Irene Vargas Carvajal:</t>
        </r>
        <r>
          <rPr>
            <sz val="9"/>
            <color indexed="81"/>
            <rFont val="Tahoma"/>
            <family val="2"/>
          </rPr>
          <t xml:space="preserve">
Castillo de 13.8 kV y sus conductores subterráneos impiden el desarrollo de los trabajos, se solicitó intervención a Mantenimiento Eléctrico.</t>
        </r>
      </text>
    </comment>
    <comment ref="EW108" authorId="0" shapeId="0">
      <text>
        <r>
          <rPr>
            <b/>
            <sz val="9"/>
            <color indexed="81"/>
            <rFont val="Tahoma"/>
            <family val="2"/>
          </rPr>
          <t>Silvia Irene Vargas Carvajal:</t>
        </r>
        <r>
          <rPr>
            <sz val="9"/>
            <color indexed="81"/>
            <rFont val="Tahoma"/>
            <family val="2"/>
          </rPr>
          <t xml:space="preserve">
CATÁSTROFES NATURALES: TERREMOTO E INUNDACIONES
</t>
        </r>
      </text>
    </comment>
    <comment ref="EW109" authorId="0" shapeId="0">
      <text>
        <r>
          <rPr>
            <b/>
            <sz val="9"/>
            <color indexed="81"/>
            <rFont val="Tahoma"/>
            <family val="2"/>
          </rPr>
          <t>Silvia Irene Vargas Carvajal:</t>
        </r>
        <r>
          <rPr>
            <sz val="9"/>
            <color indexed="81"/>
            <rFont val="Tahoma"/>
            <family val="2"/>
          </rPr>
          <t xml:space="preserve">
CATÁSTROFES NATURALES: TERREMOTO E INUNDACIONES
</t>
        </r>
      </text>
    </comment>
    <comment ref="EW110" authorId="0" shapeId="0">
      <text>
        <r>
          <rPr>
            <b/>
            <sz val="9"/>
            <color indexed="81"/>
            <rFont val="Tahoma"/>
            <family val="2"/>
          </rPr>
          <t>Silvia Irene Vargas Carvajal:</t>
        </r>
        <r>
          <rPr>
            <sz val="9"/>
            <color indexed="81"/>
            <rFont val="Tahoma"/>
            <family val="2"/>
          </rPr>
          <t xml:space="preserve">
CATÁSTROFES NATURALES: TERREMOTO E INUNDACIONES
</t>
        </r>
      </text>
    </comment>
    <comment ref="AO115" authorId="0" shapeId="0">
      <text>
        <r>
          <rPr>
            <b/>
            <sz val="9"/>
            <color indexed="81"/>
            <rFont val="Tahoma"/>
            <family val="2"/>
          </rPr>
          <t>Silvia Irene Vargas Carvajal:</t>
        </r>
        <r>
          <rPr>
            <sz val="9"/>
            <color indexed="81"/>
            <rFont val="Tahoma"/>
            <family val="2"/>
          </rPr>
          <t xml:space="preserve">
CONFIRMAR VALORES</t>
        </r>
      </text>
    </comment>
    <comment ref="AO116" authorId="0" shapeId="0">
      <text>
        <r>
          <rPr>
            <b/>
            <sz val="9"/>
            <color indexed="81"/>
            <rFont val="Tahoma"/>
            <family val="2"/>
          </rPr>
          <t>Silvia Irene Vargas Carvajal:</t>
        </r>
        <r>
          <rPr>
            <sz val="9"/>
            <color indexed="81"/>
            <rFont val="Tahoma"/>
            <family val="2"/>
          </rPr>
          <t xml:space="preserve">
CONFIRMAR VALORES</t>
        </r>
      </text>
    </comment>
    <comment ref="AB121" authorId="0" shapeId="0">
      <text>
        <r>
          <rPr>
            <b/>
            <sz val="9"/>
            <color indexed="81"/>
            <rFont val="Tahoma"/>
            <family val="2"/>
          </rPr>
          <t>Silvia Irene Vargas Carvajal:</t>
        </r>
        <r>
          <rPr>
            <sz val="9"/>
            <color indexed="81"/>
            <rFont val="Tahoma"/>
            <family val="2"/>
          </rPr>
          <t xml:space="preserve">
VER REFORMA</t>
        </r>
      </text>
    </comment>
    <comment ref="AO123" authorId="0" shapeId="0">
      <text>
        <r>
          <rPr>
            <b/>
            <sz val="9"/>
            <color indexed="81"/>
            <rFont val="Tahoma"/>
            <family val="2"/>
          </rPr>
          <t>Silvia Irene Vargas Carvajal:</t>
        </r>
        <r>
          <rPr>
            <sz val="9"/>
            <color indexed="81"/>
            <rFont val="Tahoma"/>
            <family val="2"/>
          </rPr>
          <t xml:space="preserve">
valor correcto tal como consta en el PA de junio de 2016</t>
        </r>
      </text>
    </comment>
    <comment ref="CA123" authorId="0" shapeId="0">
      <text>
        <r>
          <rPr>
            <b/>
            <sz val="9"/>
            <color indexed="81"/>
            <rFont val="Tahoma"/>
            <family val="2"/>
          </rPr>
          <t>Silvia Irene Vargas Carvajal:</t>
        </r>
        <r>
          <rPr>
            <sz val="9"/>
            <color indexed="81"/>
            <rFont val="Tahoma"/>
            <family val="2"/>
          </rPr>
          <t xml:space="preserve">
VERIFICAR FECHA EN CONTRATO SEGÚN EL DATO DE HECTOR HOY 16 DE MAYO 2017</t>
        </r>
      </text>
    </comment>
    <comment ref="CA126" authorId="0" shapeId="0">
      <text>
        <r>
          <rPr>
            <b/>
            <sz val="9"/>
            <color indexed="81"/>
            <rFont val="Tahoma"/>
            <family val="2"/>
          </rPr>
          <t>Silvia Irene Vargas Carvajal:</t>
        </r>
        <r>
          <rPr>
            <sz val="9"/>
            <color indexed="81"/>
            <rFont val="Tahoma"/>
            <family val="2"/>
          </rPr>
          <t xml:space="preserve">
VERIFICAR FECHA EN CONTRATO SEGÚN EL DATO DE HECTOR HOY 16 DE MAYO 2017</t>
        </r>
      </text>
    </comment>
    <comment ref="CA127" authorId="0" shapeId="0">
      <text>
        <r>
          <rPr>
            <b/>
            <sz val="9"/>
            <color indexed="81"/>
            <rFont val="Tahoma"/>
            <family val="2"/>
          </rPr>
          <t>Silvia Irene Vargas Carvajal:</t>
        </r>
        <r>
          <rPr>
            <sz val="9"/>
            <color indexed="81"/>
            <rFont val="Tahoma"/>
            <family val="2"/>
          </rPr>
          <t xml:space="preserve">
VERIFICAR FECHA EN CONTRATO SEGÚN EL DATO DE HECTOR HOY 16 DE MAYO 2017</t>
        </r>
      </text>
    </comment>
    <comment ref="BC129" authorId="0" shapeId="0">
      <text>
        <r>
          <rPr>
            <b/>
            <sz val="9"/>
            <color indexed="81"/>
            <rFont val="Tahoma"/>
            <family val="2"/>
          </rPr>
          <t>Silvia Irene Vargas Carvajal:</t>
        </r>
        <r>
          <rPr>
            <sz val="9"/>
            <color indexed="81"/>
            <rFont val="Tahoma"/>
            <family val="2"/>
          </rPr>
          <t xml:space="preserve">
Andres Bravo dice que ya no requiere este complementario</t>
        </r>
      </text>
    </comment>
    <comment ref="CA133" authorId="0" shapeId="0">
      <text>
        <r>
          <rPr>
            <b/>
            <sz val="9"/>
            <color indexed="81"/>
            <rFont val="Tahoma"/>
            <family val="2"/>
          </rPr>
          <t>Silvia Irene Vargas Carvajal:</t>
        </r>
        <r>
          <rPr>
            <sz val="9"/>
            <color indexed="81"/>
            <rFont val="Tahoma"/>
            <family val="2"/>
          </rPr>
          <t xml:space="preserve">
CONFIRMA FECHA DCTO NO LEGIBLE</t>
        </r>
      </text>
    </comment>
    <comment ref="CA134" authorId="0" shapeId="0">
      <text>
        <r>
          <rPr>
            <b/>
            <sz val="9"/>
            <color indexed="81"/>
            <rFont val="Tahoma"/>
            <family val="2"/>
          </rPr>
          <t>Silvia Irene Vargas Carvajal:</t>
        </r>
        <r>
          <rPr>
            <sz val="9"/>
            <color indexed="81"/>
            <rFont val="Tahoma"/>
            <family val="2"/>
          </rPr>
          <t xml:space="preserve">
CONFIRMAR FECHA DOCUMENTO NO LEGIBLE
</t>
        </r>
      </text>
    </comment>
    <comment ref="CA135" authorId="0" shapeId="0">
      <text>
        <r>
          <rPr>
            <b/>
            <sz val="9"/>
            <color indexed="81"/>
            <rFont val="Tahoma"/>
            <family val="2"/>
          </rPr>
          <t>Silvia Irene Vargas Carvajal:</t>
        </r>
        <r>
          <rPr>
            <sz val="9"/>
            <color indexed="81"/>
            <rFont val="Tahoma"/>
            <family val="2"/>
          </rPr>
          <t xml:space="preserve">
CONFIRMA FECHA DOCUMENTO NO LEGIBLE</t>
        </r>
      </text>
    </comment>
    <comment ref="L137" authorId="0" shapeId="0">
      <text>
        <r>
          <rPr>
            <b/>
            <sz val="9"/>
            <color indexed="81"/>
            <rFont val="Tahoma"/>
            <family val="2"/>
          </rPr>
          <t>Silvia Irene Vargas Carvajal:</t>
        </r>
        <r>
          <rPr>
            <sz val="9"/>
            <color indexed="81"/>
            <rFont val="Tahoma"/>
            <family val="2"/>
          </rPr>
          <t xml:space="preserve">
nuevo códigoBID2-RSND-CNELSUC-DI-OB-006 por BID2-RSND-CNELSUC-DI-OB-014 </t>
        </r>
      </text>
    </comment>
    <comment ref="BZ144" authorId="0" shapeId="0">
      <text>
        <r>
          <rPr>
            <b/>
            <sz val="9"/>
            <color indexed="81"/>
            <rFont val="Tahoma"/>
            <family val="2"/>
          </rPr>
          <t>Silvia Irene Vargas Carvajal:</t>
        </r>
        <r>
          <rPr>
            <sz val="9"/>
            <color indexed="81"/>
            <rFont val="Tahoma"/>
            <family val="2"/>
          </rPr>
          <t xml:space="preserve">
fecha dictada por Carlos Solis, remitirá el respaldo por correo 31-ene-2017</t>
        </r>
      </text>
    </comment>
    <comment ref="AV145" authorId="0" shapeId="0">
      <text>
        <r>
          <rPr>
            <b/>
            <sz val="9"/>
            <color indexed="81"/>
            <rFont val="Tahoma"/>
            <family val="2"/>
          </rPr>
          <t>Silvia Irene Vargas Carvajal:</t>
        </r>
        <r>
          <rPr>
            <sz val="9"/>
            <color indexed="81"/>
            <rFont val="Tahoma"/>
            <family val="2"/>
          </rPr>
          <t xml:space="preserve">
pediente notificación por parte de Marcelo Cárdenas  01-feb-2017</t>
        </r>
      </text>
    </comment>
    <comment ref="AQ147" authorId="0" shapeId="0">
      <text>
        <r>
          <rPr>
            <b/>
            <sz val="9"/>
            <color indexed="81"/>
            <rFont val="Tahoma"/>
            <family val="2"/>
          </rPr>
          <t>Silvia Irene Vargas Carvajal:</t>
        </r>
        <r>
          <rPr>
            <sz val="9"/>
            <color indexed="81"/>
            <rFont val="Tahoma"/>
            <family val="2"/>
          </rPr>
          <t xml:space="preserve">
CHEQUEAR DICTADO POR MARGARITA</t>
        </r>
      </text>
    </comment>
    <comment ref="DA157" authorId="1" shapeId="0">
      <text>
        <r>
          <rPr>
            <b/>
            <sz val="9"/>
            <color indexed="81"/>
            <rFont val="Tahoma"/>
            <family val="2"/>
          </rPr>
          <t>Mauricio Fernando Andrade López:</t>
        </r>
        <r>
          <rPr>
            <sz val="9"/>
            <color indexed="81"/>
            <rFont val="Tahoma"/>
            <family val="2"/>
          </rPr>
          <t xml:space="preserve">
detallar el % de pago</t>
        </r>
      </text>
    </comment>
    <comment ref="AB160" authorId="0" shapeId="0">
      <text>
        <r>
          <rPr>
            <b/>
            <sz val="9"/>
            <color indexed="81"/>
            <rFont val="Tahoma"/>
            <family val="2"/>
          </rPr>
          <t>Silvia Irene Vargas Carvajal:</t>
        </r>
        <r>
          <rPr>
            <sz val="9"/>
            <color indexed="81"/>
            <rFont val="Tahoma"/>
            <family val="2"/>
          </rPr>
          <t xml:space="preserve">
SALDO POR REEMPLAZO DEL PROYECTO, EL COSTO INCIAL DE ESTE PROYECTO ES DE 315.476.61</t>
        </r>
      </text>
    </comment>
    <comment ref="AO177" authorId="0" shapeId="0">
      <text>
        <r>
          <rPr>
            <b/>
            <sz val="9"/>
            <color indexed="81"/>
            <rFont val="Tahoma"/>
            <family val="2"/>
          </rPr>
          <t>Silvia Irene Vargas Carvajal:</t>
        </r>
        <r>
          <rPr>
            <sz val="9"/>
            <color indexed="81"/>
            <rFont val="Tahoma"/>
            <family val="2"/>
          </rPr>
          <t xml:space="preserve">
VER ENMIENDA</t>
        </r>
      </text>
    </comment>
    <comment ref="M184" authorId="0" shapeId="0">
      <text>
        <r>
          <rPr>
            <b/>
            <sz val="9"/>
            <color indexed="81"/>
            <rFont val="Tahoma"/>
            <family val="2"/>
          </rPr>
          <t>Silvia Irene Vargas Carvajal:</t>
        </r>
        <r>
          <rPr>
            <sz val="9"/>
            <color indexed="81"/>
            <rFont val="Tahoma"/>
            <family val="2"/>
          </rPr>
          <t xml:space="preserve">
SOLICITAR A VINICIO EL DESGLOSE POR LOTES 1,2,3,4</t>
        </r>
      </text>
    </comment>
    <comment ref="AB184" authorId="0" shapeId="0">
      <text>
        <r>
          <rPr>
            <b/>
            <sz val="9"/>
            <color indexed="81"/>
            <rFont val="Tahoma"/>
            <family val="2"/>
          </rPr>
          <t>Silvia Irene Vargas Carvajal:</t>
        </r>
        <r>
          <rPr>
            <sz val="9"/>
            <color indexed="81"/>
            <rFont val="Tahoma"/>
            <family val="2"/>
          </rPr>
          <t xml:space="preserve">
VALOR REFORMADO</t>
        </r>
      </text>
    </comment>
    <comment ref="AD184" authorId="0" shapeId="0">
      <text>
        <r>
          <rPr>
            <b/>
            <sz val="9"/>
            <color indexed="81"/>
            <rFont val="Tahoma"/>
            <family val="2"/>
          </rPr>
          <t>Silvia Irene Vargas Carvajal:</t>
        </r>
        <r>
          <rPr>
            <sz val="9"/>
            <color indexed="81"/>
            <rFont val="Tahoma"/>
            <family val="2"/>
          </rPr>
          <t xml:space="preserve">
VALOR REFORMADO</t>
        </r>
      </text>
    </comment>
    <comment ref="AO184" authorId="0" shapeId="0">
      <text>
        <r>
          <rPr>
            <b/>
            <sz val="9"/>
            <color indexed="81"/>
            <rFont val="Tahoma"/>
            <family val="2"/>
          </rPr>
          <t>Silvia Irene Vargas Carvajal:</t>
        </r>
        <r>
          <rPr>
            <sz val="9"/>
            <color indexed="81"/>
            <rFont val="Tahoma"/>
            <family val="2"/>
          </rPr>
          <t xml:space="preserve">
VALOR REFORMADO</t>
        </r>
      </text>
    </comment>
    <comment ref="AO186" authorId="0" shapeId="0">
      <text>
        <r>
          <rPr>
            <b/>
            <sz val="9"/>
            <color indexed="81"/>
            <rFont val="Tahoma"/>
            <family val="2"/>
          </rPr>
          <t>Silvia Irene Vargas Carvajal:</t>
        </r>
        <r>
          <rPr>
            <sz val="9"/>
            <color indexed="81"/>
            <rFont val="Tahoma"/>
            <family val="2"/>
          </rPr>
          <t xml:space="preserve">
INCOSISTENCIA PDTE AFINAR CON GIOVANNY</t>
        </r>
      </text>
    </comment>
    <comment ref="AA189" authorId="0" shapeId="0">
      <text>
        <r>
          <rPr>
            <b/>
            <sz val="9"/>
            <color indexed="81"/>
            <rFont val="Tahoma"/>
            <family val="2"/>
          </rPr>
          <t>Silvia Irene Vargas Carvajal:</t>
        </r>
        <r>
          <rPr>
            <sz val="9"/>
            <color indexed="81"/>
            <rFont val="Tahoma"/>
            <family val="2"/>
          </rPr>
          <t xml:space="preserve">
ver columna de observaciones</t>
        </r>
      </text>
    </comment>
    <comment ref="GC195" authorId="2" shapeId="0">
      <text>
        <r>
          <rPr>
            <b/>
            <sz val="9"/>
            <color indexed="81"/>
            <rFont val="Tahoma"/>
            <family val="2"/>
          </rPr>
          <t>Santiago Rubén Córdova Vaca:</t>
        </r>
        <r>
          <rPr>
            <sz val="9"/>
            <color indexed="81"/>
            <rFont val="Tahoma"/>
            <family val="2"/>
          </rPr>
          <t xml:space="preserve">
retraso en equipo. Falta montaje electrmecanico.</t>
        </r>
      </text>
    </comment>
    <comment ref="AQ213" authorId="0" shapeId="0">
      <text>
        <r>
          <rPr>
            <b/>
            <sz val="9"/>
            <color indexed="81"/>
            <rFont val="Tahoma"/>
            <family val="2"/>
          </rPr>
          <t>Silvia Irene Vargas Carvajal:</t>
        </r>
        <r>
          <rPr>
            <sz val="9"/>
            <color indexed="81"/>
            <rFont val="Tahoma"/>
            <family val="2"/>
          </rPr>
          <t xml:space="preserve">
REVISAR CON GIOVANNY</t>
        </r>
      </text>
    </comment>
    <comment ref="DI219" authorId="1" shapeId="0">
      <text>
        <r>
          <rPr>
            <b/>
            <sz val="9"/>
            <color indexed="81"/>
            <rFont val="Tahoma"/>
            <family val="2"/>
          </rPr>
          <t>Mauricio Fernando Andrade López:</t>
        </r>
        <r>
          <rPr>
            <sz val="9"/>
            <color indexed="81"/>
            <rFont val="Tahoma"/>
            <family val="2"/>
          </rPr>
          <t xml:space="preserve">
ESTE ESTÁ PAGADO DEMÁS QUE LO CONTRATADO</t>
        </r>
      </text>
    </comment>
    <comment ref="AV221" authorId="0" shapeId="0">
      <text>
        <r>
          <rPr>
            <b/>
            <sz val="9"/>
            <color indexed="81"/>
            <rFont val="Tahoma"/>
            <family val="2"/>
          </rPr>
          <t>Silvia Irene Vargas Carvajal:</t>
        </r>
        <r>
          <rPr>
            <sz val="9"/>
            <color indexed="81"/>
            <rFont val="Tahoma"/>
            <family val="2"/>
          </rPr>
          <t xml:space="preserve">
actualizar este valor conforme lo que solicite EERSSA</t>
        </r>
      </text>
    </comment>
    <comment ref="AB233" authorId="0" shapeId="0">
      <text>
        <r>
          <rPr>
            <b/>
            <sz val="9"/>
            <color indexed="81"/>
            <rFont val="Tahoma"/>
            <family val="2"/>
          </rPr>
          <t>Silvia Irene Vargas Carvajal:</t>
        </r>
        <r>
          <rPr>
            <sz val="9"/>
            <color indexed="81"/>
            <rFont val="Tahoma"/>
            <family val="2"/>
          </rPr>
          <t xml:space="preserve">
EL VALOR DE ESTE PROCESO ES DE US$60.614,22, Y SE DESTINA PARA RUBROS NUEVOS DE LA OBRA ST-OB-001</t>
        </r>
      </text>
    </comment>
    <comment ref="AD233" authorId="0" shapeId="0">
      <text>
        <r>
          <rPr>
            <b/>
            <sz val="9"/>
            <color indexed="81"/>
            <rFont val="Tahoma"/>
            <family val="2"/>
          </rPr>
          <t>Silvia Irene Vargas Carvajal:</t>
        </r>
        <r>
          <rPr>
            <sz val="9"/>
            <color indexed="81"/>
            <rFont val="Tahoma"/>
            <family val="2"/>
          </rPr>
          <t xml:space="preserve">
EL VALOR DE ESTE PROCESO ES DE US$60.614,22, Y SE DESTINA PARA RUBROS NUEVOS DE LA OBRA ST-OB-001</t>
        </r>
      </text>
    </comment>
    <comment ref="AB236" authorId="0" shapeId="0">
      <text>
        <r>
          <rPr>
            <b/>
            <sz val="9"/>
            <color indexed="81"/>
            <rFont val="Tahoma"/>
            <family val="2"/>
          </rPr>
          <t>Silvia Irene Vargas Carvajal:</t>
        </r>
        <r>
          <rPr>
            <sz val="9"/>
            <color indexed="81"/>
            <rFont val="Tahoma"/>
            <family val="2"/>
          </rPr>
          <t xml:space="preserve">
sujeto a modificación, estimar referencial </t>
        </r>
      </text>
    </comment>
    <comment ref="AD236" authorId="0" shapeId="0">
      <text>
        <r>
          <rPr>
            <b/>
            <sz val="9"/>
            <color indexed="81"/>
            <rFont val="Tahoma"/>
            <family val="2"/>
          </rPr>
          <t>Silvia Irene Vargas Carvajal:</t>
        </r>
        <r>
          <rPr>
            <sz val="9"/>
            <color indexed="81"/>
            <rFont val="Tahoma"/>
            <family val="2"/>
          </rPr>
          <t xml:space="preserve">
sujeto a modificación, estimar referencial </t>
        </r>
      </text>
    </comment>
    <comment ref="CA239" authorId="0" shapeId="0">
      <text>
        <r>
          <rPr>
            <b/>
            <sz val="9"/>
            <color indexed="81"/>
            <rFont val="Tahoma"/>
            <family val="2"/>
          </rPr>
          <t>Silvia Irene Vargas Carvajal:</t>
        </r>
        <r>
          <rPr>
            <sz val="9"/>
            <color indexed="81"/>
            <rFont val="Tahoma"/>
            <family val="2"/>
          </rPr>
          <t xml:space="preserve">
CONFIRMAR CON EL CONTRATO, SEGÚN LO IDICADO POR VIVIANA BONILLA, HOY 16 MAYO 2017</t>
        </r>
      </text>
    </comment>
    <comment ref="CA240" authorId="0" shapeId="0">
      <text>
        <r>
          <rPr>
            <b/>
            <sz val="9"/>
            <color indexed="81"/>
            <rFont val="Tahoma"/>
            <family val="2"/>
          </rPr>
          <t>Silvia Irene Vargas Carvajal:</t>
        </r>
        <r>
          <rPr>
            <sz val="9"/>
            <color indexed="81"/>
            <rFont val="Tahoma"/>
            <family val="2"/>
          </rPr>
          <t xml:space="preserve">
CONFIRMAR CON EL CONTRATO, SEGÚN LO IDICADO POR VIVIANA BONILLA, HOY 16 MAYO 2017</t>
        </r>
      </text>
    </comment>
    <comment ref="AK256" authorId="2" shapeId="0">
      <text>
        <r>
          <rPr>
            <b/>
            <sz val="9"/>
            <color indexed="81"/>
            <rFont val="Tahoma"/>
            <family val="2"/>
          </rPr>
          <t>Santiago Rubén Córdova Vaca:</t>
        </r>
        <r>
          <rPr>
            <sz val="9"/>
            <color indexed="81"/>
            <rFont val="Tahoma"/>
            <family val="2"/>
          </rPr>
          <t xml:space="preserve">
Contine los valores liquidados de las tres fiscalizaciones de Pradera:
FI-CI-006; FI-CI-007 y FI-CI-008.</t>
        </r>
      </text>
    </comment>
    <comment ref="FZ263" authorId="2" shapeId="0">
      <text>
        <r>
          <rPr>
            <b/>
            <sz val="9"/>
            <color indexed="81"/>
            <rFont val="Tahoma"/>
            <family val="2"/>
          </rPr>
          <t>Santiago Rubén Córdova Vaca:</t>
        </r>
        <r>
          <rPr>
            <sz val="9"/>
            <color indexed="81"/>
            <rFont val="Tahoma"/>
            <family val="2"/>
          </rPr>
          <t xml:space="preserve">
Empresa reporta a 99% en julio, pero antes había reportado al 100%
</t>
        </r>
      </text>
    </comment>
    <comment ref="GA263" authorId="2" shapeId="0">
      <text>
        <r>
          <rPr>
            <b/>
            <sz val="9"/>
            <color indexed="81"/>
            <rFont val="Tahoma"/>
            <family val="2"/>
          </rPr>
          <t>Santiago Rubén Córdova Vaca:</t>
        </r>
        <r>
          <rPr>
            <sz val="9"/>
            <color indexed="81"/>
            <rFont val="Tahoma"/>
            <family val="2"/>
          </rPr>
          <t xml:space="preserve">
Empresa reporta a 99% en julio, pero antes había reportado al 100%
</t>
        </r>
      </text>
    </comment>
    <comment ref="GB263" authorId="2" shapeId="0">
      <text>
        <r>
          <rPr>
            <b/>
            <sz val="9"/>
            <color indexed="81"/>
            <rFont val="Tahoma"/>
            <family val="2"/>
          </rPr>
          <t>Santiago Rubén Córdova Vaca:</t>
        </r>
        <r>
          <rPr>
            <sz val="9"/>
            <color indexed="81"/>
            <rFont val="Tahoma"/>
            <family val="2"/>
          </rPr>
          <t xml:space="preserve">
Empresa reporta a 99% en julio, pero antes había reportado al 100%
</t>
        </r>
      </text>
    </comment>
    <comment ref="FZ268" authorId="2" shapeId="0">
      <text>
        <r>
          <rPr>
            <b/>
            <sz val="9"/>
            <color indexed="81"/>
            <rFont val="Tahoma"/>
            <family val="2"/>
          </rPr>
          <t>Santiago Rubén Córdova Vaca:</t>
        </r>
        <r>
          <rPr>
            <sz val="9"/>
            <color indexed="81"/>
            <rFont val="Tahoma"/>
            <family val="2"/>
          </rPr>
          <t xml:space="preserve">
Empresa en julio reporta al 99%, pero antes había reporado al 100%</t>
        </r>
      </text>
    </comment>
    <comment ref="GA268" authorId="2" shapeId="0">
      <text>
        <r>
          <rPr>
            <b/>
            <sz val="9"/>
            <color indexed="81"/>
            <rFont val="Tahoma"/>
            <family val="2"/>
          </rPr>
          <t>Santiago Rubén Córdova Vaca:</t>
        </r>
        <r>
          <rPr>
            <sz val="9"/>
            <color indexed="81"/>
            <rFont val="Tahoma"/>
            <family val="2"/>
          </rPr>
          <t xml:space="preserve">
Empresa en julio reporta al 99%, pero antes había reporado al 100%</t>
        </r>
      </text>
    </comment>
    <comment ref="GB268" authorId="2" shapeId="0">
      <text>
        <r>
          <rPr>
            <b/>
            <sz val="9"/>
            <color indexed="81"/>
            <rFont val="Tahoma"/>
            <family val="2"/>
          </rPr>
          <t>Santiago Rubén Córdova Vaca:</t>
        </r>
        <r>
          <rPr>
            <sz val="9"/>
            <color indexed="81"/>
            <rFont val="Tahoma"/>
            <family val="2"/>
          </rPr>
          <t xml:space="preserve">
Empresa en julio reporta al 99%, pero antes había reporado al 100%</t>
        </r>
      </text>
    </comment>
    <comment ref="EJ284" authorId="0" shapeId="0">
      <text>
        <r>
          <rPr>
            <b/>
            <sz val="9"/>
            <color indexed="81"/>
            <rFont val="Tahoma"/>
            <family val="2"/>
          </rPr>
          <t>Silvia Irene Vargas Carvajal:</t>
        </r>
        <r>
          <rPr>
            <sz val="9"/>
            <color indexed="81"/>
            <rFont val="Tahoma"/>
            <family val="2"/>
          </rPr>
          <t xml:space="preserve">
REVISAR ESTE PLAZO LA OBRA ST-OB-004, TIENE UN PLAZO MENOR 180 DIAS LA FISCALIZACIÓN NO PUEDE TENER ESTE PLAZO</t>
        </r>
      </text>
    </comment>
    <comment ref="CA325" authorId="0" shapeId="0">
      <text>
        <r>
          <rPr>
            <b/>
            <sz val="9"/>
            <color indexed="81"/>
            <rFont val="Tahoma"/>
            <family val="2"/>
          </rPr>
          <t>Silvia Irene Vargas Carvajal:</t>
        </r>
        <r>
          <rPr>
            <sz val="9"/>
            <color indexed="81"/>
            <rFont val="Tahoma"/>
            <family val="2"/>
          </rPr>
          <t xml:space="preserve">
CORREGIR FECHA DE SUSCRIPCION DE CONTRATO</t>
        </r>
      </text>
    </comment>
    <comment ref="AA337" authorId="0" shapeId="0">
      <text>
        <r>
          <rPr>
            <b/>
            <sz val="9"/>
            <color indexed="81"/>
            <rFont val="Tahoma"/>
            <family val="2"/>
          </rPr>
          <t>Silvia Irene Vargas Carvajal:</t>
        </r>
        <r>
          <rPr>
            <sz val="9"/>
            <color indexed="81"/>
            <rFont val="Tahoma"/>
            <family val="2"/>
          </rPr>
          <t xml:space="preserve">
valor registrado en el SIGPRO</t>
        </r>
      </text>
    </comment>
    <comment ref="AA338" authorId="0" shapeId="0">
      <text>
        <r>
          <rPr>
            <b/>
            <sz val="9"/>
            <color indexed="81"/>
            <rFont val="Tahoma"/>
            <family val="2"/>
          </rPr>
          <t>Silvia Irene Vargas Carvajal:</t>
        </r>
        <r>
          <rPr>
            <sz val="9"/>
            <color indexed="81"/>
            <rFont val="Tahoma"/>
            <family val="2"/>
          </rPr>
          <t xml:space="preserve">
por confirmar, AÚN NO CONSTA REGISTRADO EN EL SIGPRO</t>
        </r>
      </text>
    </comment>
    <comment ref="CW356" authorId="0" shapeId="0">
      <text>
        <r>
          <rPr>
            <b/>
            <sz val="9"/>
            <color indexed="81"/>
            <rFont val="Tahoma"/>
            <family val="2"/>
          </rPr>
          <t>Silvia Irene Vargas Carvajal:</t>
        </r>
        <r>
          <rPr>
            <sz val="9"/>
            <color indexed="81"/>
            <rFont val="Tahoma"/>
            <family val="2"/>
          </rPr>
          <t xml:space="preserve">
50% DE ANTICIPO</t>
        </r>
      </text>
    </comment>
    <comment ref="B357" authorId="0" shapeId="0">
      <text>
        <r>
          <rPr>
            <b/>
            <sz val="9"/>
            <color indexed="81"/>
            <rFont val="Tahoma"/>
            <family val="2"/>
          </rPr>
          <t>Silvia Irene Vargas Carvajal:</t>
        </r>
        <r>
          <rPr>
            <sz val="9"/>
            <color indexed="81"/>
            <rFont val="Tahoma"/>
            <family val="2"/>
          </rPr>
          <t xml:space="preserve">
MODIFICAR A BIENES</t>
        </r>
      </text>
    </comment>
    <comment ref="M360" authorId="2" shapeId="0">
      <text>
        <r>
          <rPr>
            <b/>
            <sz val="9"/>
            <color indexed="81"/>
            <rFont val="Tahoma"/>
            <family val="2"/>
          </rPr>
          <t>Santiago Rubén Córdova Vaca:</t>
        </r>
        <r>
          <rPr>
            <sz val="9"/>
            <color indexed="81"/>
            <rFont val="Tahoma"/>
            <family val="2"/>
          </rPr>
          <t xml:space="preserve">
Pendiente reforma, se resta de 70.000 un valor de 1.650 que pasa a la misma EEQ, Congreso de CIEER en Argentina</t>
        </r>
      </text>
    </comment>
  </commentList>
</comments>
</file>

<file path=xl/sharedStrings.xml><?xml version="1.0" encoding="utf-8"?>
<sst xmlns="http://schemas.openxmlformats.org/spreadsheetml/2006/main" count="19897" uniqueCount="2115">
  <si>
    <t>CNELEOR</t>
  </si>
  <si>
    <t>BIENES</t>
  </si>
  <si>
    <t>BID2-RSND-CNELEOR-DI-BI-002</t>
  </si>
  <si>
    <t>LPN</t>
  </si>
  <si>
    <t>ex-post</t>
  </si>
  <si>
    <t>CNELSTD</t>
  </si>
  <si>
    <t>BID2-RSND-CNELSTD-DI-BI-001</t>
  </si>
  <si>
    <t xml:space="preserve"> ADQUISICIÓN DE EQUIPO DE LAVADO EN CALIENTE DE AISLADORES</t>
  </si>
  <si>
    <t xml:space="preserve"> IMPLENTACION DEL SISTEMA SCADA (SEGUNDA FASE) EN EL ÁREA DE SERVICIO DE CNEL SANTO DOMINGO</t>
  </si>
  <si>
    <t>CNELSUC</t>
  </si>
  <si>
    <t>ADQUISICIÓN DE EQUIPOS PARA SUPERVISIÓN, PRUEBAS Y CONTROL DE LA CALIDAD DE SERVICIO</t>
  </si>
  <si>
    <t>BID2-RSND-CNELSUC-AU-BI-008</t>
  </si>
  <si>
    <t>BID2-RSND-CNELSUC-AU-BI-005</t>
  </si>
  <si>
    <t>ADQUISICIÓN S/E MÓVIL</t>
  </si>
  <si>
    <t>LPI</t>
  </si>
  <si>
    <t>ex-ante</t>
  </si>
  <si>
    <t>EEAZ</t>
  </si>
  <si>
    <t>BID2-RSND-EEAZ-DI-BI-001</t>
  </si>
  <si>
    <t>EQUIPOS DE CALIDAD DE ENERGÍA E INGENIERÍA</t>
  </si>
  <si>
    <t>ELEPCO</t>
  </si>
  <si>
    <t>BID2-RSND-ELEPCO-DI-BI-002</t>
  </si>
  <si>
    <t>ADQUISICIÓN EQUIPO TRAILER PARA LAVADO DE AISLACIÓN CON VOLTAJE Y AGUA A PRESIÓN</t>
  </si>
  <si>
    <t xml:space="preserve"> ADQUISICIÓN DE UNA SUBESTACIÓN MOVIL: 16/20 MVA-69/13.8 KV</t>
  </si>
  <si>
    <t>EECS</t>
  </si>
  <si>
    <t>BID2-RSND-EECS-RI-BI-001</t>
  </si>
  <si>
    <t>REFORZAMIENTO DEL ÁREA TÉCNICA: LICENCIAS DE CONFIABILIDAD Y UBICACIÓN DE RECONECTADORES.</t>
  </si>
  <si>
    <t>CNELBOL</t>
  </si>
  <si>
    <t>OBRAS</t>
  </si>
  <si>
    <t>BID2-RSND-CNELBOL-ST-OB-001</t>
  </si>
  <si>
    <t>CONSTRUCCIÓN DE LA LÍNEA DE SUBTRANSMISIÓN BABAHOYO-CALUMA</t>
  </si>
  <si>
    <t xml:space="preserve">BID2-RSND-CNELBOL-AU-OB-002 </t>
  </si>
  <si>
    <t xml:space="preserve"> INTEGRACIÓN DE RECONECTADORES AL SCADA DE CNEL EP UN BOLÍVAR</t>
  </si>
  <si>
    <t>BID2-RSND-CNELEOR-ST-OB-007</t>
  </si>
  <si>
    <t>LÍNEA DE SUBTRANSMISIÓN EL CAMBIO-EL BOSQUE</t>
  </si>
  <si>
    <t>BID2-RSND-CNELEOR-ST-OB-001</t>
  </si>
  <si>
    <t>CONSTRUCCIÓN DE LA SUBESTACIÓN EL BOSQUE</t>
  </si>
  <si>
    <t>BID2-RSND-CNELEOR-AU-OB-005</t>
  </si>
  <si>
    <t>ADECUACIÓN DE INFRAESTRUCTURA DE SUBESTACIONES Y CENTRO DE CONTROL PARA SISTEMA SCADA</t>
  </si>
  <si>
    <t xml:space="preserve">BID2-RSND-CNELEOR-ST-OB-003 </t>
  </si>
  <si>
    <t xml:space="preserve"> REPOTENCIACIÓN DE LA SUBESTACIÓN EL CAMBIO</t>
  </si>
  <si>
    <t xml:space="preserve">BID2-RSND-CNELEOR-DI-OB-004 </t>
  </si>
  <si>
    <t xml:space="preserve"> REFORZAMIENTO DE RED DE MEDIA TENSIÓN EN LA PARROQUIA TENGUEL</t>
  </si>
  <si>
    <t xml:space="preserve">BID2-RSND-CNELBOL-AU-OB-003 </t>
  </si>
  <si>
    <t>ADECUACIÓN Y EQUIPAMIENTO DEL CENTRO DE DATOS Y CENTRO DE CONTROL DE CNEL BOLIVAR PARA LA IMPLEMENTACIÓN DEL SISTEMA SCADA/OMS DMS/MWM II FASE</t>
  </si>
  <si>
    <t>CNELESM</t>
  </si>
  <si>
    <t>BID2-RSND-CNELESM-ST-OB-001</t>
  </si>
  <si>
    <t xml:space="preserve"> CONSTRUCCIÓN DEL SISTEMA DE SUBTRANSMISIÓN PRADERA</t>
  </si>
  <si>
    <t>BID2-RSND-CNELESM-DI-OB-003</t>
  </si>
  <si>
    <t>CONSTRUCCIÓN ALIMENTADOR LA SEXTA</t>
  </si>
  <si>
    <t>BID2-RSND-CNELESM-DI-OB-008</t>
  </si>
  <si>
    <t>CONSTRUCCIÓN ALIMENTADOR PLAYA ATACAMES</t>
  </si>
  <si>
    <t>BID2-RSND-CNELESM-AU-OB-005</t>
  </si>
  <si>
    <t>HABILITACIÓN E INTEGRACIÓN DE SISTEMA DE MEDICIÓN DE SUBESTACIONES Y ALIMENTADORES AL CENTRO DE CONTROL</t>
  </si>
  <si>
    <t>BID2-RSND-CNELESM-AU-OB-007</t>
  </si>
  <si>
    <t>READECUACIONES DE OBRAS CIVILES Y COMUNICACIONES EN SUBESTACIONES Y CENTRO DE CONTROL PARA IMPLEMENTACIÓN DE SISTEMA SCADA</t>
  </si>
  <si>
    <t>REPOTENCIACIÓN DE SALIDAS SUBTERRÁNEAS DE LOS ALIMENTADORES PRIMARIOS DE LAS SUBESTACIONES DE LA UNIDAD DE NEGOCIO ESMERALDAS</t>
  </si>
  <si>
    <t>CNELGY</t>
  </si>
  <si>
    <t>BID2-RSND-CNELGY-ST-OB-001</t>
  </si>
  <si>
    <t>CONSTRUCCIÓN DE LA SUBESTACIÓN HUANCAVILCA Y CONSTRUCCIÓN DEL TAP A 69KV PARA ENERGIZAR  A LA SUBESTACIÓN HUANCAVILCA</t>
  </si>
  <si>
    <t xml:space="preserve">BID2-RSND-CNELGY-ST-OB-002 </t>
  </si>
  <si>
    <t xml:space="preserve"> CONSTRUCCIÓN DE LA SUBESTACIÓN MI LOTE Y CONSTRUCCIÓN DEL TAP A 69KV PARA ENERGIZAR  A LA SUBESTACIÓN MI LOTE</t>
  </si>
  <si>
    <t xml:space="preserve">BID2-RSND-CNELGY-ST-OB-003 </t>
  </si>
  <si>
    <t>CONSTRUCCIÓN DE LA SUBESTACIÓN GUASMO 3 Y CONSTRUCCIÓN DEL TAP A 69KV PARA ENERGIZAR  A LA SUBESTACIÓN GUASMO 3</t>
  </si>
  <si>
    <t xml:space="preserve"> EXTENSIÓN A LA LÍNEA DE SUBTRANSMISIÓN NUEVA PROSPERINA 2 PARA DIVIDIR LA BARRA A MAPASINGUE</t>
  </si>
  <si>
    <t>CONSTRUCCIÓN DE LAS ALIMENTADORAS A 13.8 KV GUASMO 8, GUASMO 9 Y GUASMO 10</t>
  </si>
  <si>
    <t xml:space="preserve"> CONSTRUCCIÓN DE LA ALIMENTADORA A 13.8 KV HUANCAVILCA 3</t>
  </si>
  <si>
    <t xml:space="preserve"> CONSTRUCCIÓN DE LA ALIMENTADORA A 13.8 KV MI LOTE 1</t>
  </si>
  <si>
    <t>CNELGLR</t>
  </si>
  <si>
    <t>BID2-RSND-CNELGLR-ST-OB-001</t>
  </si>
  <si>
    <t>CONSTRUCCIÓN DE LA L/S/T A 69 KV PASCUALES – MANGLERO, SUMINISTRO DE MATERIALES, EQUIPOS Y MANO DE OBRA</t>
  </si>
  <si>
    <t>CNELLRS</t>
  </si>
  <si>
    <t xml:space="preserve">BID2-RSND-CNELLRS-ST-OB-009 </t>
  </si>
  <si>
    <t xml:space="preserve"> LEVANTAMIENTO LÍNEAS DE SUBTRANSMISION CON CAMBIO DE ESTRUCTURAS </t>
  </si>
  <si>
    <t>BID2-RSND-CNELLRS-ST-OB-002</t>
  </si>
  <si>
    <t>SUMINISTRO, MONTAJE DE EQUIPOS Y AMPLIACIONES MENORES PARA INTERCONEXIÓN ENTRE ALIMENTADORES DE MT DE LAS DIFERENTES SUBESTACIONES</t>
  </si>
  <si>
    <t>SALIDAS DE SUBESTACION PALENQUE (4) Y REPOTENCIACION ALIMENTADOR PALENQUE, VINCES, S/E LA ERCILIA: EL GUINEO, RCTO. LA ERCILIA</t>
  </si>
  <si>
    <t>BID2-RSND-CNELLRS-DI-OB-004</t>
  </si>
  <si>
    <t xml:space="preserve"> VARIANTE LINEA TRIFASICA CATARAMA - PIJULLO - POTOSI </t>
  </si>
  <si>
    <t>BID2-RSND-CNELLRS-DI-OB-005</t>
  </si>
  <si>
    <t>TRIFASEAMIENTO LINEA GUARE - SAN ANTONIO</t>
  </si>
  <si>
    <t>BID2-RSND-CNELLRS-DI-OB-006</t>
  </si>
  <si>
    <t>LINEA TRIFASICA PARROQUIA CARACOL - PARROQUIA LA UNION</t>
  </si>
  <si>
    <t>BID2-RSND-CNELLRS-DI-OB-007</t>
  </si>
  <si>
    <t>REPOTENCIACIÓN DE LA RED DE DISTRIBUCIÓN EN LA ZONA URBANA DEL CANTON VENTANAS Y TRIFASIAMIENTO DE LA LINEA HCDA. BONITA - T - LOS ANGELES - LA TABAQUERA</t>
  </si>
  <si>
    <t>BID2-RSND-CNELLRS-AU-OB-008</t>
  </si>
  <si>
    <t xml:space="preserve">PROYECTO SCADA AUTOMATIZACION DE SECCIONADORES DE SUBESTACIONES </t>
  </si>
  <si>
    <t>CNELMAN</t>
  </si>
  <si>
    <t>BID2-RSND-CNELMAN-ST-OB-001</t>
  </si>
  <si>
    <t>REPOTENCIACIÓN DE LA INFRAESTRUCTURA CIVIL Y ELÉCTRICA DE LA S/E CHONE, 2x10-12,5 MVA (69/13,8kV)</t>
  </si>
  <si>
    <t>BID2-RSND-CNELMAN-DI-OB-001</t>
  </si>
  <si>
    <t>CONSTRUCCIÓN DE LÍNEA TRIFÁSICA A 13.8 KV PARA S/E JARAMIJO, S/E MANTA 3 Y S/E MONTECRISTI 2</t>
  </si>
  <si>
    <t>BID2-RSND-CNELMAN-AU-OB-001</t>
  </si>
  <si>
    <t xml:space="preserve"> ADECUACIÓN DE INFRAESTRUCTURA EN LA S/E ELECTRICA MONTECRISTI 1 PARA LA IMPLEMENTACIÓN DEL SCADA</t>
  </si>
  <si>
    <t>BID2-RSND-CNELMAN-AU-OB-002</t>
  </si>
  <si>
    <t>ADECUACIÓN DE INFRAESTRUCTURA DE LAS S/E LODANA, PLAYA PRIETA Y BARRANCO COLORADO PARA LA IMPLEMENTACIÓN DEL SCADA</t>
  </si>
  <si>
    <t>CNELMLG</t>
  </si>
  <si>
    <t>BID2-RSND-CNELMLG-ST-OB-001</t>
  </si>
  <si>
    <t>BID2-RSND-CNELMLG-ST-OB-002</t>
  </si>
  <si>
    <t>CONSTRUCCIÓN DE LA LÍNEA DE SUBTRANSMISIÓN A 69 KV LA TRONCAL - PUERTO INCA</t>
  </si>
  <si>
    <t>BID2-RSND-CNELMLG-AU-OB-001</t>
  </si>
  <si>
    <t xml:space="preserve"> INSTALACIÓN SCADA</t>
  </si>
  <si>
    <t>BID2-RSND-CNELMLG-ST-OB-004</t>
  </si>
  <si>
    <t>ADQUISICIÓN E INSTALACIÓN DE CUATRO INTERRUPTOR A 69 KV MOTORIZADO, ACCIONADO EN GRUPO, PARA INSTALAR EN POSTE, TELECONTROLADOS Y COMUNICADOS AL CENTRO DE CONTROL</t>
  </si>
  <si>
    <t>CNELSTE</t>
  </si>
  <si>
    <t>BID2-RSND-CNELSTE-ST-OB-001</t>
  </si>
  <si>
    <t>REPOTENCIACIÓN DE TRANSFORMADOR DE POTENCIA DE 16/20 MVA -69/13,8 KV DE S/E PLAYAS Y SAN VICENTE</t>
  </si>
  <si>
    <t>BID2-RSND-CNELSTE-ST-OB-002</t>
  </si>
  <si>
    <t xml:space="preserve"> REPOTENCIACIÓN DE DOS TRANSFORMADORES DE POTENCIA DE 10/12 MVA -69/13,8 KV S/E CHANDUY Y MANGLARALTO</t>
  </si>
  <si>
    <t>BID2-RSND-CNELSTE-ST-OB-003</t>
  </si>
  <si>
    <t xml:space="preserve"> REFORZAMIENTO EN LÍNEA DE SUBTRANSMISIÓN SAN LORENZO DEL MATE-CERECITA</t>
  </si>
  <si>
    <t>BID2-RSND-CNELSTE-ST-OB-004</t>
  </si>
  <si>
    <t>REFORZAMIENTO DE LÍNEAS DE SUBTRANSMISIÓN SALINAS-CHIPIPE</t>
  </si>
  <si>
    <t>BID2-RSND-CNELSTE-DI-OB-009</t>
  </si>
  <si>
    <t>REPOTENCIACIÓN 3 SWITCHGEARS DE MEDIO VOLTAJE PARA ACOPLAR LOS TRANSFORMADORES A ADQUIRIR</t>
  </si>
  <si>
    <t>BID2-RSND-CNELSTE-DI-OB-006</t>
  </si>
  <si>
    <t>REPOTENCIACION DEL ALIMENTADOR "PROGRESO" EN MEDIA TENSIÓN TRAMO SAN LORENZO-PROGRESO-SAN ANTONIO</t>
  </si>
  <si>
    <t>BID2-RSND-CNELSTE-DI-OB-007</t>
  </si>
  <si>
    <t>REPOTENCIACIÓN DE 31,9 KM DE REDES ABIERTAS A PREENSAMBLADAS Y 16 TRANSFORMADORES DE DISTRIBUCIÓN POR DIVISIÓN DE CIRCUITOS -DIVISIÓN PLAYAS</t>
  </si>
  <si>
    <t>BID2-RSND-CNELSTE-AU-OB-010</t>
  </si>
  <si>
    <t xml:space="preserve">
ADECUACIONES SCADA PARA DATA CENTER</t>
  </si>
  <si>
    <t>BID2-RSND-CNELSTE-AU-OB-011</t>
  </si>
  <si>
    <t xml:space="preserve">ADECUACIONES SCADA PARA SECCIONADORES TRIPOLARES A 69KV </t>
  </si>
  <si>
    <t>READECUACIÓN DEL CENTRO DE OPERACIONES DE CNEL SANTO DOMINGO</t>
  </si>
  <si>
    <t xml:space="preserve">BID2-RSND-CNELSTD-DI-OB-001 </t>
  </si>
  <si>
    <t>REPOTENCIACIÓN DE CENTROS DE TRANSFORMACIÓN, REDES DE BAJA Y MEDIA TENSIÓN DE LA ZONA NORTE DE MANABÍ</t>
  </si>
  <si>
    <t xml:space="preserve">BID2-RSND-CNELSTD-DI-OB-002 </t>
  </si>
  <si>
    <t>REPOTENCIACIÓN DE ALIMENTADOR PUEBLO NUEVO EN LA ZONA NORTE DE MANABÍ (COMPROMISO PRESIDENCIAL)</t>
  </si>
  <si>
    <t>BID2-RSND-CNELSTD-DI-OB-005</t>
  </si>
  <si>
    <t>CONSTRUCCIÓN POSICIONES DE SALIDA DE S/E 11 Y RECONFIGURACIÓN ALIMENTADORES EN SANTO DOMINGO</t>
  </si>
  <si>
    <t xml:space="preserve">REPOTENCIACIÓN LINEA DE SUBTRANSMISIÓN SACHA-ORELLANA </t>
  </si>
  <si>
    <t>BID2-RSND-CNELSUC-DI-OB-002</t>
  </si>
  <si>
    <t>REFORZAMIENTO DE REDES RED TRIFASICA TARAPOA-LA “Y” DE CUYABENO</t>
  </si>
  <si>
    <t>BID2-RSND-CNELSUC-DI-OB-003</t>
  </si>
  <si>
    <t>REFORZAMIENTO DE REDES EN EL SECTOR DE PACAYACU - LA GUARAPERA</t>
  </si>
  <si>
    <t>BID2-RSND-CNELSUC-DI-OB-005</t>
  </si>
  <si>
    <t>REPOTENCIACIÓN DE LA RED DE MEDIA Y BAJA TENSIÓN ALIMENTADOR COCA 3</t>
  </si>
  <si>
    <t>BID2-RSND-CNELSUC-DI-OB-006</t>
  </si>
  <si>
    <t xml:space="preserve">REFORZAMIENTO DE REDES EN  LAS COMUNIDADES AKISUYO, AKSIR, RUMPIPAMBA.
</t>
  </si>
  <si>
    <t>EEASA</t>
  </si>
  <si>
    <t>BID2-RSND-EEASA-ST-OB-001</t>
  </si>
  <si>
    <t xml:space="preserve"> CONSTRUCCIÓN S/E BATÁN Y LÍNEA DE S/T ASOCIADA A 69 KV</t>
  </si>
  <si>
    <t>BID2-RSND-EEAZ-ST-OB-001</t>
  </si>
  <si>
    <t>CONCLUSIÓN INTEGRACIÓN DE LOS SISTEMAS DE SUBTRANSMISIÓN DE LAS EMPRESAS AZOGUES - CENTRO SUR - CELEC EP HIDROAZOGUEZ</t>
  </si>
  <si>
    <t>BID2-RSND-EEAZ-ST-OB-002</t>
  </si>
  <si>
    <t xml:space="preserve"> POSICION DE LÍNEA PARA S/E GUAPAN UCEM EN LA S/E AZOGUES 1</t>
  </si>
  <si>
    <t>BID2-RSND-ELEPCO-DI-OB-003</t>
  </si>
  <si>
    <t>REFORZAMIENTO DE REDES CALLE 19 DE MAYO (LA MANÁ)</t>
  </si>
  <si>
    <t xml:space="preserve"> IMPLEMENTACIÓN DATA CENTER, CENTRO DE CONTROL Y TELECOMUNICACIÓN PARA SCADA</t>
  </si>
  <si>
    <t>CAMBIO DE RELÉS  PARA LAS SUBESTACIONES LA MANA, LA COCHA, SALCEDO, SAN RAFAEL, SIGCHOS Y EL CALVARIO</t>
  </si>
  <si>
    <t>BID2-RSND-ELEPCO-ST-OB-007</t>
  </si>
  <si>
    <t>PROVISIÓN E INSTALACIÓN DE CABLES Y EQUIPOS DE COMUNICACIÓN</t>
  </si>
  <si>
    <t>BID2-RSND-ELEPCO-DI-OB-005</t>
  </si>
  <si>
    <t>CONSTRUCCIÓN ENLACES TRIFÁSICOS Y MONOFÁSICOS EN ZONA DE RIESGO, PLAN DE CONTINGENCIA</t>
  </si>
  <si>
    <t>BID2-RSND-ELEPCO-ST-OB-006</t>
  </si>
  <si>
    <t>CONSTRUCCIÓN DE LA LÍNEA A 69KV TANICUCHÍ-SANTA ANA ALTO /  CONSTRUCCIÓN DE LA LÍNEA A 69KV PANZALEO-PUJILÍ</t>
  </si>
  <si>
    <t>EMELNORTE</t>
  </si>
  <si>
    <t>BID2-RSND-EMELNORTE-DI-OB-001</t>
  </si>
  <si>
    <t>BID2-RSND-EMELNORTE-DI-OB-002</t>
  </si>
  <si>
    <t>ALIMENTADOR EXPRESO CHOTA PIMAMPIRO</t>
  </si>
  <si>
    <t>BID2-RSND-EMELNORTE-DI-OB-003</t>
  </si>
  <si>
    <t>CAMBIO DE REDES DE MT CONVENCIONALES A SEMIAISLADA EN ALIMENTADORES DE LAS SE CAYAMBE Y LA ESPERANZA</t>
  </si>
  <si>
    <t xml:space="preserve"> BID2-RSND-EECS-AU-OB-002</t>
  </si>
  <si>
    <t>AUTOMATIZACIÓN DE LA DISTRIBUCIÓN - CAPÍTULO SUBESTACIONES (S/ES 03, 04, 05)</t>
  </si>
  <si>
    <t>BID2-RSND-EECS-AU-OB-003</t>
  </si>
  <si>
    <t>AUTOMATIZACIÓN DE LA DISTRIBUCIÓN - CAPÍTULO CONTROL Y COMUNICACIONES DE ALIMENTADORES URBANOS</t>
  </si>
  <si>
    <t xml:space="preserve"> ADQUISICIÓN, INSTALACIÓN Y PUESTA EN OPERACIÓN DE RECONECTADORES TRIFÁSICOS</t>
  </si>
  <si>
    <t>BID2-RSND-EECS-DI-OB-001</t>
  </si>
  <si>
    <t>REPOTENCIACIÓN DEL ALIMENTADOR VOLUNTAD DE DIOS COLONIA 10 AGOSTO / LA TRONCAL. REPOTENCIACIÓN-CONSTRUCCIÓN DE LA LÍNEA TRIFASICA SECTOR SANTA ISABEL / LA TRONCAL. REPOTENCIACIÓN DE LA RED MEDIA TENSIÓN ALIMENTADOR 5013 / LA TRONCAL.</t>
  </si>
  <si>
    <t>EEPGSA</t>
  </si>
  <si>
    <t xml:space="preserve"> IMPLEMENTACIÓN DE UN CENTRO DE DATOS PARA OPTIMIZAR LA DISPONIBILIDAD DE LOS SERVICIOS TECNOLÓGICOS DE LOS CLIENTES DE ELECGALAPAGOS S.A.</t>
  </si>
  <si>
    <t xml:space="preserve"> IMPLEMENTACIÓN DE UN ENLACE DE DATOS A NIVEL PROVINCIAL</t>
  </si>
  <si>
    <t>BID2-RSND-EEPGSA-DI-OB-001</t>
  </si>
  <si>
    <t>REPOTENCIACIÓN DE REDES DE DISTRIBUCIÓN DEL ALIMENTADOR 2 DEL SECTOR PERIMETRAL EN SAN CRISTÓBAL</t>
  </si>
  <si>
    <t>BID2-RSND-EEPGSA-DI-OB-002</t>
  </si>
  <si>
    <t>CONSTRUCCIÓN DEL NUEVO ALIMENTADOR PRIMARIO NO. 4, PARA LA ZONA URBANA DE PUERTO AYORA</t>
  </si>
  <si>
    <t>EEQ</t>
  </si>
  <si>
    <t>BID2-RSND-EEQ-DI-OB-001</t>
  </si>
  <si>
    <t xml:space="preserve"> REFORZAMIENTO DE SISTEMAS DE MEDICIÓN CONCENTRADA</t>
  </si>
  <si>
    <t>BID2-RSND-EEQ-DI-OB-002</t>
  </si>
  <si>
    <t>REFORZAMIENTO DE REDES DE MEDIO Y BAJO VOLTAJE CON REPOTENCIACION DE TRANSFORMADORES ACOMETIDAS Y MEDIDORES</t>
  </si>
  <si>
    <t>BID2-RSND-EEQ-DI-OB-004</t>
  </si>
  <si>
    <t xml:space="preserve"> REFORZAMIENTO DE REDES DE MEDIO Y BAJO VOLTAJE CON REPOTENCIACION DE TRANSFORMADORES ACOMETIDAS Y MEDIDORES  PRIMARIO 23C, PRIMARIO 55B, PRIMARIO 57F</t>
  </si>
  <si>
    <t>BID2-RSND-EEQ-DI-OB-005</t>
  </si>
  <si>
    <t>EERSA</t>
  </si>
  <si>
    <t>BID2-RSND-EERSA-ST-OB-001</t>
  </si>
  <si>
    <t xml:space="preserve"> REPOTENCIACIÓN DE LA S/E GATAZO</t>
  </si>
  <si>
    <t>BID2-RSND-EERSA-ST-OB-002</t>
  </si>
  <si>
    <t>REPOSICIÓN DE INTERRUPTORES DE 69 KV PARA LA SUBESTACIÓN 3 Y 8</t>
  </si>
  <si>
    <t>EERSSA</t>
  </si>
  <si>
    <t>BID2-RSND-EERSSA-ST-OB-001</t>
  </si>
  <si>
    <t>REFORZAMIENTO DE ALIMENTADORES PRIMARIOS CON INSTALACION DE RECONECTADORES</t>
  </si>
  <si>
    <t>BID2-RSND-EERSSA-ST-OB-002</t>
  </si>
  <si>
    <t xml:space="preserve"> ADECUACIÓN DE LA POSICIÓN AMALUZA EN LA SE CARIAMANGA</t>
  </si>
  <si>
    <t>BID2-RSND-EERSSA-DI-OB-004</t>
  </si>
  <si>
    <t>BID2-RSND-EERSSA-DI-OB-005</t>
  </si>
  <si>
    <t>REPOTENCIACIÓN DE LAS REDES DE DISTRIBUCIÓN DE LA PROVINCIA DE LOJA ETAPA I</t>
  </si>
  <si>
    <t>BID2-RSND-EERSSA-DI-OB-006</t>
  </si>
  <si>
    <t>REPOTENCIACIÓN DE REDES DE DISTRIBUCIÓN EN LA PROVINCIA DE ZAMORA CHINCHIPE Y GUALAQUIZA ETAPA II</t>
  </si>
  <si>
    <t>FIRMAS CONSULTORAS</t>
  </si>
  <si>
    <t>SBCC</t>
  </si>
  <si>
    <t>BID2-RSND-CNELLRS-FI-FC-001</t>
  </si>
  <si>
    <t>BID2-RSND-CNELMAN-FI-FC-001</t>
  </si>
  <si>
    <t xml:space="preserve"> FISCALIZACIÓN REPOTENCIACIÓN DE LA INFRAESTRUCTURA CIVIL Y ELÉCTRICA DE LA S/E CHONE, 2x10-12,5 MVA (69/13,8kV)</t>
  </si>
  <si>
    <t>CONSULTORIA INDIVIDUAL</t>
  </si>
  <si>
    <t>BID2-RSND-CNELEOR-FI-CI-006</t>
  </si>
  <si>
    <t xml:space="preserve"> FISCALIZACIÓN DE LA OBRA ELECTRICA EN LA LÍNEA DE SUBTRANSMISIÓN EL CAMBIO-EL BOSQUE</t>
  </si>
  <si>
    <t>CCIN</t>
  </si>
  <si>
    <t>BID2-RSND-CNELEOR-FI-CI-007</t>
  </si>
  <si>
    <t xml:space="preserve"> FISCALIZACIÓN DE LA OBRA CIVIL EN LA LÍNEA DE SUBTRANSMISIÓN EL CAMBIO-EL BOSQUE</t>
  </si>
  <si>
    <t>BID2-RSND-CNELEOR-FI-CI-004</t>
  </si>
  <si>
    <t>BID2-RSND-CNELEOR-FI-CI-005</t>
  </si>
  <si>
    <t xml:space="preserve"> FISCALIZACIÓN DE LA CONSTRUCCIÓN DE LA OBRA CIVIL DE LA SUBESTACIÓN EL BOSQUE</t>
  </si>
  <si>
    <t>BID2-RSND-CNELEOR-FI-CI-002</t>
  </si>
  <si>
    <t xml:space="preserve"> FISCALIZACIÓN ADECUACIÓN DE INFRAESTRUCTURA DE SUBESTACIONES Y CENTRO DE CONTROL PARA SISTEMA SCADA</t>
  </si>
  <si>
    <t>BID2-RSND-CNELEOR-FI-CI-003</t>
  </si>
  <si>
    <t>FISCALIZACIÓN REPOTENCIACIÓN DE LA SUBESTACIÓN EL CAMBIO</t>
  </si>
  <si>
    <t>BID2-RSND-CNELEOR-FI-CI-001</t>
  </si>
  <si>
    <t>FISCALIZACIÓN REFORZAMIENTO DE RED DE MEDIA TENSIÓN EN LA PARROQUIA TENGUEL</t>
  </si>
  <si>
    <t>BID2-RSND-CNELESM-FI-CI-002</t>
  </si>
  <si>
    <t>BID2-RSND-CNELESM-FI-CI-003</t>
  </si>
  <si>
    <t>FISCALIZACIÓN CONSTRUCCIÓN ALIMENTADOR PLAYA ATACAMES</t>
  </si>
  <si>
    <t>BID2-RSND-CNELESM-FI-CI-004</t>
  </si>
  <si>
    <t xml:space="preserve"> FISCALIZACIÓN HABILITACIÓN E INTEGRACIÓN DE SISTEMA DE MEDICIÓN DE SUBESTACIONES Y ALIMENTADORES AL CENTRO DE CONTROL</t>
  </si>
  <si>
    <t>BID2-RSND-CNELESM-FI-CI-005</t>
  </si>
  <si>
    <t>FISCALIZACIÓN READECUACIONES DE OBRAS CIVILES Y COMUNICACIONES EN SUBESTACIONES Y CENTRO DE CONTROL PARA IMPLEMENTACIÓN DE SISTEMA SCADA</t>
  </si>
  <si>
    <t>BID2-RSND-CNELESM-FI-CI-001</t>
  </si>
  <si>
    <t>FISCALIZACIÓN REPOTENCIACIÓN DE SALIDAS SUBTERRÁNEAS DE LOS ALIMENTADORES PRIMARIOS DE LAS SUBESTACIONES DE LA UNIDAD DE NEGOCIO ESMERALDAS</t>
  </si>
  <si>
    <t>BID2-RSND-CNELGY-FI-CI-001</t>
  </si>
  <si>
    <t>FISCALIZACIÓN DE LOS TRABAJOS CIVILES DE LA  CONSTRUCCIÓN DE LA SUBESTACIÓN HUANCAVILCA</t>
  </si>
  <si>
    <t>FISCALIZACIÓN DE LOS TRABAJOS ELÉCTRICOS DE LA CONSTRUCCIÓN DE LA SUBESTACIÓN GUASMO 3 Y DE LA CONSTRUCCIÓN DEL TAP A 69KV PARA ENERGIZAR  A LA SUBESTACIÓN GUASMO 3</t>
  </si>
  <si>
    <t>FISCALIZACIÓN DE LOS TRABAJOS CIVILES DE LA CONSTRUCCIÓN DE LA SUBESTACIÓN GUASMO 3</t>
  </si>
  <si>
    <t>BID2-RSND-CNELGY-FI-CI-003</t>
  </si>
  <si>
    <t>FISCALIZACIÓN DE LOS TRABAJOS ELÉCTRICOS DE LA  CONSTRUCCIÓN DE LA SUBESTACIÓN MI LOTE Y CONSTRUCCIÓN DEL TAP A 69KV PARA ENERGIZAR  A LA SUBESTACIÓN MI LOTE</t>
  </si>
  <si>
    <t>FISCALIZACIÓN DE LOS TRABAJOS CIVILES DE LA CONSTRUCCIÓN DE LA SUBESTACIÓN MI LOTE</t>
  </si>
  <si>
    <t>FISCALIZACIÓN DE LA EXTENSIÓN A LA LÍNEA DE SUBTRANSMISIÓN NUEVA PROSPERINA 2 PARA DIVIDIR LA BARRA A MAPASINGUE</t>
  </si>
  <si>
    <t>FISCALIZACIÓN DE LA CONSTRUCCIÓN DE LAS ALIMENTADORAS A 13.8 KV GUASMO 8, GUASMO 9 Y GUASMO 10</t>
  </si>
  <si>
    <t>FISCALIZACIÓN DE LA CONSTRUCCIÓN DE LA ALIMENTADORA A 13.8 KV HUANCAVILCA 3</t>
  </si>
  <si>
    <t xml:space="preserve"> FISCALIZACIÓN DE LA CONSTRUCCIÓN DE LA ALIMENTADORA A 13.8 KV MI LOTE 1</t>
  </si>
  <si>
    <t>BID2-RSND-CNELLRS-FI-CI-001</t>
  </si>
  <si>
    <t>FISCALIZACIÓN PARA EL LEVANTAMIENTO LÍNEAS DE SUBTRANSMISION CON CAMBIO DE ESTRUCTURAS</t>
  </si>
  <si>
    <t>BID-RSND-CNELLRS-FI-CI-002</t>
  </si>
  <si>
    <t xml:space="preserve">FISCALIZACIÓN PROYECTO SCADA AUTOMATIZACIÓN DE SECCIONADORES DE SUBESTACIONES </t>
  </si>
  <si>
    <t>BID2-RSND-CNELMAN-FI-CI-001</t>
  </si>
  <si>
    <t xml:space="preserve">BID2-RSND-CNELMAN-FI-CI-002
</t>
  </si>
  <si>
    <t>FISCALIZACION ADECUACIÓN DE INFRAESTRUCTURA DE LAS S/E MONTECRISTI 1, LODANA, PLAYA PRIETA Y BARRANCO COLORADO PARA LA IMPLEMENTACIÓN DEL SCADA</t>
  </si>
  <si>
    <t>BID2-RSND-CNELMLG-FI-CI-006</t>
  </si>
  <si>
    <t>FISCALIZADOR ELÉCTRICO PARA LA LÍNEA DE SUBTRANSMISIÓN EL RECREO-YAGUACHI</t>
  </si>
  <si>
    <t>BID2-RSND-CNELMLG-FI-CI-007</t>
  </si>
  <si>
    <t>FISCALIZADOR CIVIL PARA LA LÍNEA DE SUBTRANSMISIÓN EL RECREO-YAGUACHI</t>
  </si>
  <si>
    <t>BID2-RSND-CNELMLG-FI-CI-008</t>
  </si>
  <si>
    <t>FISCALIZADOR AMBIENTAL PARA LA LÍNEA DE SUBTRANSMISIÓN EL RECREO-YAGUACHI</t>
  </si>
  <si>
    <t>BID2-RSND-CNELMLG-FI-CI-003</t>
  </si>
  <si>
    <t>FISCALIZADOR ELÉCTRICO PARA LA LÍNEA DE SUBTRANSMISIÓN LA TRONCAL PUERTO INCA</t>
  </si>
  <si>
    <t>BID2-RSND-CNELMLG-FI-CI-004</t>
  </si>
  <si>
    <t>FISCALIZADOR CIVIL DE LA LÍNEA DE SUBTRANSMISIÓN LA TRONCAL PUERTO INCA</t>
  </si>
  <si>
    <t>BID2-RSND-CNELMLG-FI-CI-005</t>
  </si>
  <si>
    <t>FISCALIZADOR AMBIENTAL PARA LA LÍNEA DE SUBTRANSMISIÓN LA TRONCAL PUERTO INCA</t>
  </si>
  <si>
    <t>BID2-RSND-CNELMLG-FI-CI-002</t>
  </si>
  <si>
    <t>FISCALIZACIÓN INSTALACIÓN SCADA</t>
  </si>
  <si>
    <t>BID2-RSND-CNELMLG-FI-CI-009</t>
  </si>
  <si>
    <t>FISCALIZACIÓN CONSTRUCCIÓN POSICIONES DE SALIDA DE S/E 11 Y RECONFIGURACIÓN ALIMENTADORES EN SANTO DOMINGO</t>
  </si>
  <si>
    <t>BID2-RSND-CNELSTD-FI-CI-005</t>
  </si>
  <si>
    <t>FISCALIZACIÓN REPOTENCIACIÓN DE CENTROS DE TRANSFORMACIÓN, REDES DE BAJA Y MEDIA TENSIÓN DE LA ZONA NORTE DE MANABÍ  Y REPOTENCIACION DE ALIMENTADOR  PUEBLO NUEVO EN LA ZONA NORTE DE MANABÍ (COMPROMISO PRESIDENCIAL)</t>
  </si>
  <si>
    <t>BID2-RSND-CNELSTE-FI-CI-004</t>
  </si>
  <si>
    <t>FISCALIZACIÓN REPOTENCIACIÓN DE TRANSFORMADOR DE POTENCIA DE 16/20 MVA -69/13,8 KV DE S/E PLAYAS Y SAN VICENTE</t>
  </si>
  <si>
    <t>BID2-RSND-CNELSTE-FI-CI-005</t>
  </si>
  <si>
    <t xml:space="preserve"> FISCALIZACIÓN REPOTENCIACIÓN DE DOS TRANSFORMADORES DE POTENCIA DE 10/12 MVA -69/13,8 KV S/E CHANDUY Y MANGLARALTO</t>
  </si>
  <si>
    <t>BID2-RSND-CNELSTE-FI-CI-006</t>
  </si>
  <si>
    <t>BID2-RSND-CNELSTE-SP-CI-011</t>
  </si>
  <si>
    <t>SUPERVISIÓN REFORZAMIENTO EN LÍNEA DE SUBTRANSMISIÓN SAN LORENZO DEL MATE-CERECITA</t>
  </si>
  <si>
    <t>BID2-RSND-CNELSTE-FI-CI-001</t>
  </si>
  <si>
    <t>FISCALIZACIÓN REFORZAMIENTO DE LÍNEAS DE SUBTRANSMISIÓN SALINAS-CHIPIPE</t>
  </si>
  <si>
    <t>BID2-RSND-CNELSTE-SP-CI-008</t>
  </si>
  <si>
    <t>SUPERVISIÓN REFORZAMIENTO DE LÍNEAS DE SUBTRANSMISIÓN SALINAS-CHIPIPE</t>
  </si>
  <si>
    <t>BID2-RSND-CNELSTE-FI-CI-007</t>
  </si>
  <si>
    <t xml:space="preserve"> FISCALIZACIÓN REPOTENCIACIÓN 3 SWITCHGEARS DE MEDIO VOLTAJE PARA ACOPLAR LOS TRANSFORMADORES A ADQUIRIR</t>
  </si>
  <si>
    <t>BID2-RSND-CNELSTE-FI-CI-002</t>
  </si>
  <si>
    <t>FISCALIZACIÓN REPOTENCIACION DEL ALIMENTADOR "PROGRESO" EN MEDIA TENSIÓN TRAMO SAN LORENZO-PROGRESO-SAN ANTONIO</t>
  </si>
  <si>
    <t>BID2-RSND-CNELSTE-SP-CI-009</t>
  </si>
  <si>
    <t xml:space="preserve"> SUPERVISIÓN REPOTENCIACION DEL ALIMENTADOR "PROGRESO" EN MEDIA TENSIÓN TRAMO SAN LORENZO-PROGRESO-SAN ANTONIO</t>
  </si>
  <si>
    <t>BID2-RSND-CNELSTE-FI-CI-003</t>
  </si>
  <si>
    <t xml:space="preserve"> FISCALIZACIÓN REPOTENCIACIÓN DE 31,9 KM DE REDES ABIERTAS A PREENSAMBLADAS Y 16 TRANSFORMADORES DE DISTRIBUCIÓN POR DIVISIÓN DE CIRCUITOS -DIVISIÓN PLAYAS</t>
  </si>
  <si>
    <t>BID2-RSND-CNELSTE-SP-CI-010</t>
  </si>
  <si>
    <t>SUPERVISIÓN REPOTENCIACIÓN DE 31,9 KM DE REDES ABIERTAS A PREENSAMBLADAS Y 16 TRANSFORMADORES DE DISTRIBUCIÓN POR DIVISIÓN DE CIRCUITOS -DIVISIÓN PLAYAS</t>
  </si>
  <si>
    <t>BID2-RSND-CNELSUC-SO-CI-006</t>
  </si>
  <si>
    <t>FISCALIZACIÓN ELECTRICA DE LA CONCLUSIÓN INTEGRACIÓN DE LOS SISTEMAS DE SUBTRANSMISIÓN DE LAS EMPRESAS AZOGUEZ - CENTRO SUR - CELEC EP HIDROAZOGUEZ</t>
  </si>
  <si>
    <t>FISCALIZACIÓN POSICION DE LÍNEA PARA S/E GUAPAN UCEM EN LA S/E AZOGUES 1</t>
  </si>
  <si>
    <t>BID2-RSND-ELEPCO-FI-CI-001</t>
  </si>
  <si>
    <t>FISCALIZACIÓN DEL REFORZAMIENTO DE REDES CALLE 19 DE MAYO (LA MANÁ)</t>
  </si>
  <si>
    <t>BID2-RSND-EMELNORTE-FI-CI-001</t>
  </si>
  <si>
    <t>FISCALIZACIÓN READECUACIÓN ALIMENTADOR CALLE MALDONADO Y MEJIA</t>
  </si>
  <si>
    <t>BID2-RSND-EMELNORTE-FI-CI-002</t>
  </si>
  <si>
    <t>FISCALIZACIÓN ALIMENTADOR EXPRESO CHOTA PIMAMPIRO</t>
  </si>
  <si>
    <t>BID2-RSND-EMELNORTE-FI-CI-003</t>
  </si>
  <si>
    <t>FISCALIZACIÓN CAMBIO DE REDES DE MT CONVENCIONALES A SEMIAISLADA EN ALIMENTADORES DE LAS SE CAYAMBE Y LA ESPERANZA</t>
  </si>
  <si>
    <t>BID2-RSND-EEQ-FI-CI-001</t>
  </si>
  <si>
    <t>BID2-RSND-EEQ-FI-CI-002</t>
  </si>
  <si>
    <t xml:space="preserve"> FISCALIZACIÓN REFORZAMIENTO DE SISTEMAS DE MEDICIÓN CONCENTRADOS ZONA SUR</t>
  </si>
  <si>
    <t>BID2-RSND-EEQ-FI-CI-003</t>
  </si>
  <si>
    <t xml:space="preserve"> FISCALIZACIÓN  REFORZAMIENTO DE REDES DE MEDIO Y BAJO VOLTAJE CON REPOTENCIACION DE TRANSFORMADORES ACOMETIDAS Y MEDIDORES EN EL PRIMARIO CUMBAYA 29D</t>
  </si>
  <si>
    <t>BID2-RSND-EEQ-FI-CI-004</t>
  </si>
  <si>
    <t>FISCALIZACIÓN REFORZAMIENTO DE REDES DE MEDIO Y BAJO VOLTAJE CON REPOTENCIACION DE TRANSFORMADORES ACOMETIDAS Y MEDIDORES EN EL PRIMARIO TABABELA 31A</t>
  </si>
  <si>
    <t>BID2-RSND-EEQ-FI-CI-005</t>
  </si>
  <si>
    <t>FISCALIZACIÓN REFORZAMIENTO DE REDES DE MEDIO Y BAJO VOLTAJE CON REPOTENCIACION DE TRANSFORMADORES ACOMETIDAS Y MEDIDORES EN EL PRIMARIO TUMBACO 36D</t>
  </si>
  <si>
    <t>BID2-RSND-EEQ-FI-CI-006</t>
  </si>
  <si>
    <t>BID2-RSND-EEQ-FI-CI-007</t>
  </si>
  <si>
    <t>FISCALIZACIÓN REFORZAMIENTO DE REDES DE MEDIO Y BAJO VOLTAJE CON REPOTENCIACION DE TRANSFORMADORES ACOMETIDAS Y MEDIDORES EN EL PRIMARIO POMASQUI 57F</t>
  </si>
  <si>
    <t xml:space="preserve">BID2-RSND-EEQ-FI-CI-008 </t>
  </si>
  <si>
    <t>REFORZAMIENTO DE REDES DE MEDIO Y BAJO VOLTAJE CON REPOTENCIACIÓN DE TRANSFORMADORES ACOMETIDAS Y MEDIDORES EN EL PRIMARIO CONOCOTO 23C Y SANGOLQUI 55B</t>
  </si>
  <si>
    <t>BID2-RSND-EERSSA-FI-CI-002</t>
  </si>
  <si>
    <t>FISCALIZACIÓN REPOTENCIACIÓN DE LAS REDES DE DISTRIBUCIÓN DE LA PROVINCIA DE LOJA ETAPA I</t>
  </si>
  <si>
    <t>BID2-RSND-EERSSA-FI-CI-001</t>
  </si>
  <si>
    <t xml:space="preserve"> FISCALIZACIÓN REPOTENCIACIÓN DE REDES DE DISTRIBUCIÓN EN LA PROVINCIA DE ZAMORA CHINCHIPE Y GUALAQUIZA ETAPA II</t>
  </si>
  <si>
    <t>SERVICIOS DE NO CONSULTORIA</t>
  </si>
  <si>
    <t>BID2-RSND-EECS-RI-SNC-001</t>
  </si>
  <si>
    <t>CAPACITACIÓN CYMDIST</t>
  </si>
  <si>
    <t>BID2-RSND-EECS-RI-SNC-002</t>
  </si>
  <si>
    <t>CAPACITACIÓN DE PROTECCIONES.</t>
  </si>
  <si>
    <t>BID2-RSND-EECS-RI-SNC-003</t>
  </si>
  <si>
    <t>BID2-RSND-EECS-RI-SNC-004</t>
  </si>
  <si>
    <t xml:space="preserve"> FISCALIZACIÓN REFORZAMIENTO DE SISTEMAS DE MEDICIÓN CONCENTRADOS ZONA NORTE DE LA EMPRESA ELÉCTRICA QUITO.</t>
  </si>
  <si>
    <t xml:space="preserve"> READECUACIÓN ALIMENTADOR CALLE MALDONADO Y MEJIA</t>
  </si>
  <si>
    <t>LÍNEA DE SUBTRANSMISIÓN SE VELACRUZ - SE CATACOCHA</t>
  </si>
  <si>
    <t>BID2-RSND-EEQ-RI-SNC-001</t>
  </si>
  <si>
    <t>BID2-RSND-EEQ-RI-SNC-003</t>
  </si>
  <si>
    <t>BID2-RSND-EEQ-RI-SNC-004</t>
  </si>
  <si>
    <t>BID2-RSND-EEQ-RI-SNC-005</t>
  </si>
  <si>
    <t>BID2-RSND-EEQ-RI-SNC-006</t>
  </si>
  <si>
    <t>BID2-RSND-EEQ-RI-SNC-008</t>
  </si>
  <si>
    <t>CAPACITACIÓN EN LA APLICACIÓN DE LAS NORMAS INTERNACIONALES DE INFORMACIÓN FINANCIERA NIIFS</t>
  </si>
  <si>
    <t>BID2-RSND-EERSA-RI-SNC-001</t>
  </si>
  <si>
    <t>CAPACITACIÓN EN LA CALIDAD DE LA ENERGÍA ELÉCTRICA</t>
  </si>
  <si>
    <r>
      <t xml:space="preserve"> </t>
    </r>
    <r>
      <rPr>
        <sz val="8"/>
        <rFont val="Calibri"/>
        <family val="2"/>
        <scheme val="minor"/>
      </rPr>
      <t>SISTEMA DE ILUMINACIÓN DE EMERGENCIA PORTATIL</t>
    </r>
  </si>
  <si>
    <r>
      <rPr>
        <b/>
        <sz val="8"/>
        <rFont val="Calibri"/>
        <family val="2"/>
        <scheme val="minor"/>
      </rPr>
      <t xml:space="preserve"> </t>
    </r>
    <r>
      <rPr>
        <sz val="8"/>
        <rFont val="Calibri"/>
        <family val="2"/>
        <scheme val="minor"/>
      </rPr>
      <t>FISCALIZACIÓN DE LA CONSTRUCCIÓN DE LA OBRA ELECTRICA DE LA SUBESTACIÓN EL BOSQUE</t>
    </r>
  </si>
  <si>
    <r>
      <rPr>
        <b/>
        <sz val="8"/>
        <rFont val="Calibri"/>
        <family val="2"/>
        <scheme val="minor"/>
      </rPr>
      <t xml:space="preserve"> </t>
    </r>
    <r>
      <rPr>
        <sz val="8"/>
        <rFont val="Calibri"/>
        <family val="2"/>
        <scheme val="minor"/>
      </rPr>
      <t>FISCALIZACIÓN DE LOS TRABAJOS ELÉCTRICOS DE LA CONSTRUCCIÓN DE LA SUBESTACIÓN HUANCAVILCA Y CONSTRUCCIÓN DEL TAP A 69KV PARA ENERGIZAR  A LA SUBESTACIÓN HUANCAVILCA</t>
    </r>
  </si>
  <si>
    <r>
      <rPr>
        <b/>
        <sz val="8"/>
        <rFont val="Calibri"/>
        <family val="2"/>
        <scheme val="minor"/>
      </rPr>
      <t xml:space="preserve"> </t>
    </r>
    <r>
      <rPr>
        <sz val="8"/>
        <rFont val="Calibri"/>
        <family val="2"/>
        <scheme val="minor"/>
      </rPr>
      <t>FISCALIZACIÓN REFORZAMIENTO EN LÍNEA DE SUBTRANSMISIÓN SAN LORENZO DEL MATE-CERECITA</t>
    </r>
  </si>
  <si>
    <r>
      <rPr>
        <b/>
        <sz val="8"/>
        <rFont val="Calibri"/>
        <family val="2"/>
        <scheme val="minor"/>
      </rPr>
      <t xml:space="preserve"> </t>
    </r>
    <r>
      <rPr>
        <sz val="8"/>
        <rFont val="Calibri"/>
        <family val="2"/>
        <scheme val="minor"/>
      </rPr>
      <t>FISCALIZACIÓN DE COMUNICACIONES DE LA  CONCLUSIÓN INTEGRACIÓN DE LOS SISTEMAS DE SUBTRANSMISIÓN DE LAS EMPRESAS AZOGUEZ - CENTRO SUR - CELEC EP HIDROAZOGUEZ</t>
    </r>
  </si>
  <si>
    <t>BID2-RSND-EEPGSA-AU-OB-003</t>
  </si>
  <si>
    <t>BID2-RSND-EEPGSA-AU-OB-004</t>
  </si>
  <si>
    <t>LA SECRETARIA DE GESTIÓN DE RIEGOS EMITIÓ EL PLAN DE CONTINGENCIA “AMENAZA DE ERUPCIÓN DEL VOLCÁN COTOPAXI”, EN EL CUAL SE DETERMINA QUE EL  COTOPAXI ES  CONSIDERADO  UNO  DE  LOS  VOLCANES  MÁS  ACTIVOS  DEL  MUNDO REPRESENTANDO  UNA  CONSTANTE  AMENAZA  PARA  AQUELLAS  POBLACIONES  DE  INFLUENCIA DIRECTA E INDIRECTA POR EVENTOS ASOCIADOS.
SE JUSTIFICA LA CONTRATACIÓN DIRECTA EN BASE A LA DECLARACIÓN DE ALERTA AMARILLA, EN BASE A LOS SIGUIENTES DOCUMENTOS:
1. RESOLUCIÓN NO.SGR-042-2015 DE 14 DE AGOSTO DE 2015, DECLARACIÓN DE ALERTA AMARILLA.
2. DECRETO EJECUTIVO NO.755 DE 15 DE AGOSTO DE 2015, DECLARACIÓN DE ESTADO DE EXCEPCIÓN EN TODO EL TERRITORIO NACIONAL, PARA ENFRENTAR EL PROCESO ERUPTIVO DEL VOLCÁN COTOPAXI.
3. “PLAN DE CONTINGENCIA AMENAZA DE ERUPCIÓN DEL VOLCÁN COTOPAXI”, EMITIDO POR LA SECRETARÍA DE GESTIÓN DE RIESGOS.
4. RESOLUCIÓN NRO. 01-PE-2015 DE 07 DE SEPTIEMBRE DE 2015, DECLARACIÓN DEL ESTADO DE EMERGENCIA INSTITUCIONAL DE ELEPCOSA.
Adquisición de equipo trailer para lavado de aisladores en caliente mediante agua a presión para uso  en el área de servicio de la Empresa Eléctrica Provincial Cotopaxi, que se encuentra directamente afectada por la posible erupción del volcán Cotopaxi (5.890 m de altura). Este equipo se requiere para el lavado y evacuación del polvo volcánico que se acumule en los aisladores de las líneas, redes y subestaciones.</t>
  </si>
  <si>
    <t xml:space="preserve">REFORZAMIENTO DE REDES DE MEDIO Y BAJO VOLTAJE CON REPOTENCIACION DE TRANSFORMADORES ACOMETIDAS Y MEDIDORES PRIMARIO 58C </t>
  </si>
  <si>
    <t>REFORZAMIENTO DE REDES DE MEDIO Y BAJO VOLTAJE CON REPOTENCIACION DE TRANSFORMADORES ACOMETIDAS Y MEDIDORES PRIMARIO 58D</t>
  </si>
  <si>
    <t xml:space="preserve">REFORMA </t>
  </si>
  <si>
    <t>REFORZAMIENTO DE REDES DE MEDIO Y BAJO VOLTAJE CON REPOTENCIACION DE TRANSFORMADORES ACOMETIDAS Y MEDIDORES PRIMARIO POMASQUI 57 G</t>
  </si>
  <si>
    <t>REFORMA</t>
  </si>
  <si>
    <t>FISCALIZACIÓN REFORZAMIENTO DE REDES DE MEDIO Y BAJO VOLTAJE CON REPOTENCIACION DE TRANSFORMADORES ACOMETIDAS Y MEDIDORES EN EL PRIMARIO POMASQUI 57G</t>
  </si>
  <si>
    <t>BID2-RSND-EECS-ST-OB-007</t>
  </si>
  <si>
    <t>OBRA NUEVA</t>
  </si>
  <si>
    <t xml:space="preserve">(CORPORATIVO 4) </t>
  </si>
  <si>
    <t>_C1</t>
  </si>
  <si>
    <t>Subtransmisión</t>
  </si>
  <si>
    <t>3494/CH-EC</t>
  </si>
  <si>
    <t>_C2</t>
  </si>
  <si>
    <t>Proyectos de instalación de dispositivos  Inteligentes en Alimentadores Primarios (Reconectadores y Reguladores)</t>
  </si>
  <si>
    <t>3494/OC-EC</t>
  </si>
  <si>
    <t>Proyectos de adecuación e implementación de Centros de Datos y de Control</t>
  </si>
  <si>
    <t>Fiscalización</t>
  </si>
  <si>
    <t>Medición inteligente, en alimentadores, monitoreo y gestión de activos fijos concentrados en subestaciones y alimentadores</t>
  </si>
  <si>
    <t>_C3</t>
  </si>
  <si>
    <t>Fortalecimiento de procesos empresariales</t>
  </si>
  <si>
    <t>Distribución</t>
  </si>
  <si>
    <t>Estrategia de Capacitación</t>
  </si>
  <si>
    <t>Adm Prog</t>
  </si>
  <si>
    <t>Auditorias externas</t>
  </si>
  <si>
    <t>CONTRATADO</t>
  </si>
  <si>
    <t>ING. EDWIN OSWALDO SEGOVIA ALBARRASIN</t>
  </si>
  <si>
    <t>ING. WILSON SANTIAGO MARCAYATA CARDENAS</t>
  </si>
  <si>
    <t>COMPAÑÍA DE SERVICIOS NEOCONTROL CSNEOCONTROL CIA. LTDA.</t>
  </si>
  <si>
    <t>AUTOMATIZACIÓN E IMPLANTACIÓN DE LA BAHÍA A 69 KV DE LA SUBESTACIÓN JIVINO DE CELEC TRANSELECTRIC PARA MEJORAR LA CALIDAD DE SERVICIO Y LA GESTIÓN DE LA DEMANDA EN CNEL UN SUCUMBIOS</t>
  </si>
  <si>
    <t>BID2-RSND-EEQ-RI-SNC-009</t>
  </si>
  <si>
    <t>BID2-RSND-EEQ-RI-SNC-010</t>
  </si>
  <si>
    <t>BID2-RSND-EECS-RI-SNC-005</t>
  </si>
  <si>
    <t>BID2-RSND-EECS-RI-SNC-006</t>
  </si>
  <si>
    <t>MODERNIZACIÓN DE LAS REDES ELÉCTRICAS DEL CENTRO DE LA CIUDAD DE BAÑOS</t>
  </si>
  <si>
    <t>NUEVO PROYECTO</t>
  </si>
  <si>
    <t>INDIVIDUAL</t>
  </si>
  <si>
    <t>BID2-RSND-EEQ-RI-SNC-011</t>
  </si>
  <si>
    <t>Mejoramiento de la eficiencia y fiabilidad de la red</t>
  </si>
  <si>
    <t>Proyectos de automatización y adecuación de subestaciones</t>
  </si>
  <si>
    <t>Fortalecimiento Institucional</t>
  </si>
  <si>
    <t>Proyectos de expansión y refuerzo en el Sistema Nacional de Distribución</t>
  </si>
  <si>
    <t xml:space="preserve"> Mejoramiento de la eficiencia y fiabilidad de la red</t>
  </si>
  <si>
    <t xml:space="preserve"> Proyectos de expansión y refuerzo en el Sistema Nacional de Distribución</t>
  </si>
  <si>
    <t>Supervisión</t>
  </si>
  <si>
    <t>Socialización</t>
  </si>
  <si>
    <t>FINANCIAMIENTO PARCIAL</t>
  </si>
  <si>
    <t>ING. GERMAN ANTONIO SARMIENTO DURAN</t>
  </si>
  <si>
    <t>ING. JORGE LUIS SARANGO VERA</t>
  </si>
  <si>
    <t>ING. WILLIAM EDUARDO YANGE PEÑALOZA</t>
  </si>
  <si>
    <t>ING. ERNESTO DARIO TENESACA AGUILAR</t>
  </si>
  <si>
    <t>ING. SUSY MARITZA TAMAYO YAGUAL</t>
  </si>
  <si>
    <t>ING. JOSE FERNANDO FAJARDO CADME</t>
  </si>
  <si>
    <t>CONTEFERSA S.A.</t>
  </si>
  <si>
    <t>CONSORCIO EL CAMBIO 2</t>
  </si>
  <si>
    <t>ING. WENSESLAO PATRICIO VALAREZO RIOS</t>
  </si>
  <si>
    <t>LEONIDAS SILVERIO SÁNCHEZ OBANDO</t>
  </si>
  <si>
    <t>MACRONIVEL S.A</t>
  </si>
  <si>
    <t>INDUSTRIAL COMERCIAL TCM S. A.</t>
  </si>
  <si>
    <t>ING. AROL CARRILLO ANCHUNDIA</t>
  </si>
  <si>
    <t xml:space="preserve">COFEKA CIA. LTDA.  </t>
  </si>
  <si>
    <t>ASOCIACIÓN R&amp;C CONSTRUCCIONES ELÉCTRICAS</t>
  </si>
  <si>
    <t>ING. CARLOS ANDRES CASTILLO ZUÑIGA</t>
  </si>
  <si>
    <t>ING. ADRIAN ARANDA SÁNCHEZ</t>
  </si>
  <si>
    <t>FISCALIZACIÓN DE LA AUTOMATIZACIÓN E IMPLANTACIÓN DE LA BAHÍA A 69 KV DE LA SUBESTACIÓN JIVINO DE CELEC TRANSELECTRIC PARA MEJORAR LA CALIDAD DE SERVICIO Y LA GESTIÓN DE LA DEMANDA EN CNEL UN SUCUMBIOS</t>
  </si>
  <si>
    <t>BID2-RSND-CNELGY-FI-CI-011</t>
  </si>
  <si>
    <t>BID2-RSND-CNELGY-FI-CI-012</t>
  </si>
  <si>
    <t>BID2-RSND-CNELGY-FI-CI-013</t>
  </si>
  <si>
    <t>BID2-RSND-CNELGY-FI-CI-014</t>
  </si>
  <si>
    <t>BID2-RSND-CNELGY-FI-CI-015</t>
  </si>
  <si>
    <t>BID2-RSND-CNELGY-FI-CI-016</t>
  </si>
  <si>
    <t>BID2-RSND-CNELGY-FI-CI-017</t>
  </si>
  <si>
    <t>BID2-RSND-CNELGY-FI-CI-018</t>
  </si>
  <si>
    <t>BID2-RSND-CNELGY-DI-OB-012</t>
  </si>
  <si>
    <t>CONSTRUCCION DE LA SUBESTACIÓN DE REDUCCION 69/13.8 KV HUANCAVILCA (OBRAS COMPLEMENTARIAS)</t>
  </si>
  <si>
    <t>CONSTRUCCION DEL TAP A 69KV PARA ENERGIZAR A LA NUEVA SUBESTACION HUANCAVILCA</t>
  </si>
  <si>
    <t>CONSTRUCCIÓN DE LA SUBESTACIÓN DE REDUCCCIÓN 69/13.8KV MI LOTE (OBRAS COMPLEMENTARIAS)</t>
  </si>
  <si>
    <t>CONSTRUCCIÓN DEL TAP A 69KV PARA ENERGIZAR A LA NUEVA SUBESTACIÓN MI LOTE</t>
  </si>
  <si>
    <t>CONSTRUCCIÓN DE LA SUBESTACIÓN DE REDUCCCIÓN 69/13.8KV GUASMO 3 (OBRAS COMPLEMENTARIAS)</t>
  </si>
  <si>
    <t>CONSTRUCCIÓN DEL TAP A 69KV PARA ENERGIZAR A LA NUEVA SUBESTACIÓN GUASMO 3</t>
  </si>
  <si>
    <t>CONSTRUCCIÓN DE LA ALIMENTADORA A 13.8 KV GUASMO 8</t>
  </si>
  <si>
    <t xml:space="preserve">CONSTRUCCIÓN DE LA ALIMENTADORA A 13.8 KV GUASMO 9 </t>
  </si>
  <si>
    <t>CONSTRUCCIÓN DE LA ALIMENTADORA A 13.8 KV GUASMO 10</t>
  </si>
  <si>
    <t>CONSTRUCCIÓN DE LA LÍNEA DE SUBTRANSMISIÓN A 69 KV EL RECREO (GLR) - LOS BANCOS - YAGUACHI. 750 MCM ACAR, 21,5  KM. CON OPGW</t>
  </si>
  <si>
    <t>ESTA FISCALIZACIÓN SE HARÁ CON ADMINISTRACIÓN PROPIA</t>
  </si>
  <si>
    <t>BID2-RSND-CNELSUC-FI-CI-011</t>
  </si>
  <si>
    <t>CONSTRUCCIÓN DE LA BAHÍA SUBESTACIÓN LA TRONCAL A 69KV</t>
  </si>
  <si>
    <t>SUPERVISIÓN DE LA AUTOMATIZACIÓN E IMPLANTACIÓN DE LA BAHÍA A 69 KV DE LA SUBESTACIÓN JIVINO DE CELEC TRANSELECTRIC PARA MEJORAR LA CALIDAD DE SERVICIO Y LA GESTIÓN DE LA DEMANDA EN CNEL UN SUCUMBIOS</t>
  </si>
  <si>
    <t>BID2-RSND-CNELSUC-SP-CI-012</t>
  </si>
  <si>
    <t>BID2-RSND-CNELSUC-FI-CI-013</t>
  </si>
  <si>
    <t>BID2-RSND-CNELSUC-SP-CI-014</t>
  </si>
  <si>
    <t>BID2-RSND-CNELSUC-FI-CI-015</t>
  </si>
  <si>
    <t>BID2-RSND-CNELSUC-SP-CI-016</t>
  </si>
  <si>
    <t xml:space="preserve">FISCALIZACIÓN DE LA REPOTENCIACIÓN LINEA DE SUBTRANSMISIÓN SACHA-ORELLANA </t>
  </si>
  <si>
    <t xml:space="preserve"> SUPERVISIÓN DE LA REPOTENCIACIÓN LINEA DE SUBTRANSMISIÓN SACHA-ORELLANA </t>
  </si>
  <si>
    <t>FISCALIZACIÓN DE LA REPOTENCIACIÓN DE LA RED DE MEDIA Y BAJA TENSIÓN ALIMENTADOR COCA 3</t>
  </si>
  <si>
    <t xml:space="preserve"> SUPERVISIÓN DE LA REPOTENCIACIÓN DE LA RED DE MEDIA Y BAJA TENSIÓN ALIMENTADOR COCA 3</t>
  </si>
  <si>
    <t>BID2-RSND-CNELSUC-DI-OB-011</t>
  </si>
  <si>
    <t>BID2-RSND-CNELSUC-ST-OB-010</t>
  </si>
  <si>
    <t>CONSTRUCCION DE SALIDAS SUBTERRANEAS DE ALIMENTADORES PRIMARIOS DE LA SUBESTACION JIVINO Y ADECUACIÓN DEL PATIO DE MANIOBRAS DE LA SUBESTACION LAGO AGRIO</t>
  </si>
  <si>
    <t>ELECTRIFICACIÓN DE COOPERATIVA SIONA 2</t>
  </si>
  <si>
    <t>ELECTRIFICACIÓN DE COMUNIDAD BAVURUE KANKHE</t>
  </si>
  <si>
    <t>ELECTRIFICACIÓN DE NUEVA ESPERANZA</t>
  </si>
  <si>
    <t>ALEMINSA S.A.</t>
  </si>
  <si>
    <t>ESTE PROCESO SE REEMPLAZARÁ POR  EL PROYECTO BARRIO ALÁQUEZ ORIENTE, ESTA PENDIENTE LA MEMORIA TÉCNICA PARA LA APROBACIÓN RESPECTIVA (Oficio Nro.ELEPCOSA-PE-DP-2016-0433-OF de 17 de febrero de 2016</t>
  </si>
  <si>
    <t>BID2-RSND-CNELBOL-FI-CI-001</t>
  </si>
  <si>
    <t>BID2-RSND-CNELBOL-FI-CI-002</t>
  </si>
  <si>
    <t xml:space="preserve"> FISCALIZACIÓN ELÉCTRICA CONSTRUCCIÓN DE LA LÍNEA DE SUBTRANSMISIÓN BABAHOYO-CALUMA</t>
  </si>
  <si>
    <t xml:space="preserve"> FISCALIZACIÓN CIVIL CONSTRUCCIÓN DE LA LÍNEA DE SUBTRANSMISIÓN BABAHOYO-CALUMA</t>
  </si>
  <si>
    <t>BID2-RSND-EECS-AU-OB-005</t>
  </si>
  <si>
    <t>ING. RÓMULO ANDRADE ROJAS</t>
  </si>
  <si>
    <t>ING. EDGAR PATRICIO ALVAREZ ROJAS</t>
  </si>
  <si>
    <t xml:space="preserve">PROBLEMA DE EJECUCIÓN DE ESTA OBRA, YA SE DIO EL ANTICIPO PERO NO SE REGISTRAN AVANCES DE EJECUCIÓN </t>
  </si>
  <si>
    <t>SI</t>
  </si>
  <si>
    <t>% FONDO DE REPARO</t>
  </si>
  <si>
    <t>FONDO DE REPARO PREVISTO EN EL DDL (CGC 48.1)</t>
  </si>
  <si>
    <t>si</t>
  </si>
  <si>
    <t>TRADUREP REPRESENTACIONES S.A.</t>
  </si>
  <si>
    <t xml:space="preserve">ING. DARWIN EDUARDO RACINES VIZUETE </t>
  </si>
  <si>
    <t>PUBLICACIÓN DE PROCESO</t>
  </si>
  <si>
    <t>LIMITE PARA EFECTUAR PREGUNTAS/ ACLARACIONES</t>
  </si>
  <si>
    <t>LIMITE PARA EMITIR RESPUESTA</t>
  </si>
  <si>
    <t>RECEPCIÓN Y APERTURA DE OFERTA</t>
  </si>
  <si>
    <t>CALIFICACIÓN LIMITE DE PARTICIPANTES</t>
  </si>
  <si>
    <t>FECHA ESTIMADA DE ADJUDICACIÓN</t>
  </si>
  <si>
    <t>FIRMA DE CONTRATO</t>
  </si>
  <si>
    <t>FECHA DE ENTREGA DEL ANTICIPO</t>
  </si>
  <si>
    <t>VALOR DEL ANTICIPO</t>
  </si>
  <si>
    <t>FECHA PAGO 1</t>
  </si>
  <si>
    <t>VALOR PAGO 1</t>
  </si>
  <si>
    <t>FECHA PAGO 2</t>
  </si>
  <si>
    <t>VALOR PAGO 2</t>
  </si>
  <si>
    <t>FECHA DE PAGO 3</t>
  </si>
  <si>
    <t>VALOR PAGO 3</t>
  </si>
  <si>
    <t>PLAZO DE EJECUCIÓN DEL CONTRATO EN DIAS</t>
  </si>
  <si>
    <t xml:space="preserve">ESTADO PARA REPORTE </t>
  </si>
  <si>
    <t>0992715723001</t>
  </si>
  <si>
    <t>CONTRATO LIQUIDADO</t>
  </si>
  <si>
    <t>PERSONA NATURAL</t>
  </si>
  <si>
    <t>1708448970001</t>
  </si>
  <si>
    <t>PERSONA JURÍDICA</t>
  </si>
  <si>
    <t>WILMER ERNESTO GUSQUI LLAMUCA</t>
  </si>
  <si>
    <t>1308626074001</t>
  </si>
  <si>
    <t>0992772840001</t>
  </si>
  <si>
    <t>CONTRATO EN PROCESO DE LIQUIDACIÓN</t>
  </si>
  <si>
    <t>1714848122001</t>
  </si>
  <si>
    <t>CONTRATO EN EJECUCIÓN</t>
  </si>
  <si>
    <t>300</t>
  </si>
  <si>
    <t>SG-519-2015</t>
  </si>
  <si>
    <t>SG-517-2015</t>
  </si>
  <si>
    <t>SG-518-2015</t>
  </si>
  <si>
    <t>1705513941001</t>
  </si>
  <si>
    <t>DISEÑO Y CONSTRUCCIONES ELÉCTRICAS LUIS CÓRDOVA GUERRA CIA. LTDA. (DYCONEL CÍA.LTDA.)</t>
  </si>
  <si>
    <t>1792235480001</t>
  </si>
  <si>
    <t>NAPOLEÓN  SEGUNDO PÁRAMO ALVAREZ</t>
  </si>
  <si>
    <t>SG-526-2015</t>
  </si>
  <si>
    <t>SG-541-2015</t>
  </si>
  <si>
    <t>SG-002-2016</t>
  </si>
  <si>
    <t>OPMELEC CÍA.LTDA.</t>
  </si>
  <si>
    <t>1792081017001</t>
  </si>
  <si>
    <t>CONSORCIO V&amp;C</t>
  </si>
  <si>
    <t>1790404234001
1792362261001</t>
  </si>
  <si>
    <t>CONSORCIO A&amp;G</t>
  </si>
  <si>
    <t>1792378184001
1792464501001</t>
  </si>
  <si>
    <t>DATO PENDIENTE</t>
  </si>
  <si>
    <t>REDINS INGENIERÍA ELÉCTRICA</t>
  </si>
  <si>
    <t>SG-525-2015</t>
  </si>
  <si>
    <t>1791885538001</t>
  </si>
  <si>
    <t>LÓPEZ BELTRAN DANIEL RENATO</t>
  </si>
  <si>
    <t>1714614649001</t>
  </si>
  <si>
    <t>ALMAROSELEC S.A.</t>
  </si>
  <si>
    <t>1792378184001</t>
  </si>
  <si>
    <t>ING. FAUSTO JESUS TELLO LLERENA</t>
  </si>
  <si>
    <t>1710537521001</t>
  </si>
  <si>
    <t>SG-573-2015</t>
  </si>
  <si>
    <t>ING. OSCAR MAURICIO MORALES MORALES</t>
  </si>
  <si>
    <t>1717321929001</t>
  </si>
  <si>
    <t>SG 563-2015</t>
  </si>
  <si>
    <t>ING. MANUEL ANDRES QUISHPE CAILLAGUA</t>
  </si>
  <si>
    <t>1711443265001</t>
  </si>
  <si>
    <t>SG 567-2015</t>
  </si>
  <si>
    <t>ING. JAIME FABIAN ASIMBAYA TUTILLO</t>
  </si>
  <si>
    <t>1705297966001</t>
  </si>
  <si>
    <t>SG 568-2015</t>
  </si>
  <si>
    <t>ING. LUIS FERNANDO LLUMIGUSIN DUCHI</t>
  </si>
  <si>
    <t>1706346705001</t>
  </si>
  <si>
    <t>SG 560-2015</t>
  </si>
  <si>
    <t>ING. MARCO VINICIO ESTRELLA ORTIZ</t>
  </si>
  <si>
    <t>1707077291001</t>
  </si>
  <si>
    <t>SG 569-2015</t>
  </si>
  <si>
    <t>ING. GONZALO ERNESTO BRAVO BARRIGA</t>
  </si>
  <si>
    <t>1701737676001</t>
  </si>
  <si>
    <t>SG 561-2015</t>
  </si>
  <si>
    <t>ING. FABIAN GUILLERMO JAMI CONDOR</t>
  </si>
  <si>
    <t>1709727109001</t>
  </si>
  <si>
    <t>NO SE INDICA FECHA EN LA SUMILLA</t>
  </si>
  <si>
    <t>SG 572-2015</t>
  </si>
  <si>
    <t>SG 062-2016</t>
  </si>
  <si>
    <t>SG 065-2016</t>
  </si>
  <si>
    <t xml:space="preserve"> ENTREGA RECEPCIÓN  PROVISIONAL /INFORME PRELIMINAR</t>
  </si>
  <si>
    <t>ENTREGA RECEPCIÓN DEFINITIVA / INFORME DEFINITIVO</t>
  </si>
  <si>
    <t>FECHA REAL  DE FINALIZACIÓN DEL CONTRATO</t>
  </si>
  <si>
    <t>INICIO DEL PLAZO CONTRACTUAL</t>
  </si>
  <si>
    <t xml:space="preserve">CRONOGRAMA QUE RIGE </t>
  </si>
  <si>
    <t>PLAZO DE INICIO CONTADO DESDE:</t>
  </si>
  <si>
    <t>DI</t>
  </si>
  <si>
    <t>FISCALIZACIONES INFORME DE CALIFICACIÓN DE OFERTAS</t>
  </si>
  <si>
    <t>FISCALIZACIONES AUTORIZACIÓN DE GERENCIA</t>
  </si>
  <si>
    <t>EN PROCESO CON PLIEGOS Y CERTIFICACIÓN</t>
  </si>
  <si>
    <t>NOTIFICACIÓN DEL ADMINISTRADOR</t>
  </si>
  <si>
    <t>BID2-RSND-ELEPCO-DI-OB-009</t>
  </si>
  <si>
    <t>REM. BARRIO ALAQUEZ ORIENTE</t>
  </si>
  <si>
    <t>BID2-RSND-ELEPCO-ST-BI-004</t>
  </si>
  <si>
    <t>ING. ÁNGEL JHINSON  ROMERO ALCÍVAR</t>
  </si>
  <si>
    <t>SUSPENSIÓN DEL PLAZO CONTRACTUAL</t>
  </si>
  <si>
    <t>REINICIO DEL PLAZO CONTRACTUAL</t>
  </si>
  <si>
    <t>PRORROGAS DE PLAZO</t>
  </si>
  <si>
    <t>8.69%</t>
  </si>
  <si>
    <t>FECHA DE PRORROGAS DE PLAZO</t>
  </si>
  <si>
    <t>NUEVA FECHA ESTIMADA PARA LA  FINALIZACIÓN DEL CONTRATO</t>
  </si>
  <si>
    <t>#095-15</t>
  </si>
  <si>
    <t>SINOLINK ECUADOR CÍA. LTDA.</t>
  </si>
  <si>
    <t>30.09%</t>
  </si>
  <si>
    <t>TRASELEC S.A. INGENIERÍA ELÉCTRICA</t>
  </si>
  <si>
    <t>Ing. Mario Cobeña</t>
  </si>
  <si>
    <t>O991181449</t>
  </si>
  <si>
    <t>Civil (Ing. Manuel Zavala) Electrico (Ing. Rodrigo Lopez) temporales</t>
  </si>
  <si>
    <t>Civil (Ing. Manuel Zavala-0987838591) Electrico (Ing. Rodrigo Lopez-0984322108)</t>
  </si>
  <si>
    <t>O990692416001</t>
  </si>
  <si>
    <t>EL PROCESO DE BID2-RSND-CNELBOL-FI-FC-001 SE MODIFICO POR TRES CONSULTORIA INDIVIDUALES CONFORME LA SOLICITUD DE REFORMA DE CNELBOL CONTENIDA EN EL OFICIO Nro. CNEL-BOL-ADM-2016-0380-OF de 04.10.2016., VER FORMULARIO DE CONTROL DE CAMBIOS Y OFICIO DE RESPUESTA Nro.MEER-SDCE-2016-1286-OF del 12.11.2016</t>
  </si>
  <si>
    <t>NOTIFICACIÓN DE ADJUDICACÓN / CARTA DE ACEPTACIÓN</t>
  </si>
  <si>
    <t>NO APLICA</t>
  </si>
  <si>
    <t>EL REMITIDO POR GABRIELA SALAS, MEDIANTE CORREO DEL 18.JUL.2016,  14:59</t>
  </si>
  <si>
    <t>FECHA REAL DE RESOLUCIÓN DE ADJUDICACIÓN</t>
  </si>
  <si>
    <t>FECHA DECLARATORIA DE PROCESO DESIERTO</t>
  </si>
  <si>
    <t xml:space="preserve">NO APLICA </t>
  </si>
  <si>
    <t>No.327-AJ-2015</t>
  </si>
  <si>
    <t>SERVICOTEC CIA. LTDA.</t>
  </si>
  <si>
    <t>No.311-AJ-2015</t>
  </si>
  <si>
    <t>ING. SÓCRATES CEVALLOS ROSADO</t>
  </si>
  <si>
    <t>No.-326-AJ-2015</t>
  </si>
  <si>
    <t>ING. DANIEL RENATO LÓPEZ BELTRÁN</t>
  </si>
  <si>
    <t>ING. GABRIEL PATRICIO PITA CASTILLO</t>
  </si>
  <si>
    <t>CONTRATO SIN FECHA</t>
  </si>
  <si>
    <t>ING. WENDY LEON</t>
  </si>
  <si>
    <t>BID2-RSND-CNELSUC-AU-BI-009</t>
  </si>
  <si>
    <t>DDL</t>
  </si>
  <si>
    <t>DDL, IAO 27.1.</t>
  </si>
  <si>
    <t>BID2-RSND-CNELSUC-AU-BI-010</t>
  </si>
  <si>
    <t>DESDE LA NOTIFICACIÓN DE LA ENTREGA DEL ANTICIPO</t>
  </si>
  <si>
    <t>PROTECO COASIN S.A.</t>
  </si>
  <si>
    <t>QUEMCO CIA. LTDA.</t>
  </si>
  <si>
    <t>DATO PENDIENTE NO ESTA PUBLICADO EL DDL</t>
  </si>
  <si>
    <t>WORTRYMEC  ELECTROMECANICA CÍA. LTDA.</t>
  </si>
  <si>
    <t>ING. JUMMY QUEZADA GUARNIZO</t>
  </si>
  <si>
    <t>DDL, IAO 21.1.</t>
  </si>
  <si>
    <t>ING. ENRIQUE LUDEÑA ROMERO</t>
  </si>
  <si>
    <t>REMITIDO POR CORREO</t>
  </si>
  <si>
    <t xml:space="preserve">ING. JOSÉ JULIO VIZCAINO LEON </t>
  </si>
  <si>
    <t>FECHA PARA LA  FINALIZACIÓN DEL CONTRATO</t>
  </si>
  <si>
    <t>COIMPORELECSA</t>
  </si>
  <si>
    <t>120-AJ</t>
  </si>
  <si>
    <t>121- AJ</t>
  </si>
  <si>
    <t>0 991297480001</t>
  </si>
  <si>
    <t>REMITIDO POR CORREO POR MAURICIO RUIZ EL 16.mar.2016, 06:42</t>
  </si>
  <si>
    <t>ALTA TENSIÓN ALTATEN S.A.</t>
  </si>
  <si>
    <t xml:space="preserve">PROBLEMAS CON EL CONTRATISTA PARA LA LIQUIDACIÓN ECONÓMICA DEL CONTRATO, EL VALOR DE LIQUIDACIÓN ES MENOR AL VALOR CONTRATADO, HECHO QUE SE EVIDENCIA EN LAS PLANILLAS CONFORME LOS RUBROS Y ANÁLISIS DE PRECIOS </t>
  </si>
  <si>
    <t>REMITIDO POR ELEPCO  MEDIANTE CORREO DE MIRIAN CANDO EL 22.JUL.2016, 18:10</t>
  </si>
  <si>
    <t>REMITIDO POR ELEPCO MEDIANTE CORREO DE MIRIAN CANDO DEL 19 DE OCT, 19:26</t>
  </si>
  <si>
    <t xml:space="preserve">NUEVO PLAZO PARA RECEPCIÓN Y APERTURA DE OFERTA SEGÚN BOLETIN DE ENMIENDAS </t>
  </si>
  <si>
    <t xml:space="preserve">LOS ITEM´S ADJUDICADOS :1, 4, 7 Y 11 </t>
  </si>
  <si>
    <t>DATO NO REPORTADO</t>
  </si>
  <si>
    <t>265-16</t>
  </si>
  <si>
    <t>0 991197257001</t>
  </si>
  <si>
    <t>08-0CT-2015</t>
  </si>
  <si>
    <t>268-16</t>
  </si>
  <si>
    <t>ING. JORGE LARA</t>
  </si>
  <si>
    <t>099 8902835</t>
  </si>
  <si>
    <t>BID2-RSND-CNELSUC-AU-OB-014</t>
  </si>
  <si>
    <t xml:space="preserve">BID2-RSND-CNELSUC-ST-OB-009 </t>
  </si>
  <si>
    <t>CRISTINA ALEXANDRA ULLOA MORENO</t>
  </si>
  <si>
    <t>FECHA DE PAGO 4</t>
  </si>
  <si>
    <t>VALOR PAGO 4</t>
  </si>
  <si>
    <t>FECHA DE PAGO 5</t>
  </si>
  <si>
    <t>VALOR PAGO 5</t>
  </si>
  <si>
    <t>FECHA DE PAGO 6</t>
  </si>
  <si>
    <t>VALOR PAGO 6</t>
  </si>
  <si>
    <t>LA FECHA QUE SE INDICA EN LA CLAUSULA SEGUNDA DEL CONVENIO</t>
  </si>
  <si>
    <t>BID2-RSND-CNELSUC-SP-CI-010</t>
  </si>
  <si>
    <t>BID2-RSND-CNELSUC-FI-CI-007</t>
  </si>
  <si>
    <t>BID2-RSND-CNELSUC-SP-CI-009</t>
  </si>
  <si>
    <t>BID2-RSND-CNELSUC-FI-CI-001</t>
  </si>
  <si>
    <t>BID2-RSND-CNELSUC-FI-CI-008</t>
  </si>
  <si>
    <t>SUPERVISOR DE LOS PROCESOS (REFORZAMIENTO DE REDES RED TRIFASICA TARAPOA-LA “Y” DE CUYABENO, REFORZAMIENTO DE REDES EN EL SECTOR DE PACAYACU – LA GUARAPERA Y REFORZAMIENTO DE REDES EN  LAS COMUNIDADES AKISUYO, AKSIR, RUMPIPAMBA)</t>
  </si>
  <si>
    <t>SUPERVISOR DE LOS PROCESOS: (REPOTENCIACIÓN LINEA DE SUBTRANSMISIÓN SACHA-ORELLANA 27 KM; INTERCONEXIÓN S/E TRANSELECTRIC JIVINO; APERTURA DE LA LÍNEA DE SUBTRANSMISIÓN JIVINO-LAGO AGRIO y REPOTENCIACIÓN DE LA RED DE MEDIA Y BAJA TENSIÓN ALIMENTADOR COCA 3)</t>
  </si>
  <si>
    <t>FISCALIZACIÓN DE LOS PROCESOS: (REPOTENCIACIÓN DE LA RED DE MEDIA Y BAJA TENSIÓN ALIMENTADOR COCA 3,  REFORZAMIENTO DE REDES EN  LAS COMUNIDADES AKISUYO, AKSIR, RUMPIPAMBA.)</t>
  </si>
  <si>
    <t>ING. JOSÉ LUIS GARCIA MORENO</t>
  </si>
  <si>
    <t>OBRA LIQUIDADA - PENDIENTE CNEL SUC DEBE REMITIR EL ACTA DE ENTREGA RECEPCIÓN PROVISIONAL</t>
  </si>
  <si>
    <t>NUEVO PROYECTO , FORMULARIO DE CONTROL DE CAMBIOS, SOLICITUD No.9 DEL 23.SEP.2016, PDTE ANALISIS FINANCIERO PARA FINANCIAMIENTO CON RECURSOS BID</t>
  </si>
  <si>
    <t>FISCALIZACIÓN CON PERSONAL PROPIO DE CNELSUC, FORMULARIO DE CONTROL DE CAMBIOS, SOLICITUD No.6 DEL 20.JUL.2016.</t>
  </si>
  <si>
    <t>REAPERTURA DEL PROCESO BID2-RSND-CNELSUC-FI-CI-002,  FORMULARIO DE CONTROL DE CAMBIOS, SOLICITUD No.3 DEL 06.ENE.2016. FISCALIZACIÓN CON PERSONAL PROPIO DE CNELSUC, FORMULARIO DE CONTROL DE CAMBIOS, SOLICITUD No.6 DEL 20.JUL.2016.</t>
  </si>
  <si>
    <t>REAPERTURA DEL PROCESO BID2-RSND-CNELSUC-FI-CI-003, FORMULARIO DE CONTROL DE CAMBIOS, SOLICITUD No.3 DEL 06.ENE.2016. FISCALIZACIÓN CON PERSONAL PROPIO DE CNELSUC, FORMULARIO DE CONTROL DE CAMBIOS, SOLICITUD No.6 DEL 20.JUL.2016.</t>
  </si>
  <si>
    <t>REAPERTURA DEL PROCESO BID2-RSND-CNELSUC-SP-CI-004, FORMULARIO DE CONTROL DE CAMBIOS, SOLICITUD No.3 DEL 06.ENE.2016. FISCALIZACIÓN CON PERSONAL PROPIO DE CNELSUC, FORMULARIO DE CONTROL DE CAMBIOS, SOLICITUD No.6 DEL 20.JUL.2016.</t>
  </si>
  <si>
    <t>REAPERTURA DEL PROCESO BID2-RSND-CNELSTE-SP-CI-005, FORMULARIO DE CONTROL DE CAMBIOS, SOLICITUD No.3 DEL 06.ENE.2016. FISCALIZACIÓN CON PERSONAL PROPIO DE CNELSUC, FORMULARIO DE CONTROL DE CAMBIOS, SOLICITUD No.6 DEL 20.JUL.2016.</t>
  </si>
  <si>
    <t>REAPERTUA DEL PROCESO BID2-RSND-CNELSUC-ST-OB-007, FORMULARIO DE CONTROL DE CAMBIOS, SOLICITUD No.4 DEL 30.MAY.2016</t>
  </si>
  <si>
    <t>REAPERTURA DEL PROCESO BID2-RSND-CNELSUC-AU-BI-006, FORMULARIO DE CONTROL DE CAMBIOS, SOLICITUD No.4 DEL 30.MAY.2016</t>
  </si>
  <si>
    <t>REAPERTURA DEL PROCESOS BID2-RSND-CNELSUC-AU-BI-007, FORMULARIO DE CONTROL DE CAMBIOS, SOLICITUD No.4 DEL 30.MAY.2016</t>
  </si>
  <si>
    <t>CONTRATO EN PROCESO DE LIQUIDACIÓN(CNEL AUN NO CANCELA AL CONTRATISTA PORQUE ESTA EN PROCESO DE APROBACIÓN DEL AVAL POR PARTE DEL MINISTERIO DE FINANZAS</t>
  </si>
  <si>
    <t>0 990790345001</t>
  </si>
  <si>
    <t>No.013-2016-AJ-CNEL-EP-BOL</t>
  </si>
  <si>
    <t xml:space="preserve">CONSORCIO WORKTRYMECPRO, CONFORMADO POR Worktrymec Electromecánica Cía. Ltda. Ecuador
Proyectos del Ecuador S.A. Proyecsa. Ecuador
</t>
  </si>
  <si>
    <t>BID2-RSND-CNELGLR-FI-CI-003</t>
  </si>
  <si>
    <t>FISCALIZACIÓN DE OBRAS ELÉCTRICAS EN LA CONSTRUCCIÓN DE LA LINEA DE SUBTRANSMISIÓN A 69 KV PASCUALES – MANGLERO</t>
  </si>
  <si>
    <t>FISCALIZACIÓN DE OBRAS CIVILES EN LA CONSTRUCCIÓN DE LA LINEA DE SUBTRANSMISIÓN A 69 KV PASCUALES – MANGLERO</t>
  </si>
  <si>
    <t>FISCALIZADOR AMBIENTAL Y DE SEGURIDAD INDUSTRIAL EN LA CONSTRUCCIÓN DE LA LINEA DE SUBTRANSMISIÓN A 69 KV PASCUALES – MANGLERO</t>
  </si>
  <si>
    <t>CONSORCIO PASCUALES MANGLERO, conformado por COFEKA CIA LTDA y  CONZACK S.A.</t>
  </si>
  <si>
    <t>0990600147001COFEKA CIA. LTDA. 0992590882001CONZACK S.A.</t>
  </si>
  <si>
    <t>N°0017455</t>
  </si>
  <si>
    <t>ENSILECTRIC S.A.</t>
  </si>
  <si>
    <t>ING. PABLO SARMIENTO REINOSO</t>
  </si>
  <si>
    <t>Nro.0017365</t>
  </si>
  <si>
    <t>ING. JULIO VIZCAINO LEÓN</t>
  </si>
  <si>
    <t>ING. PATRICIO PEREZ</t>
  </si>
  <si>
    <t>Nro. 0017356</t>
  </si>
  <si>
    <t>ING. JORGE CALLE LOYOLA</t>
  </si>
  <si>
    <t>00 17442</t>
  </si>
  <si>
    <t>UNIVERSIDAD POLITECNICA DE VALENCIA</t>
  </si>
  <si>
    <t>ING. FELIPE SALDAÑA GARCIA</t>
  </si>
  <si>
    <t>N° 0017394</t>
  </si>
  <si>
    <t>ING. MARIO ROLANDO MERCHAN PESANTEZ</t>
  </si>
  <si>
    <t>ESQ 4618002B</t>
  </si>
  <si>
    <t>OBRA SUSPENDIDA:  MEDIANTE OFICIO Nro.MAE-DPACOT-2016-1338 DE 25 NOVIEMBRE DE 2016, EL MINISTERIO DEL AMBIENTE DISPUSO QUE LA OBRA PREVIO AL INICIO DEBE CONTAR CON LA LICENCIA AMBIENTAL, EN LUEGAR DE QUE LA GESTIÓN SE REALICE DE FORMA PARALELA COMO SE SUGIRIÓ POR PARTE DE LA LA SDCE MEDIANTE OFICIO No.MEE-SDCE-2016-1279-OF</t>
  </si>
  <si>
    <t>BID2-RSND-EEASA-AU-OB-003</t>
  </si>
  <si>
    <t>REAPERTURA DEL PROCESOBID2-RSND-EEASA-AU-OB-002, FORMULARIO DE CONTROL DE CAMBIOS, SOLICITUD No.2 DEL 28.NOV.2016</t>
  </si>
  <si>
    <t>ING. HUGO ARMANDO VELOZ CAMINO</t>
  </si>
  <si>
    <t>0 915438295001</t>
  </si>
  <si>
    <t>ING. ANDRES GUILLERMO MERIZALDE ANDRADE</t>
  </si>
  <si>
    <t>ING. HÉCTOR ABADIE RODRÍGUEZ</t>
  </si>
  <si>
    <t>ING. JOSÉ HIDALGO PAZMIÑO</t>
  </si>
  <si>
    <t>0 902439165001</t>
  </si>
  <si>
    <t>ING. GUSTAVO GONZAGA TAMA</t>
  </si>
  <si>
    <t>0 904093986001</t>
  </si>
  <si>
    <t>ING. OTTO FRANCO ROMERO</t>
  </si>
  <si>
    <t>0 901164269001</t>
  </si>
  <si>
    <t>ING. FRANCISCO ASPIAZU GORDILLO</t>
  </si>
  <si>
    <t>0 905965802001</t>
  </si>
  <si>
    <t>ING. VICTOR JULIO VÉLIZ ARREGLO</t>
  </si>
  <si>
    <t>ING MIGUEL ANTONIO PARRA SUAREZ</t>
  </si>
  <si>
    <t>0 904895562001</t>
  </si>
  <si>
    <t>ING. JOSÉ ANTONIO CHONG MELGAR</t>
  </si>
  <si>
    <t>ING. WALDIR HANNES GAVELA MADRUÑERO</t>
  </si>
  <si>
    <t>0 913264263001</t>
  </si>
  <si>
    <t>ING. JOHN FRANCISCO ESPINOZA TOMALA</t>
  </si>
  <si>
    <t>0 9093447536001</t>
  </si>
  <si>
    <t>ING. LUIS SALVADOR CEVALLOS JÁCOME</t>
  </si>
  <si>
    <t>0 916870660001</t>
  </si>
  <si>
    <t>ING. LUIS EDUARDO CEVALLOS MORAN</t>
  </si>
  <si>
    <t>0 909201931001</t>
  </si>
  <si>
    <t>ING. VICENTE JAVIER VERA PÉREZ</t>
  </si>
  <si>
    <t>CONSTRUCCIONES INTEGRALES Y TECNOLOGICAS S.A. CONSITECNO</t>
  </si>
  <si>
    <t>0 992762330001</t>
  </si>
  <si>
    <t>INDUSTRIALES Y ELÉCTRICOS ASOCIADOS INDUELECTRIC</t>
  </si>
  <si>
    <t>0 992626712001</t>
  </si>
  <si>
    <t>0 990692416001</t>
  </si>
  <si>
    <t>ING. ROLANDO CASTILLO ABAD</t>
  </si>
  <si>
    <t>0 791721342001</t>
  </si>
  <si>
    <t>0 990600147001</t>
  </si>
  <si>
    <t>TENAZCOMPANY S.A.</t>
  </si>
  <si>
    <t>0 992747617001</t>
  </si>
  <si>
    <t xml:space="preserve">INSTALACIONES ELECTROMECÁNICAS S.A. INESA </t>
  </si>
  <si>
    <t>0 990632286001</t>
  </si>
  <si>
    <t>0 591725068001</t>
  </si>
  <si>
    <t>0 992627549001</t>
  </si>
  <si>
    <t xml:space="preserve"> CONSTRUCCIONES,  MANTENIMIENTO CIVILES Y ELECTRICAS  C.M.C.E.R.S.A.</t>
  </si>
  <si>
    <t>ING. FRANK RAFAEL SALTOS ALMEIDA</t>
  </si>
  <si>
    <t>0 923004170001</t>
  </si>
  <si>
    <t>No empieza la ejecución de este contrato debido a que aún no se contrata la Obra Civil,  están en espera de la aprobación del AVAL, por parte del MEER.</t>
  </si>
  <si>
    <t>CONTRATACIÓN DIRECTA</t>
  </si>
  <si>
    <t>BID2-RSND-MEER-AF-DI-001</t>
  </si>
  <si>
    <t>TOTAL PAGOS</t>
  </si>
  <si>
    <t>ING. MANUEL VINICIO HINOJOSA ORTIZ</t>
  </si>
  <si>
    <t>0 400810263001</t>
  </si>
  <si>
    <t>ING. GONZALO FABRICIO MONTALVAN AREVALO</t>
  </si>
  <si>
    <t>ING. FLAVIO FRANKLINMENDEZ SIMBAÑA</t>
  </si>
  <si>
    <t>COMPROBACION</t>
  </si>
  <si>
    <t>FECHA DE PAGO 7</t>
  </si>
  <si>
    <t>VALOR PAGO 7</t>
  </si>
  <si>
    <t>OJEDA ORDOÑEZ CARLOS FIDEL</t>
  </si>
  <si>
    <t>CONSORCIO INTERRUPTORES MILAGRO</t>
  </si>
  <si>
    <t>No.010-2015-CNEL EP-BOL</t>
  </si>
  <si>
    <t>ING. EDISON MARTÍNEZ</t>
  </si>
  <si>
    <t>ING. JAVIER IVÁN CONCHA ILLESCAS</t>
  </si>
  <si>
    <t>0 702121120001</t>
  </si>
  <si>
    <t>ING. JOHNNY PÁUL NOVILLO VICUÑA</t>
  </si>
  <si>
    <t>0 702947409001</t>
  </si>
  <si>
    <t>0 702417528001</t>
  </si>
  <si>
    <t>0 701720047001</t>
  </si>
  <si>
    <t>0 705067536001</t>
  </si>
  <si>
    <t>0 704526334001</t>
  </si>
  <si>
    <t>0 702410333001</t>
  </si>
  <si>
    <t>ING. ANGEL FERNANDO PEREZ AYALA</t>
  </si>
  <si>
    <t>ING. MAURICIO MONTALVO BLACIO</t>
  </si>
  <si>
    <t>ING. EDWIN ROLANDO CASTILLO ABAD</t>
  </si>
  <si>
    <t>ING. JIMMY HINDAR QUEZADA GUARNIZO</t>
  </si>
  <si>
    <t>ING. MAURICIO MONTALVO</t>
  </si>
  <si>
    <t>ING. FERNANDO PÉREZ AYALA</t>
  </si>
  <si>
    <t>ING. MARCOS ORDEÑANA MOSCOSO</t>
  </si>
  <si>
    <t>0 923081665</t>
  </si>
  <si>
    <t>ING. NAPOLEÓN OVIEDO BELTRÁN FLORES</t>
  </si>
  <si>
    <t>ARQ. EDISON EDMUNDO MERA LOOR</t>
  </si>
  <si>
    <t>(Ing. Gustavo Velez) Temporales</t>
  </si>
  <si>
    <t>(Ing. Gustavo Velez) O998854312</t>
  </si>
  <si>
    <t>Ing. Cristhian Loor</t>
  </si>
  <si>
    <t>O987912062</t>
  </si>
  <si>
    <t>Civil (Ing. Manuel Zavala) Tempotales</t>
  </si>
  <si>
    <t>Civil (Ing. Manuel Zavala-0987838591)</t>
  </si>
  <si>
    <t>Ing. Luis Cajio</t>
  </si>
  <si>
    <t>O982023699</t>
  </si>
  <si>
    <t>Ing. Candy Echeverria</t>
  </si>
  <si>
    <t>O984648159</t>
  </si>
  <si>
    <t>ING. WILSON ALFREDO NARVAEZ MENDEZ</t>
  </si>
  <si>
    <t>0 101785129</t>
  </si>
  <si>
    <t xml:space="preserve">SI </t>
  </si>
  <si>
    <t>SEDEMI SERVICIOS DE MECANICA INDUSTRIAL DISEÑO CONSTRUCCIÓN Y MONTAJE S.C.C.</t>
  </si>
  <si>
    <t>BID2-RSND-EECS-FI-CI-004</t>
  </si>
  <si>
    <t>DDL, PÁG. 40</t>
  </si>
  <si>
    <t>EN LAS FECHAS PREVISTAS  EN LA IAO 1.1</t>
  </si>
  <si>
    <t>12-JUN-2017 / 19-JUN-2017 / 26-JUN-2017</t>
  </si>
  <si>
    <t>16-JUN-2017 /  23-JUN-2017 / 30-JUN-2017</t>
  </si>
  <si>
    <t>OFICIO Nro. EEQ-GG-2016-1000 DEL 06 DE OCTUBRE DE 2016 Y CORREO ELECTRÓNICO DE RESPUESTA DEL 27 DE OCTUBRE DE 2016</t>
  </si>
  <si>
    <t xml:space="preserve">EL PROCESO DE BID2-RSND-CNELGLR-FI-FC-001 SE MODIFICO POR CUATRO CONSULTORIAS INDIVIDUALES CONFORME LA SOLICITUD DE REFORMA DE CNELGLR CONTENIDA EN EL OFICIO Nro. CNEL-GLR-ADM-2016-0527-OF de 08.11.2016., CORREO ELECTRÓNICO REMITIO POR EL ING. ORLANDO ZUÑIGA EN DONDE SE ESPECIFICAN VALORES, REMITIDO EL 23.11.2016, Y ALCANCE CONTENIDO EN EL OFICIO Nro. CNEL-GLR-ADM-2016-0620-OF de 20.12.2016 FORMULARIO DE CONTROL DE CAMBIOS, SOLICITUD No.2 </t>
  </si>
  <si>
    <t>OFICIO Nro.CENTROSUR-PREEJE-2016-0744-OF de 18.10.2016, FORMULARIO DE CONTROL DE CAMBIOS, SOLICITUD No…., SE ATENDIO REFORMA CON OFICIO Nro.MEER-SDCE-2016-1383-OF de 30.11.2016</t>
  </si>
  <si>
    <t>REPOTENCIACIÓN DE LA RED MEDIA TENSIÓN ALIMENTADOR 5013 / LA TRONCAL.</t>
  </si>
  <si>
    <t>SISTEMAS ELÉCTRICOS S.A. SISELEC</t>
  </si>
  <si>
    <t>0 991273123001</t>
  </si>
  <si>
    <t>SURGE INGENIERIA CÍA. LTDA.</t>
  </si>
  <si>
    <t>ING. FRNAKLIN WILLIAM CARPIO MOYA</t>
  </si>
  <si>
    <t>EL QUE CONSTA EN LA AF-200</t>
  </si>
  <si>
    <t>DIDIS 2016 Nro.0017548</t>
  </si>
  <si>
    <t>ING. PAÚL NOVILLO</t>
  </si>
  <si>
    <t>DIDIS 2016 Nro.0017549</t>
  </si>
  <si>
    <t>0 104081039001</t>
  </si>
  <si>
    <t>ING. CLAUDIO JARA</t>
  </si>
  <si>
    <t>ADEATEL S.A.</t>
  </si>
  <si>
    <t>ING. WILSON PEREZ REINOSO</t>
  </si>
  <si>
    <t>0 991495614001</t>
  </si>
  <si>
    <t>COMPAÑÍA ELECTRICA Y MECÁNICA S.A.</t>
  </si>
  <si>
    <t>AUDITORÍA DE LOS ESTADOS FINANCIEROS DE LOS PROGRAMAS 3494/OC-EC y 3494/CH-EC FINANCIADOS POR EL BID. EJERCICIOS 2015-2016</t>
  </si>
  <si>
    <t>089-2015</t>
  </si>
  <si>
    <t>SUPERVISOR DE LA CONSTRUCCIÓN DE LA LINEA DE SUBTRANSMISIÓN A 69 KV PASCUALES – MANGLERO</t>
  </si>
  <si>
    <t>PROCESO LIQUIDADO</t>
  </si>
  <si>
    <t>CONSORICIO CHANDUY - MANGLARALTO</t>
  </si>
  <si>
    <t>PROYECTOS DEL ECUADOR S.A. PROYECSA</t>
  </si>
  <si>
    <t>ING. WASHINGTON COLON  CASTILLO JURADO</t>
  </si>
  <si>
    <t>ING. CARLOS ALBERTO LUCAS QUIJIJE</t>
  </si>
  <si>
    <t>EJECUTADO EE</t>
  </si>
  <si>
    <t xml:space="preserve">ITEMS ADJUDICADOS: 2, 3, 5, 6, 8, 9 y 10 </t>
  </si>
  <si>
    <t>FECHA DE PAGO FINAL</t>
  </si>
  <si>
    <t>VALOR PAGO FINAL</t>
  </si>
  <si>
    <t>Pago -Devolución 50% de Fondo de Reparo</t>
  </si>
  <si>
    <t>Pago 2/4 Planilla 1; 37%</t>
  </si>
  <si>
    <t>Pago 2/4 avance de planilla</t>
  </si>
  <si>
    <t>Pago 3/4 avance de planilla</t>
  </si>
  <si>
    <t xml:space="preserve">Pago 2/4avance de planilla </t>
  </si>
  <si>
    <t xml:space="preserve">Pago 3/4avance de planilla </t>
  </si>
  <si>
    <t>Pago 1/4 primer pago 25%</t>
  </si>
  <si>
    <t>Pago 2/4 segundo pago 25%</t>
  </si>
  <si>
    <t>Pago 1/10 - Planilla 1  12,50%</t>
  </si>
  <si>
    <t>Pago 2/10 - Planilla 2  6,05%</t>
  </si>
  <si>
    <t>Pago 3/10 - Planilla 3  12,50%</t>
  </si>
  <si>
    <t>Pago 4/10 - Planilla 4   10,42%</t>
  </si>
  <si>
    <t>Pago 5/10 - Planilla 5   12,50%</t>
  </si>
  <si>
    <t>Pago 6/10 - Planilla 6   12,50%</t>
  </si>
  <si>
    <t>Pago 7/10 - Planilla 7   12,50%</t>
  </si>
  <si>
    <t>FECHA DE PAGO 8</t>
  </si>
  <si>
    <t>VALOR PAGO 8</t>
  </si>
  <si>
    <t>Pago 8/10 - Planilla 7 13%</t>
  </si>
  <si>
    <t>SALDO (INVERSIÓN - CONTRATADO)</t>
  </si>
  <si>
    <t>ING. AGUSTÍN PEÑAHERRERA WILCHES</t>
  </si>
  <si>
    <t>099 66 6614</t>
  </si>
  <si>
    <t>ING. JAIME TENELEMA</t>
  </si>
  <si>
    <t>099 219 5205</t>
  </si>
  <si>
    <t>ING. EDWIN SERRANO</t>
  </si>
  <si>
    <t>099 651 6516</t>
  </si>
  <si>
    <t>ADQUISICIÓN E INSTALACIÓN DE RECONECTADORES PARA PROTECCIÓN Y CONTROL DE ALIMENTADORES RURALES DE DIDIS Y DIMS (ALIMENTADORES 1522, 1523, 1821, 2111, 2112, 2113, 2211, 2212, 2311, 2312, 0525, 0521, 1424 )</t>
  </si>
  <si>
    <t>BID2-RSND-EEQ-RI-SNC-012</t>
  </si>
  <si>
    <t>TALLER MODELO DE MADUREZ PARA LAS REDES ELÉCTRICAS</t>
  </si>
  <si>
    <t>PENDIENTE REGULARIZAR REFORMA</t>
  </si>
  <si>
    <t>IMHOTEPCON CÍA. LTDA.</t>
  </si>
  <si>
    <t xml:space="preserve">ING. FERNANDO CULQUI </t>
  </si>
  <si>
    <t>ü</t>
  </si>
  <si>
    <t>NO ESTA PUBLICADO</t>
  </si>
  <si>
    <t>RESOLUCIÓN DE ADJUDICACIÓN</t>
  </si>
  <si>
    <t>NO SE ABRE EL ARCHIVO</t>
  </si>
  <si>
    <t>PENDIENTE</t>
  </si>
  <si>
    <t>CONSTA EN LA PAG WEB DE CENTRO SUR</t>
  </si>
  <si>
    <t>RESOLUCIÓN DECLARATORIA DE DESIERTO</t>
  </si>
  <si>
    <t>PROCESO ELIMINADO REFORMA OFICIO Nro. CNEL-MAN-ADM-2016-0945-O de 25 de noviembre de 2016, ver Formulario de Control de Cambios No.1.</t>
  </si>
  <si>
    <t>ESTA FISCALIZACIÓN SE HARÁ CON ADMINISTRACIÓN PROPIA, PROCESO ELIMINADO REFORMA OFICIO Nro. CNEL-MAN-ADM-2016-0804-O de 04 de octubre de 2016, ver Formulario de Control de Cambios No.1.</t>
  </si>
  <si>
    <t>ESTE PROYECTO YA NO SE EJECUTARÁ POR CUANTO LA OBRA QUE SE PRETENDE FISCALIZAR YA TIENE SUSCRITA EL ACTA DE ENTREGA PROVISIONAL, REFORMA SOLICITUD DE CAMBIOS No. EN BASE A LA SOLICITUD DE LOS OFICIOS No.CNEL-STE-ADM-2016-1110 DEL 11 DE OCTUBRE Y Nro.CNEL-CORP-GG-2016-1001-O DEL 19 DE OCTUBRE DE 2016</t>
  </si>
  <si>
    <t>REFORMA SOLICITUD No.1 FORMULARIO CONTROL DE CAMBIOS, REMITA POR (CORREO - OFICIO No. , AUTORIZADA MEDIANTE CORREO ELECTRÓNICO DE FECHA …</t>
  </si>
  <si>
    <t>REFORMA SOLICITUD No.2 FORMULARIO CONTROL DE CAMBIOS, REMITA POR (CORREO - OFICIO No. , AUTORIZADA MEDIANTE CORREO ELECTRÓNICO DE FECHA …</t>
  </si>
  <si>
    <t>IELCO INSTALACIONES ELECTRICAS Y CONSTRUCCIONES C. LTDA.</t>
  </si>
  <si>
    <t>0 990504377001</t>
  </si>
  <si>
    <t>ING. WILSON GIOVANNY PIÑA ORELLANA</t>
  </si>
  <si>
    <t>0 914338942001</t>
  </si>
  <si>
    <t>ING. CARLOS RODRIGUEZ PARRA</t>
  </si>
  <si>
    <t>0 915844666001</t>
  </si>
  <si>
    <t>ING. JUAN RAMÓN BERMUDEZ ANDRADE</t>
  </si>
  <si>
    <t>0 919328104001</t>
  </si>
  <si>
    <t>ING. MARCOS ANDRÉS ORDEÑANA MOSCOSO</t>
  </si>
  <si>
    <t>0 923081665001</t>
  </si>
  <si>
    <t>ING. CARLA IVETTE URRIOLA ESTRADA</t>
  </si>
  <si>
    <t>0 91784358001</t>
  </si>
  <si>
    <t>ING. CARLA ESTEFANÍA DEMERA REYNA</t>
  </si>
  <si>
    <t>ING. DANIEL EDUARDO CHICA GARCÍA</t>
  </si>
  <si>
    <t>LEVANTAMIENTO LÍNEAS DE SUBTRANSMISION CON CAMBIO DE ESTRUCTURAS</t>
  </si>
  <si>
    <t>REAPERTURA DEL PROCESO BID2-RSND-CNELLRS-ST-OB-001</t>
  </si>
  <si>
    <t>BID2-RSND-CNELLRS-DI-OB-003</t>
  </si>
  <si>
    <t>ERROR EN EL CÓDIGO DEL PROCESO EN LUGAR DE BID2-RSND-CNELLRS-DI-OB-003 DEBE SER BID2-RSND-CNELLRS-ST-OB-003</t>
  </si>
  <si>
    <t>SALIDAS DE SUBESTACION PALENQUE (4) Y REPOTENCIACION ALIMENTADOR PALENQUE</t>
  </si>
  <si>
    <t>SALIDAS DE SUBESTACION VINCES</t>
  </si>
  <si>
    <t>SALIDAS DE ALIMENTADORES S/E LA ERCILIA : EL GUINEO . RCTO. LA ERCILIA</t>
  </si>
  <si>
    <t>TRIFASEAMIENTO LINEA HCDA- BONITA - T - LOS ANGELES - LA TABAQUERA</t>
  </si>
  <si>
    <t>REPOTENCIACIÓN DE LA RED DE DISTRIBUCIÓN EN LA ZONA URBANA DEL CANTON VENTANAS</t>
  </si>
  <si>
    <t>PROYECTO SCADA AUTOMATIZACION</t>
  </si>
  <si>
    <t>COMITÉ NACIONAL ECUATORIANO DELA COMISIÓN DE INTEGRACIÓN ELÉCTRICA REGIONAL ECUACIER</t>
  </si>
  <si>
    <t>CONSORCIO REPOTENCIACIÓN LOJA 1</t>
  </si>
  <si>
    <t>ING. LUIS ALEJANDRO REYES VELEZ</t>
  </si>
  <si>
    <t>JOP INGENIERIA ELECTRICA CÍA. LTDA.</t>
  </si>
  <si>
    <t>0 190352757001</t>
  </si>
  <si>
    <t>ING. RAÚL CÓRDOVA CALLE</t>
  </si>
  <si>
    <t>122-AJ-BID</t>
  </si>
  <si>
    <t>0 102969136001</t>
  </si>
  <si>
    <t>ING. PATRICIO GONZÁLEZ</t>
  </si>
  <si>
    <t>119-AJ-BID</t>
  </si>
  <si>
    <t>0 301464137001</t>
  </si>
  <si>
    <t>ING. CRISTIAN PEREZ</t>
  </si>
  <si>
    <t>115-AJ-BID 2</t>
  </si>
  <si>
    <t>0 102260882001</t>
  </si>
  <si>
    <t>DESDE LA FECHA DE INICIO DE LA OBRA</t>
  </si>
  <si>
    <t>ING. DIEGO MOGROVEJO CARRASCO</t>
  </si>
  <si>
    <t>LLAMADO  EXPRESIÓN DE INTERES</t>
  </si>
  <si>
    <t xml:space="preserve">EL VALOR PUBLICADO EN EL DDL ES INFERIOR AL QUE ESTA PREVISTO EN EL PLAN DE ADQUISICION, POR CUANTO EL ESTUDIO DE MERCADO DETERMINO UN PRESUPUESTO INFERIOR, </t>
  </si>
  <si>
    <t>0 905673323001</t>
  </si>
  <si>
    <t>NELSON  XAVIER AGUIRRE CAICEDO</t>
  </si>
  <si>
    <t>ARQ. PEDRO MAÑAY</t>
  </si>
  <si>
    <t xml:space="preserve">CONSTA EN LA INVITACIÓN </t>
  </si>
  <si>
    <t>ING. MARCO AUGUSTO GUAMAN ULLAURI</t>
  </si>
  <si>
    <t>ING. FARA LETICIA TORRES PORTES</t>
  </si>
  <si>
    <t>0 910429786001</t>
  </si>
  <si>
    <t>ING. GABRIEL TOAPANTA ALARCÓN</t>
  </si>
  <si>
    <t>0 908383860</t>
  </si>
  <si>
    <t>ING. ANGEL XAVIER ESPINOZA ARGUELLO</t>
  </si>
  <si>
    <t>ING. SERGIO CHRISTIAN RODRIGUEZ PORTES</t>
  </si>
  <si>
    <t>0 916342165001</t>
  </si>
  <si>
    <t>ING. GALO GUILLEN CAMPOVERDE</t>
  </si>
  <si>
    <t>ING. EDWIN SERRANO VELOZ</t>
  </si>
  <si>
    <t>ING. VICTOR UVILLUS JIMENEZ</t>
  </si>
  <si>
    <t>ING. JOFRE MONTENEGRO SARMINETO</t>
  </si>
  <si>
    <t>JOSÉ GUERRERO SUÁREZ</t>
  </si>
  <si>
    <t>ING. FABRICIO VILLAMAR ERAS</t>
  </si>
  <si>
    <t>A PARTIR DEL INICIO DE LA OBRA A FISCALIZAR</t>
  </si>
  <si>
    <t>FISCALIZACIÓN ADQUISICIÓN E INSTALACIÓN DE CUATRO INTERRUPTOR A 69 KV MOTORIZADOS, ACCIONADOS EN GRUPO, PARA INSTALAR EN POSTE, TELECONTROLADOS Y COMUNICADOS AL CENTRO DE CONTROL: 1) PRADERA M1; 2) PASANDO ÁLAMOS M2; 3) MARCELI MARIDUEÑA BODEGAS M3; 4) SECTOR NICOVITA M2; INCLUYE POSTE AUTOSOPORTABLE.</t>
  </si>
  <si>
    <t>NO SE INDICA EN LA GCG 1.1 (u)</t>
  </si>
  <si>
    <t>A PARTIR DE LA SUSCRIPCIÓN DEL CONTRATO</t>
  </si>
  <si>
    <t>0 992357452001</t>
  </si>
  <si>
    <t>ING. JOSÉ VICENTE ROJAS GÓMEZ</t>
  </si>
  <si>
    <t>ING. FELIPE AGUIRRE</t>
  </si>
  <si>
    <t>ING. PAUL RECALDE</t>
  </si>
  <si>
    <t>ING. FREDDY SANTIAGO GRANJA RUALES</t>
  </si>
  <si>
    <t>ING. JOSÉ ANGAMARCA</t>
  </si>
  <si>
    <t>ING. ALEJANDRO ECHEVERRÍA</t>
  </si>
  <si>
    <t>ING. STALIN YUGSHI</t>
  </si>
  <si>
    <t>ING. EDISON GUALOTUÑA</t>
  </si>
  <si>
    <t>ING. PAÚL RECALDE ROJAS</t>
  </si>
  <si>
    <t>ING. LUIS FELIPE AGUIRRE</t>
  </si>
  <si>
    <t>NO HAY FECHA EN LA INVITACIÓN</t>
  </si>
  <si>
    <t>ING. ALEJANDRO VLADIMIR ECHEVERRIA GUEVARA</t>
  </si>
  <si>
    <t>ING. CLAUDIO EDISON GUALOTUÑA</t>
  </si>
  <si>
    <t>ING. STALIN YUGSI</t>
  </si>
  <si>
    <t>ING. CRISTIAN PÉREZ </t>
  </si>
  <si>
    <t>TELF:(07) 2240-377    EXT. 146            CEL: 0987-214-812</t>
  </si>
  <si>
    <t>TELF: (07)  2240-377      EXT. 135         CEL.  0998-041-880</t>
  </si>
  <si>
    <t>TELF.  (07) 2240-377     EXT. 145       CEL. 0993-270-723.</t>
  </si>
  <si>
    <t>TELF. (07) 2240-377     EXT. 171        CEL. 0984-891-849</t>
  </si>
  <si>
    <t>TELF. (07) 2240-377       EXT.  146         CEL. 0987-214-812.</t>
  </si>
  <si>
    <t>NO SE INDICA EN EL NOMBRE DEL ADMINISTRADOR EN LA CGC 1.1. (u)</t>
  </si>
  <si>
    <t>ING. CARLOS GABRIEL PAREDES GAVIDIA</t>
  </si>
  <si>
    <t>REFORZAMIENTO DE REDES DE MEDIO Y BAJO VOLTAJE CON REPOTENCIACION DE TRANSFORMADORES ACOMETIDAS Y MEDIDORES PRIMARIO CONOCOTO 23C</t>
  </si>
  <si>
    <t xml:space="preserve"> REFORZAMIENTO DE REDES DE MEDIO Y BAJO VOLTAJE CON REPOTENCIACION DE TRANSFORMADORES ACOMETIDAS Y MEDIDORES  PRIMARIO 55B</t>
  </si>
  <si>
    <t xml:space="preserve"> REFORZAMIENTO DE REDES DE MEDIO Y BAJO VOLTAJE CON REPOTENCIACION DE TRANSFORMADORES ACOMETIDAS Y MEDIDORES  PRIMARIO POMASQUI 57F</t>
  </si>
  <si>
    <t>ING. FULTON LUCAS</t>
  </si>
  <si>
    <t>(05) 2 730 089 Ext. 220</t>
  </si>
  <si>
    <t>0 987495188</t>
  </si>
  <si>
    <t>ING. SOLANGE DOYLET PARRA</t>
  </si>
  <si>
    <t>(05) 2 730 089 Ext.318</t>
  </si>
  <si>
    <t>TENAZCOMPANY S.A. / ING. JORGE JARAMILLO</t>
  </si>
  <si>
    <t>ING. JULIO VELASCO</t>
  </si>
  <si>
    <t>(05) 2 730 089 Ext.300</t>
  </si>
  <si>
    <t>ING. GREGORIO CONTRERAS</t>
  </si>
  <si>
    <t>0 960185279</t>
  </si>
  <si>
    <t>ING. ADRIAN ARANDA</t>
  </si>
  <si>
    <t>0 993479967</t>
  </si>
  <si>
    <t xml:space="preserve">SR. HUMBERTO DELGADO ROJAS </t>
  </si>
  <si>
    <t>(05) 2 730 089 Ext.110</t>
  </si>
  <si>
    <t>ING. JUAN SEBASTIAN CHANG FONSECA</t>
  </si>
  <si>
    <t>(05) 2 730 089 Ext.112</t>
  </si>
  <si>
    <t>0 994116411</t>
  </si>
  <si>
    <t>SR. BYRON EFRAIN ECHEVERRIA ANDINO</t>
  </si>
  <si>
    <t>SR. DARIO RENÁN GUEVARA LÓPEZ</t>
  </si>
  <si>
    <t>0 102085321001</t>
  </si>
  <si>
    <t>ING. JUAN CARLOS JAYA LLANOS</t>
  </si>
  <si>
    <t>ING. MILTON AGUAS</t>
  </si>
  <si>
    <t>0 996156614</t>
  </si>
  <si>
    <t>0 999460965</t>
  </si>
  <si>
    <t>ING. RAÚL PATRICIO ANDRADE HERRERA</t>
  </si>
  <si>
    <t>ING. SANTIAGO IGNACIO RAMOS FLORES</t>
  </si>
  <si>
    <t>0 980486258</t>
  </si>
  <si>
    <t>ELECTRICOM CÍA. LTDA.</t>
  </si>
  <si>
    <t>INVITACIÓN NO TIENE FECHA</t>
  </si>
  <si>
    <t>ING. RONALD GUERRERO HONORES</t>
  </si>
  <si>
    <t>0 994952126</t>
  </si>
  <si>
    <t>ING. PAUL PERALTA PESANTEZ</t>
  </si>
  <si>
    <t>0 99266008</t>
  </si>
  <si>
    <t>ING. ROBERTO ROBLES RIVADENEIRA</t>
  </si>
  <si>
    <t>0 994459107</t>
  </si>
  <si>
    <t>ING. CARLOS BERMEO SUCUZHAÑAY</t>
  </si>
  <si>
    <t>0 901010035</t>
  </si>
  <si>
    <t>ING. TATIANA VERA</t>
  </si>
  <si>
    <t xml:space="preserve">DATO PENDIENTE </t>
  </si>
  <si>
    <t>ING. FLAVIO MENDEZ</t>
  </si>
  <si>
    <t>VALOR DIFERENTE EN LA RESOLUCIÓN DE ADJUDICACIÓN Y CONTRATO SE HA PEDIDO ENMENDAR EL ERROR MEDIANTE CORREO DEL 31 MAYO 2016 / OBRA EN LIQUIDACIÓN  07 MAYO 2016. Contrato culminado el 29 de octubre de 2016.  Cuenta con acta de entrega recepción provisional total.  El pago de la liquidación se encuentra pendiente porque se ha solicitado al Área Financiera la certificación presupuestaria y de disponibilidad económica</t>
  </si>
  <si>
    <t>CONSTRUCCIÓN DE LÍNEA TRIFÁSICA A 13.8 KV PARA LOS ALIMENTADORES 13.8 KV S/E JARAMIJO</t>
  </si>
  <si>
    <t>MEJORAMIENTO DE LA CALIDAD DEL SERVICIO ELÉCTRICO Y CONFIABILIDAD, MEDIANTE LA REPOTENCIACIÓN DE LOS ALIMENTADORES DE DISTRIBUCIÓN DE LA S/E MANTA 3</t>
  </si>
  <si>
    <t>REFORZAMIENTO DEL SISTEMA DE DISTRIBUCIÓN DEL CANTÓN MONTECRISTI, MEDIANTE LA  CONSTRUCCIÓN DE LÍNEA TRIFÁSICA A 13.8 KV DEL ALIMENTADOR 3 DE LA  S/E MONTECRISTI 2</t>
  </si>
  <si>
    <t>ADECUACIÓN DE INFRAESTRUCTURA DE LAS S/E LODANA PARA LA IMPLEMENTACIÓN DEL SCADA</t>
  </si>
  <si>
    <t>ADECUACIÓN DE INFRAESTRUCTURA DE LAS S/E  PLAYA PRIETA  PARA LA IMPLEMENTACIÓN DEL SCADA</t>
  </si>
  <si>
    <t>ADECUACIÓN DE INFRAESTRUCTURA DE LAS S/E BARRANCO COLORADO PARA LA IMPLEMENTACIÓN DEL SCADA</t>
  </si>
  <si>
    <t xml:space="preserve">ADQUISICIÓN, INSTALACIÓN Y PUESTA EN OPERACIÓN DE RECONECTADORES TRIFÁSICOS </t>
  </si>
  <si>
    <t xml:space="preserve">ADQUISICIÓN DE UNA SUBESTACIÓN MÓVIL 16/20 MVA </t>
  </si>
  <si>
    <t>REPOTENCIACIÓN DEL ALIMENTADOR VOLUNTAD DE DIOS COLONIA 10 AGOSTO / LA TRONCAL.</t>
  </si>
  <si>
    <t xml:space="preserve">REPOTENCIACIÓN-CONSTRUCCIÓN DE LA LÍNEA TRIFASICA SECTOR SANTA ISABEL / LA TRONCAL. </t>
  </si>
  <si>
    <t xml:space="preserve"> AMPLIACIÓN BARRAJE DE 22 KV DE LA S/E CUMBARATZA EN LA PROVINCIA DE LOJA ETAPA I</t>
  </si>
  <si>
    <t>ADQUISICIÓN Y MONTAJE DE REGULADORES DE VOLTAJE EN MV</t>
  </si>
  <si>
    <t>CAMBIO DE REDES  PARA LAS SUBESTACIONES LA MANA, LA COCHA, SALCEDO, SAN RAFAEL, SIGCHOS Y EL CALVARIO</t>
  </si>
  <si>
    <t xml:space="preserve">CONSTRUCCIÓN ENLACE TRIFÁSICO Y CAMBIO DE CONDUCTOR GUAYTACAMA TANICUCHÍ </t>
  </si>
  <si>
    <t xml:space="preserve"> CONSTRUCCIÓN ENLACE TRIFÁSICO MULALO-CHINCHIL VILLAMARÍN-JOSEGUANGO BAJO</t>
  </si>
  <si>
    <t xml:space="preserve"> CONSTRUCCIÓN ALIMENTADOR TRIFÁSICO SUBESTACIÓN MOVIL TANICUCHÍ-LA FLORESTA-LA FLORESTA SUR</t>
  </si>
  <si>
    <t xml:space="preserve"> CONSTRUCCIÓN ENLACE ALIMENTADOR EMERGENCIA SAN MARCOS-ALAQUEZ CENTRO</t>
  </si>
  <si>
    <t>CONSTRUCCIÓN ENLACE TRIFÁSICO BETHLEMITAS-PUENTE DEILLUCHI</t>
  </si>
  <si>
    <t>CONSTRUCCIÓN ENLACE MONOFASICO MACALO CHICO-MACALO GRANDE Y ENLACE TRIFASICO TANICUCHI-SANTA ANA BAJO</t>
  </si>
  <si>
    <t xml:space="preserve"> CONSTRUCCIÓN Y REMODELACIÓN ALIMENTADOR TRIFASICO SUBESTACIÓN MOVIL SALCEDO-CENTRO DE SALCEDO-ENLACETRIFASICO ALIMENTADOR EMPRESA ELÉCTRICA AMBATO-ALIMENTADOR NO. 3 SUBESTACIÓN SALCEDO</t>
  </si>
  <si>
    <t xml:space="preserve"> CONSTRUCCIÓN ALIMENTADOR TRIFASICO SUBESTACION MOVIL SALCEDO-ANCHILIVI Y ENLACE ALIMENTADOR DE EMERGENCIA LA LAGUNA SUR-URBANIZACION SAN FRANCISCO</t>
  </si>
  <si>
    <t>CONSTRUCCIÓN ENLACE MONOFASICO JOSE GUANGO BAJO-BARRANCAS Y ENLACE TRIFASICO CHUGCHILAN-EL CHAN</t>
  </si>
  <si>
    <t xml:space="preserve"> CONSTRUCCIÓN DE LA LÍNEA A 69 KV TANICUCHI-SANTA ANA ALTO</t>
  </si>
  <si>
    <t xml:space="preserve"> CONSTRUCCIÓN DE LA LÍNEA A 69 KV PANZALEO-PUJILÍ</t>
  </si>
  <si>
    <t>BID2-RSND-CNELGY-DI-OB-013</t>
  </si>
  <si>
    <t>BID2-RSND-CNELGY-ST-OB-014</t>
  </si>
  <si>
    <t>BID2-RSND-CNELGY-DI-OB-015</t>
  </si>
  <si>
    <t>ADQUISICIÓN Y MONTAJE DE RECONECTADORES, EQUIPOS DE COMUNICACIÓN E IMPLEMENTOS PARA LA INTEGRACIÓN DEL SCADA</t>
  </si>
  <si>
    <t>ADECUACIONES PARA SCADA</t>
  </si>
  <si>
    <t>Pago 2/4 - plla. # 1; 100%</t>
  </si>
  <si>
    <t>Pago 2/4 - plla. # 1, 15%</t>
  </si>
  <si>
    <t>Pago 3/4 - plla. # 2, 78,56%</t>
  </si>
  <si>
    <t xml:space="preserve">PAGO 01 </t>
  </si>
  <si>
    <t>PAGO 2/4 - 20%  PLANILLA 1 CONTRATO 78/2015</t>
  </si>
  <si>
    <t>PAGO 3/4 - 20%  PLANILLA 2 AVANCE OBRA 70%</t>
  </si>
  <si>
    <t>PAGO 4/4 - LIQUIDACION</t>
  </si>
  <si>
    <t>PAGO 2/4 - PLANILLA 1  CONVENIO 58/2016</t>
  </si>
  <si>
    <t>PAGO 2/4 - 20% PLANILLA  1 CONVENIO 55/2016</t>
  </si>
  <si>
    <t xml:space="preserve">PAGO  3/4 - 20% PLANILLA  1 </t>
  </si>
  <si>
    <t xml:space="preserve">PAGO  4/4 - LIQUIDACION TOTAL  CONTRATO </t>
  </si>
  <si>
    <t xml:space="preserve">PAGO 2/4 - AVANCE 20% PLANILLA 1  </t>
  </si>
  <si>
    <t xml:space="preserve">PAGO 3/4 - AVANCE 70% PLANILLA 2  </t>
  </si>
  <si>
    <t>pago 2/4 planilla 1    18%</t>
  </si>
  <si>
    <t>pago 3/4 planilla 2   18%</t>
  </si>
  <si>
    <t>Pago 4/4 planilla 3    14%</t>
  </si>
  <si>
    <t xml:space="preserve">Pago 2/2 Planilla 1 100% </t>
  </si>
  <si>
    <t>Pago 2/5 - Planilla 1  12,07%</t>
  </si>
  <si>
    <t>Pago 3/5 - Planilla 2  10,72 %</t>
  </si>
  <si>
    <t>Pago 1 de 5 planilla 1   10%</t>
  </si>
  <si>
    <t>Pago 2/5 Planilla 2 - 25,45%</t>
  </si>
  <si>
    <t>Pago 3/5-Planilla 2 - 25%</t>
  </si>
  <si>
    <t>Pago 2/4 - AVANCE DE OBRA</t>
  </si>
  <si>
    <t>Pago 2/2 - Pago Final 50%</t>
  </si>
  <si>
    <t>BID2-RSND-EERSSA-DI-OB-003</t>
  </si>
  <si>
    <t>Pago 2/4 - avance 15%</t>
  </si>
  <si>
    <t>Pago 2/4- avance 15%</t>
  </si>
  <si>
    <t>Pago 2/5 - Aavance 15%</t>
  </si>
  <si>
    <t>Pago 3/5 - avance 15%</t>
  </si>
  <si>
    <t>Pago 4/5 - avance 10%</t>
  </si>
  <si>
    <t>Pago 5/5 - avance 10%</t>
  </si>
  <si>
    <t>Pago 2/3 - PLANILLA 2 35%</t>
  </si>
  <si>
    <t>Pago 3/3 - planilla 3 30%</t>
  </si>
  <si>
    <t>Pago 1/4 - planilla 1 - 35%</t>
  </si>
  <si>
    <t>Pago 2/4 - planilla 2 -35 %</t>
  </si>
  <si>
    <t>PAGO 3/4 - 20% PALNILLA 2</t>
  </si>
  <si>
    <t>Este proceso ya esta al 100% pero como es parte de un proyecto que comprede 4 procesos de bienes y estos comprenden varios lotes, en tanto todos no esten ejecutados al 100% no puede reportase con este estado</t>
  </si>
  <si>
    <t>ADECUACIÓN DE INFRAESTRUCTURA EN LA S/E ELECTRICA MONTECRISTI 1 PARA LA IMPLEMENTACIÓN DEL SCADA</t>
  </si>
  <si>
    <t>CNELCORP</t>
  </si>
  <si>
    <t>0 996636614</t>
  </si>
  <si>
    <t>0 103901997001</t>
  </si>
  <si>
    <t>2.76%</t>
  </si>
  <si>
    <t>VER CORREO DEL 15 DE FEBRERO DE 2017 REMITIDO POR MARCELO CARDENAS</t>
  </si>
  <si>
    <t>ESTE PROCESO ES UNO SOLO, PERO CORRESPONDE A DOS SUBCOMPONENTES: DISTRIBUCIÓN Y SUBTRANSMISIÓN</t>
  </si>
  <si>
    <t>ESTE PROCESO COMPRENDE PROYECTOS DE DISTRIBUCIÓN Y SUBTRANSMISIÓN</t>
  </si>
  <si>
    <t>BID2-RSND-CNELSTD-FI-CI-002</t>
  </si>
  <si>
    <t>FISCALIZACIÓN ADQUISICION DE EQUIPO DE LAVADO EN CALIENTE DE AIUSLADORES</t>
  </si>
  <si>
    <t>FISCALIZACIÓN IMPLEMENTACIÓN DEL SISTEMA SCADA (2DA FASE) EN EL ÁREA DE SERVICIO DE CNEL SANTO DOMINGO</t>
  </si>
  <si>
    <t>PDTE REGULARIZAR REFORMA PARA JUSTIFICAR INCRMENTO DEL PRESUPUESTO EN EL PLAN DE ADQUISICION US$179.272,02</t>
  </si>
  <si>
    <t>PDTE REGULARIZAR REFORMA PARA JUSTIFICAR INCRMENTO DEL PRESUPUESTO EN EL PLAN DE ADQUISICION US$234.111,17</t>
  </si>
  <si>
    <t>VER FORMULARIO DE REFORMA, SOLICITUD No.1 DEL 30 DE OCTUBRE DE 2015, SOLICITUD MEDIANTE OFICIO No.CNEL-CORP-GG-2015-0995-O.</t>
  </si>
  <si>
    <t>VER FORMULARIO DE REFORMA, SOLICITUD No.1 DEL 30 DE OCTUBRE DE 2015, SOLICITUD MEDIANTE OFICIO No.CNEL-CORP-GG-2015-0995-O; PENDIENTE REGULARIZAR REFORMA PARA QUE ESTE VALOR SE SUME AL VALOR DEL PROCESO BID2-RSND-CNELSTD-AU-BI-004</t>
  </si>
  <si>
    <t>PENDIENTE JUSTIFICAR COMPLEMENTARIO / EN LA MATRIZ DE ANEXO REVISADA EL 20 DE FEBRERO DE 2017, NO CONSTA ESTE COMPLEMENTARIO PORQUE NO CUENTA CON LA AUTORIZACIÓN DE CNEL MATRIZ</t>
  </si>
  <si>
    <t>EL SALDO DE ESTE PROCESO SE UTILIZÓ PARA ATENDER EL PLAN DE CONTIGENCIA DE ELEPCO, POR ESTA RAZÓN EN EL DDL EL VALOR DE PRESUPUESTO REFERENCIAL QUE SE PUBLICÓ SE REDUJO AL VALOR DE LO EFECTIVAMENTE CONTRATADO. EJECUCIÓN DEL PROCESO AFECTADO POR EL TERREMOTO DE ABRIL 2016</t>
  </si>
  <si>
    <t>0 999888489</t>
  </si>
  <si>
    <t>No.280-2015</t>
  </si>
  <si>
    <t>ING. FABIAN RUBIO CASTRO</t>
  </si>
  <si>
    <t>No.026-2017</t>
  </si>
  <si>
    <t>G&amp;S INGENIEROS CÍA. LTDA.</t>
  </si>
  <si>
    <t>0 591706306001</t>
  </si>
  <si>
    <t xml:space="preserve">ING. IVÁN NARANJO PROAÑO </t>
  </si>
  <si>
    <t>ING. CARLOS SOLIS INTRIAGO</t>
  </si>
  <si>
    <t>ING. NELSON SANMARTÍN G.</t>
  </si>
  <si>
    <t>ING. EDUARDO REYES Q.</t>
  </si>
  <si>
    <t>ING. ALEX XAVIER CAÑART CÓRDOVA</t>
  </si>
  <si>
    <t>TELEFONO DE CONTACTO DEL GERENTE DE OBRAS ó ADMINISTRADOR DE CONTRATO</t>
  </si>
  <si>
    <t>ING. RICARDO VILLAVICENCIO</t>
  </si>
  <si>
    <t>ING. JOSÉ FRANCISCO EGUIGUREN LUZURIAGA</t>
  </si>
  <si>
    <t>ING. CARLOS MARTÍN BUELE</t>
  </si>
  <si>
    <t xml:space="preserve">ING. RAMIRO MALDONADO </t>
  </si>
  <si>
    <t>ING. DAVID MALDONADO</t>
  </si>
  <si>
    <t>ING. MARCELO SANTILLAN FIALLO</t>
  </si>
  <si>
    <t>COMPAÑÍA INDUSTRIAL Y COMERCIAL TCM S.A.</t>
  </si>
  <si>
    <t>ING. EDUARDO SAMANIEGO</t>
  </si>
  <si>
    <t>ING. MILTON BENITEZ</t>
  </si>
  <si>
    <t>ING. MARCOS VALAREZO</t>
  </si>
  <si>
    <t>TNLGO. PATRICIO VARGAS</t>
  </si>
  <si>
    <t>NO CONSTAN EN LA CGC 1.1</t>
  </si>
  <si>
    <t xml:space="preserve">ING. CARLOS MARIN BUELE </t>
  </si>
  <si>
    <t>ING. JOSE FRANCISCO EGUIGUREN LUZURIAGA</t>
  </si>
  <si>
    <t>ING. LIBER EDIN MOSQUERA CUERO</t>
  </si>
  <si>
    <t>ING. EMILIO FELICIANO VALENCIA RENTERIA</t>
  </si>
  <si>
    <t>ING. HECTOR RAFAEL ABADIE RODRIGUEZ</t>
  </si>
  <si>
    <t>ING. JOSÉ LUIS RIERA PERALTA</t>
  </si>
  <si>
    <t>ING. JOSE ANTONIO CHONG MELGAR</t>
  </si>
  <si>
    <t>ING. IVÁN ORLANDO CARCHIPULLA SALAZAR</t>
  </si>
  <si>
    <t>ING. LIDER RAUL INTRIAGO ACOSTA</t>
  </si>
  <si>
    <t>ING. GERSON AGUIRRE MACIAS</t>
  </si>
  <si>
    <t>ING. LUIS CEVALLOS JÁCOME</t>
  </si>
  <si>
    <t>ING. RANDY MORENO V.</t>
  </si>
  <si>
    <t>FISCALIZADOR EXTERNO NO SE INDICA</t>
  </si>
  <si>
    <t>ING. ANTHONY RAMIREZ</t>
  </si>
  <si>
    <t>ING. HECTOR GARCÍA</t>
  </si>
  <si>
    <t>ING. KLEVER CHÁVEZ</t>
  </si>
  <si>
    <t>TLGO. OLIVER LOAYZA</t>
  </si>
  <si>
    <t>SR. LORENZO OREJUELA</t>
  </si>
  <si>
    <t>PENDIENTE REUNIÓN TÉCNICA DE TRABAJO (QUE SEGÚN CORREO REMITIDO A ELEPCO EL 23 DE FEBRERO DE 2017)ESTA FIJADA PARA EL DÍA MIÉRCOLES 01 DE MARZO 2017, PARA DEFINIR EL REEMPLAZO DE ESTE PROYECTO, CONFORME EL REQUERIMIENTO CONTENIDO EN EL OFICIO No. ELEPCOSA-PE-2016-00265-O del 05 de  DICIEMBRE de 2016.</t>
  </si>
  <si>
    <t>SIMEN Soluciones Industriales Mecánico Eléctrico y Neumático Cía. Ltda.</t>
  </si>
  <si>
    <t>0 591720856001</t>
  </si>
  <si>
    <t>No. 056/2016 (P)</t>
  </si>
  <si>
    <t>NO SE INDICA EN LA CGC 1.1. (u)</t>
  </si>
  <si>
    <t>AB. SILVIA VARGAS</t>
  </si>
  <si>
    <t>054/2016 (P)</t>
  </si>
  <si>
    <t>0 503067902001</t>
  </si>
  <si>
    <t>055/2016 (P)</t>
  </si>
  <si>
    <t>NO SE INDICA EN LA CGC 1.1 (u)</t>
  </si>
  <si>
    <t>No. 062/2016 (P)</t>
  </si>
  <si>
    <t>No. 078/2015 (P)</t>
  </si>
  <si>
    <t>DDL IAO 20.2 ( c )</t>
  </si>
  <si>
    <t>SG-278-2016</t>
  </si>
  <si>
    <t>ING. NUVIA COYAGO</t>
  </si>
  <si>
    <t>No. 059/2016 (P)</t>
  </si>
  <si>
    <t>No. 058/2016 (P)</t>
  </si>
  <si>
    <t>OBSERVACIONES</t>
  </si>
  <si>
    <t>PENDIENTE REGULARIZAR REFORMA (PARA MODIFICAR MONTOS)</t>
  </si>
  <si>
    <t xml:space="preserve">SERVICIOS DE INTEGRACIÓN DE RECONECTADORES </t>
  </si>
  <si>
    <t>BID2-RSND-EECS-AU-SNC-008</t>
  </si>
  <si>
    <t>EJECUTADO BID</t>
  </si>
  <si>
    <t>INTELECTO S.A. ITELECTOSA</t>
  </si>
  <si>
    <t>REVISIÓN AVAL 2017</t>
  </si>
  <si>
    <t>UNIDAD EJECUTORA</t>
  </si>
  <si>
    <t>TIPO DE CONTRATACIÓN</t>
  </si>
  <si>
    <t>DESCRIPCIÓN COMPONENETE</t>
  </si>
  <si>
    <t>No. DE COMPONENTE</t>
  </si>
  <si>
    <t>SUBCOMPONENTE</t>
  </si>
  <si>
    <t>SUBCOMPONENTE: FISCALIZACIÓN, SUPERVISIÓN, SOCIALIZACIÓN</t>
  </si>
  <si>
    <t>PRESTAMO</t>
  </si>
  <si>
    <t>NOMBRE DEL PROYECTO</t>
  </si>
  <si>
    <t>No. DE PROYECTOS EN GENERAL POR DISTRIBUIDORA</t>
  </si>
  <si>
    <t>MODALIDAD DE CONTRATACIÓN</t>
  </si>
  <si>
    <t>CÓDIGO DEL PROCESO</t>
  </si>
  <si>
    <t>NOMBRE DEL PROCESO</t>
  </si>
  <si>
    <t>METODO DE ADQUISICIÓN</t>
  </si>
  <si>
    <t>REVISIÓN EX ANTE Ó EX POST</t>
  </si>
  <si>
    <t>No. DE CONTRATO</t>
  </si>
  <si>
    <t>CONTRATISTA</t>
  </si>
  <si>
    <t>TIPO DE CONTRATISTA</t>
  </si>
  <si>
    <t>RUC</t>
  </si>
  <si>
    <t>PLAN DE ADQUISICIÓN: VALOR CON IVA</t>
  </si>
  <si>
    <t xml:space="preserve"> PUBLICADO EN EL DDL: VALOR TOTAL 
(US$ SIN IVA)</t>
  </si>
  <si>
    <t>PLAN DE ADQUISICIÓN: % DE  IVA</t>
  </si>
  <si>
    <t xml:space="preserve">PLAN DE INVERSIÓN: VALOR TOTAL POR PROYECTO
(US$SIN IVA)
</t>
  </si>
  <si>
    <t xml:space="preserve">TELEFONO DE CONTACTO DEL FISCALIZADOR </t>
  </si>
  <si>
    <t xml:space="preserve">PLAN DE INVERSIÓN: VALOR PARCIAL POR PROYECTO
(US$SIN IVA)
</t>
  </si>
  <si>
    <t xml:space="preserve">PLAN DE ADQUISICIÓN: VALOR POR LOTE
(US$SIN IVA)
</t>
  </si>
  <si>
    <t xml:space="preserve"> PUBLICADO EN EL DDL: VALOR POR LOTE  (US$SIN IVA)</t>
  </si>
  <si>
    <t>ADJUDICADO - CONTRATADO: VALOR POR LOTE 
(US$ SIN IVA)</t>
  </si>
  <si>
    <t>ADJUDICADO - CONTRATADO:
VALOR TOTAL 
(US$ SIN IVA)</t>
  </si>
  <si>
    <t>ADJUDICADO - CONTRATADO: % DE IVA</t>
  </si>
  <si>
    <t>ADJUDICADO - CONTRATADO: VALOR DE IVA</t>
  </si>
  <si>
    <t xml:space="preserve">
ADJUDICADO - CONTRATADO: VALOR (US$ CON  IVA)</t>
  </si>
  <si>
    <t>RUBROS NUEVOS (FECHA)</t>
  </si>
  <si>
    <t>RUBROS NUEVOS (%)</t>
  </si>
  <si>
    <t>RUBROS NUEVOS (VALOR)</t>
  </si>
  <si>
    <t>DIFERENCIA DE CANTIDADES DE OBRAS (FECHA)</t>
  </si>
  <si>
    <t>DIFERENCIA DE CANTIDADES DE OBRA (%)</t>
  </si>
  <si>
    <t>DIFERENCIA DE CANTIDADES DE OBRA  (VALOR)</t>
  </si>
  <si>
    <t>DIFERENCIA DE CANTIDADES DE OBRA (FECHA)</t>
  </si>
  <si>
    <t>CONTRATOS COMPLEMENTARIOS (%)</t>
  </si>
  <si>
    <t>CONTRATOS COMPLEMENTARIOS VALOR CON CARGO AL CRÉDITO (SIN IVA)</t>
  </si>
  <si>
    <t>CONTRATOS COMPLEMENTARIOS RECURSOS FISCALES (IVA)</t>
  </si>
  <si>
    <t>CONTRATOS COMPLEMENTARIOS (VALOR)</t>
  </si>
  <si>
    <t>DESIGNACIÓN DEL COMITÉ DE EVALUACIÓN</t>
  </si>
  <si>
    <t>DDLS (PLIEGO)</t>
  </si>
  <si>
    <t>PUBLICACIÓN EN  UN MEDIO DE PRENSA A NIVEL NACIONAL</t>
  </si>
  <si>
    <t>SOLICITUD DE ACLARACIONES POR PARTE DE OFERENTES</t>
  </si>
  <si>
    <t>RESPUESTAS A LAS SOLICITUDES DE ACLARACIONES DE  PROPONENTES</t>
  </si>
  <si>
    <t>BOLETÍN DE ENMIENDAS</t>
  </si>
  <si>
    <t>ACTA DE PRESENTACION DE OFERTAS</t>
  </si>
  <si>
    <t>ACTA DE APERTURA DE OFERTAS</t>
  </si>
  <si>
    <t>ACTA DE ACLARACIONES</t>
  </si>
  <si>
    <t>INFORME DE EVALUACIÓN FINAL DE OFERTAS TÉNICAS Y ECONÓMICAS</t>
  </si>
  <si>
    <t>COMUNICACIÓN DE ADJUDICACIÓN A LOS PROPONENTES (CON ACUSE RECIBO)</t>
  </si>
  <si>
    <t>CONTRATO SUSCRITO FIRMADO Y DOCUMENTOS REQUERIDOS</t>
  </si>
  <si>
    <t>NOTA DE ASIGNACIÓN DEL No. PRISM</t>
  </si>
  <si>
    <t>CONCEPTO DEL DESEMBOLSO O PAGO</t>
  </si>
  <si>
    <t>A DICIEMBRE  (2016)</t>
  </si>
  <si>
    <t>A ENERO (2017)</t>
  </si>
  <si>
    <t>A JUNIO (2017)</t>
  </si>
  <si>
    <t>A DICIEMBRE (2017)</t>
  </si>
  <si>
    <t>PROYECCIÓN 2018</t>
  </si>
  <si>
    <t>TOTAL PAGOS (REALES + PROYECTADOS)</t>
  </si>
  <si>
    <t>FISCALIZADOR (GESTIÓN DE EJECUCIÓN CONTRACTUAL)</t>
  </si>
  <si>
    <t>GERENTE DE OBRAS ó ADMINISTRADOR DE CONTRATO (CGC 1.1 (u)</t>
  </si>
  <si>
    <t>PLAN DE ADQUISICIÓN:  VALOR TOTAL DEL PROCESO (US$ SIN IVA)</t>
  </si>
  <si>
    <t>ULTIMA FECHA DE CAMBIO ACORDADO CON LA ENTIDAD EJECUTORA (REFORMAS AL PLAN DE ADQUISICIÓN)</t>
  </si>
  <si>
    <t>SG-084-2017</t>
  </si>
  <si>
    <t>0 992574445001</t>
  </si>
  <si>
    <t xml:space="preserve">TEC. ELVIRA TUFIÑO </t>
  </si>
  <si>
    <t>NO OBJECIÓN DEL BID AL DDL</t>
  </si>
  <si>
    <t>PUBLICACIÓN EN EL UNDB</t>
  </si>
  <si>
    <t>NO OBJECIÓN DEL BID AL INFORME DE EVALUACIÓN Y RECOMENDACIÓN DE ADJUDICACIÓN</t>
  </si>
  <si>
    <t>SOLICITUD DEL REGISTRO PRISM</t>
  </si>
  <si>
    <t>REFORZAMIENTO DEL PROCESO DE OPERACIÓN A TRAVÉS DE LA PROVISÓN DE LICIENCIAS E IMPLANTACIÓN DE HERRAMIENTAS DE ANÁLISIS Y VISUALIZACIÓN DE DATOS GEOESPACIALES  EN TIEMPO REAL, RELACIONADOS CON LA CALIDAD DEL SERVICIO.</t>
  </si>
  <si>
    <t>TALLER  EN ANALÍTICA ESPACIAL</t>
  </si>
  <si>
    <t xml:space="preserve">TALLER  EN DATA ANÁLITICA  </t>
  </si>
  <si>
    <t>TALLER  EN SEGURIDAD INDUSTRIAL</t>
  </si>
  <si>
    <t>TALLER EN CYBERSEGURIDAD EN LA OPERACIÓN DE LA RED ELÉCTRICA</t>
  </si>
  <si>
    <t>PENDIENTE REGULARIZAR REFORMA (10.MARZO 2017)</t>
  </si>
  <si>
    <t>INDICADO A CONTINUACIÓN DE LA IAO 43.2 , PÁG 42 DE 112 DEL DDL</t>
  </si>
  <si>
    <t>EL BID RECOMIENDA QUE ESTE PROYECTO SEA ADICIONAL A ESTE COMPONENTE Y QUE SE DECLARE OTRO PROYECTO PARA CUMPLIR CON LOS 9 PROYECTOS QUE CONSTAN EN LA MATRIZ MPR (MARZO 2017), ESTE PROCESO DEBERÁ INCLUIRSE EN EL C1. DISTRIBUCIÓN</t>
  </si>
  <si>
    <t>AUTORIZADO MEDIANTE OFICIO Nro. MINFIN-SRF-2017-0216-O DE 17 DE MARZO DE 2017</t>
  </si>
  <si>
    <t>REVISADO, PDTE JUSTIFICACIÓN DE MATRIZ DE CNEL EP</t>
  </si>
  <si>
    <t xml:space="preserve"> MEDIANTE EL OFICIO Nro.CNEL-SUC-ADM-2017-0111-O DEL 07 DE MARZO DE 2017,  SE INDICA QUE ESTA FISCALIZACIÓN SE REALIZARÁ CON PERSONAL PROPIO. SE EMITIÓ RESPUESTA POR PARTE DE LA COORDINACIÓN DE LA UNIDAD EJECUTORA MEDIANTE OFICIO Nro. MEER-SDCE-2017-0291-OF DE 13 DE MARZO DE 2017</t>
  </si>
  <si>
    <t>OBSERVADO POR LA AUDITORIA DE E&amp;Y QUE SE REPITEN LOS NUMEROS DE LA RESOLUCIÓN DE ADJUDICACIÓN</t>
  </si>
  <si>
    <t>VER EN EL ACTA DE ENTREGA RECEPCIÓN PORQUE EXISTE UNA DIFERENCIA ENTRE EL VALOR LIQUIDAD RESPECTO DEL VALOR CONTRATADO</t>
  </si>
  <si>
    <t>LIQUIDACIÓN DE PROYECTO</t>
  </si>
  <si>
    <t>OBSERVACIONES DE AUDITORIA E&amp;Y (2015-2016)</t>
  </si>
  <si>
    <t>SE VERIIFICÓ QUE EL PROCESO FI-CI-005 SE ENCUENTRA ADJUDICADO AL OFERENTE ING. SERGIO PORTES  PROCESO FI-CI-005 Y NO AL FI-CI-008</t>
  </si>
  <si>
    <t>OBSERVACIONES DE E&amp;Y JUSTIFICADA CON UNA SOLA FACTURA SE PAGO DOS PAGOS Y SEDEDUJO EL ANTICIPO, LA RECOMENDACIÓN SE E&amp;Y SE REALIZARÁ QUE POR CADA PAGO SE EMITA UNA SOLA FACTURA Y NO UNA FACTURA POR MAS DE UN PAGO, DEBE CORREJIRSE LA FECHA DEL CONTRATO A 11 DE ENERO DE 2016</t>
  </si>
  <si>
    <t>% DE AVANCE FÍSICO PROYECTO  A ENE 2016</t>
  </si>
  <si>
    <t>% DE AVANCE FÍSICO PROYECTO  A FEB 2016</t>
  </si>
  <si>
    <t>% DE AVANCE FÍSICO PROYECTO  A MAR 2016</t>
  </si>
  <si>
    <t>% DE AVANCE FÍSICO PROYECTO  A ABR 2016</t>
  </si>
  <si>
    <t>% DE AVANCE FÍSICO PROYECTO  A MAY 2016</t>
  </si>
  <si>
    <t>% DE AVANCE FÍSICO PROYECTO  A JUN 2016</t>
  </si>
  <si>
    <t>% DE AVANCE FÍSICO PROYECTO  A JUL 2016</t>
  </si>
  <si>
    <t>% DE AVANCE FÍSICO PROYECTO  A AGO 2016</t>
  </si>
  <si>
    <t>% DE AVANCE FÍSICO PROYECTO  A SEP 2016</t>
  </si>
  <si>
    <t>% DE AVANCE FÍSICO PROYECTO  A OCT 2016</t>
  </si>
  <si>
    <t>% DE AVANCE FÍSICO PROYECTO  A NOV 2016</t>
  </si>
  <si>
    <t>% DE AVANCE FÍSICO PROYECTO  A DIC 2016</t>
  </si>
  <si>
    <t>% DE AVANCE FÍSICO PROYECTO  A ENE 2017</t>
  </si>
  <si>
    <t>% DE AVANCE FÍSICO PROYECTO  A FEB 2017</t>
  </si>
  <si>
    <t>OBRA PARALIZADA PORQUE NO SE CUENTA CON LOS PERMISO DE LA FRANJA DE SERVIDUMBRE DE BABAHOYO,  (SE ESTIMA QUE EN EL TRANSCURSO DE DOS SEMANAS SE CUENTEN CON LOS PERMISOS, ES DECIR HASTA EL 11 DE ABRIL DE 2017)</t>
  </si>
  <si>
    <t>EL CONVENIO NO ES EL DEL FORMATO BID, PEDIR QUE CORRIJAN, ESTE PROYECTO TUVO UNA PARALIZACIÓN DESDE JUN HASTA OCT, ESTE DATO ESTA CONTENIDO EN EL ACTA DE RECEPCIÓN PROVISIONAL</t>
  </si>
  <si>
    <t>PLAZO DESDE LA PUBLICACIÓN HASTA LA ENTREGA DE OFERTA MENOR AL ESTABLECIDO EN LAS POLÍTICAS DEL BID II, EN ESTE PROYECTO NO HAY AVANCE PORQUE ESTA SUPEDITADO A LA EJECUCIÓN DE LA OBRA CIVIL, CNEL BOLIVAR DEBERÁ REMITIR UNA JUSTIFICACIÓN PARA SUSTENTAR QUE ESTE PROYECTO NO REFLEJA AVANCE</t>
  </si>
  <si>
    <t>12.5%</t>
  </si>
  <si>
    <t>19.5%</t>
  </si>
  <si>
    <t>19.65%</t>
  </si>
  <si>
    <t>21.25%</t>
  </si>
  <si>
    <t>71.5%</t>
  </si>
  <si>
    <t>11.5%</t>
  </si>
  <si>
    <t>13.15%</t>
  </si>
  <si>
    <t>14.65%</t>
  </si>
  <si>
    <t>16.5%</t>
  </si>
  <si>
    <t>25.5%</t>
  </si>
  <si>
    <t>13.5%</t>
  </si>
  <si>
    <t>13.65%</t>
  </si>
  <si>
    <t>14.82%</t>
  </si>
  <si>
    <t>16.94%</t>
  </si>
  <si>
    <t>39.34%</t>
  </si>
  <si>
    <t>66.87%</t>
  </si>
  <si>
    <t>15.10%</t>
  </si>
  <si>
    <t>80.96%</t>
  </si>
  <si>
    <t>60.31%</t>
  </si>
  <si>
    <t>25.20%</t>
  </si>
  <si>
    <t>1.15%</t>
  </si>
  <si>
    <t>76.16%</t>
  </si>
  <si>
    <t>17.78%</t>
  </si>
  <si>
    <t>19.12%</t>
  </si>
  <si>
    <t>SEGÚN CORREO DEL ING. MARCELO CÁRDENAS, DE FECHA 31 DE MARZO DE 2017, EL CONTRATO SE ENCUENTRA SUSPENDIDO PORQUE EXISTE LA NECESIDAD DE SUSCRIBIR UN CONTRATO MODIFICATORIO, POR EL CAMBIO DEL TIPO DE FIBRA ÓPTICA ADSS a OPGW, DEBIDO A QUE CAMBIARON LAS CONDICIONES OPERATIVAS Y DE SUMINISTRO PARA LA SUBESTACIÓN AZOGUES 1 Y GUAPAN, POR TANTO NO SE PODRÁ SUSPENDER EL SERVICIO ELÉCTRICO DE LA LÍNEA S/E CUENCA - S/E AZOGUES 1.</t>
  </si>
  <si>
    <t>SEGÚN CORREO DEL ING. MARCELO CÁRDENAS, DE FECHA 31 DE MARZO DE 2017, EL CONTRATO SE ENCUENTRA SUSPENDIDO, PARA LLEGAR A ACUERDOS DE LAS ESPECIFICACIONES TÉCNICAS DE LOS EQUIPOS A SUMINISTRARSE</t>
  </si>
  <si>
    <t>17.5%</t>
  </si>
  <si>
    <t>Pago 2/4 - Planilla 1;20 %</t>
  </si>
  <si>
    <t>PAGO 1/5 - PLANILLA 1  22.50%</t>
  </si>
  <si>
    <t>PAGO 2/6 - PLANILLA 28,51%</t>
  </si>
  <si>
    <t>PAGO 1/6 - PLANILLA 1  24.19%</t>
  </si>
  <si>
    <t>PAGO 2/6 - PLANILLA  28.51%</t>
  </si>
  <si>
    <t>Pago 2/4 - Planilla 20%</t>
  </si>
  <si>
    <t>Pago 3/4 - Planilla 20%</t>
  </si>
  <si>
    <t>Pago 4/4 - Planilla 10% Liquidación</t>
  </si>
  <si>
    <t>Pago 2/13 - Planilla 1</t>
  </si>
  <si>
    <t>Pago 3/13 - Planilla 2</t>
  </si>
  <si>
    <t xml:space="preserve">Pago 2/13 </t>
  </si>
  <si>
    <t xml:space="preserve">Pago 3/13 </t>
  </si>
  <si>
    <t>Pago 2/14 - Planilla 1 -4%</t>
  </si>
  <si>
    <t>Pago 3/14 - Planilla 1 -4%</t>
  </si>
  <si>
    <t xml:space="preserve">Pago 4/14 - Planilla 3 </t>
  </si>
  <si>
    <t xml:space="preserve">Pago 2/3 </t>
  </si>
  <si>
    <t>Pago 2/2 Liquidación 50%</t>
  </si>
  <si>
    <t>Pago2/10- Planilla 1-12.48%</t>
  </si>
  <si>
    <t>Pago3/10- Planilla 2-14.71%</t>
  </si>
  <si>
    <t>Pago4/10- Planilla 3-17.22%</t>
  </si>
  <si>
    <t>Pago5/10- Planilla 4 (Costos+Porcentaje)-20.06%</t>
  </si>
  <si>
    <t>Pago 4/4 - plla. # 3, 94,82%</t>
  </si>
  <si>
    <t xml:space="preserve">Pago 2/4  17.76% </t>
  </si>
  <si>
    <t>Pago 2/3 35%</t>
  </si>
  <si>
    <t>Pago 2/4 - Planilla -17,58%</t>
  </si>
  <si>
    <t>Pago 3/4 - planilla 2 - 16,21%</t>
  </si>
  <si>
    <t>Pago 1/2 - devolución fondo de garantía - 50% - memorando No. Emelnorte-DD-JZIII-2016-0550-MM</t>
  </si>
  <si>
    <t>Pago 2/2 - devolución fondo de garantía - 50% - memorando No. Emelnorte-DD-2017-0178-MM</t>
  </si>
  <si>
    <t>Pago 2/4 - planilla - 16%</t>
  </si>
  <si>
    <t>Pago 3/4 - planilla 2- 18,17%</t>
  </si>
  <si>
    <t>Pago 4/4 - planilla 3- 24,40%</t>
  </si>
  <si>
    <t>Pago 1/2 - devolución fondo de garantía - 50% - memorando No. Emelnorte-DD-2017-0241-MM</t>
  </si>
  <si>
    <t>Pago 2/4 - planilla 1- 16,50%</t>
  </si>
  <si>
    <t>Pago 3/4 - planilla 2- 24,45%</t>
  </si>
  <si>
    <t>Pago 4/5 - anticipo 50% (contrato compl. No.300  - USD.224.011,20)</t>
  </si>
  <si>
    <t>Pago 2/5 Planilla 1   21,85%</t>
  </si>
  <si>
    <t>Pago 2/5 - Planilla 1 9,09%</t>
  </si>
  <si>
    <t>Pago 3/5 - Planilla  2  18,08%</t>
  </si>
  <si>
    <t>Pago 2/5 - Planilla 1  3,50%</t>
  </si>
  <si>
    <t>Pago 2/5 - Planilla 2  5,40%</t>
  </si>
  <si>
    <t>Pago 3/5 - Planilla 3  4,97%</t>
  </si>
  <si>
    <t>Pago 3/5 - Planilla 4  9,55%</t>
  </si>
  <si>
    <t>Pago 4/5 - Planilla 5   4,66 %</t>
  </si>
  <si>
    <t>Pago 4/5 - Planilla 5   8,16%</t>
  </si>
  <si>
    <t>Pago 5/5 - Planilla 6   3,19%</t>
  </si>
  <si>
    <t>Pago 5/5 - Planilla 6   6,23%</t>
  </si>
  <si>
    <t>Pago 2/5 - Planilla 1 4,72%</t>
  </si>
  <si>
    <t>Pago 2/5 - Planilla 2 8,29%</t>
  </si>
  <si>
    <t>Pago 3/5 - Planilla 3 4,12%</t>
  </si>
  <si>
    <t>Pago 3/5 - Planilla 4 4,76%</t>
  </si>
  <si>
    <t>Pago 4/5 - Planilla 5    12,51%</t>
  </si>
  <si>
    <t>Pago 4/5 - Planilla 6    1,48%</t>
  </si>
  <si>
    <t>Pago 5/5 - Planilla 7   5,59%</t>
  </si>
  <si>
    <t>Pago 5/5 - Planilla 7   3,02%</t>
  </si>
  <si>
    <t>Pago 2/5 Anticipo 3,56%</t>
  </si>
  <si>
    <t>Pago 2/5 Anticipo 5,33%</t>
  </si>
  <si>
    <t>Pago 3/5 Anticipo 4,09%</t>
  </si>
  <si>
    <t>Pago 3/5 Anticipo 9,16%</t>
  </si>
  <si>
    <t>Pago 4/5  Planilla 3  5,20%</t>
  </si>
  <si>
    <t>Pago 4/5  Planilla 3  8,32%</t>
  </si>
  <si>
    <t>Pago 5/5  Planilla 4  3,46%</t>
  </si>
  <si>
    <t>Pago 5/5  Planilla 4  5,86%</t>
  </si>
  <si>
    <t>Pago 2/5 Planilla</t>
  </si>
  <si>
    <t>Pago 2/5 - Planilla 1  15,24%</t>
  </si>
  <si>
    <t>Pago 3/5 - Planilla 2  8,90%</t>
  </si>
  <si>
    <t>Pago 2/5 - Planilla 1 ,19%</t>
  </si>
  <si>
    <t>Pago 3/5 - Planilla 2  6,55%</t>
  </si>
  <si>
    <t>Pago 1-Planilla 1- 10%</t>
  </si>
  <si>
    <t>Pago 2-Planilla 2-10%</t>
  </si>
  <si>
    <t>Pago 3/5-Planilla 3-25%</t>
  </si>
  <si>
    <t>Pago 5/5-Planilla 5-10%</t>
  </si>
  <si>
    <t>Pago 4/5-Planilla 4-25%</t>
  </si>
  <si>
    <t>Pago 1/5 - Planilla 1 -10%</t>
  </si>
  <si>
    <t>Pago 1/5 - Planilla 1 -25%</t>
  </si>
  <si>
    <t>Pago 3/5 - Planilla 1 -25%</t>
  </si>
  <si>
    <t>Pago 4/5 - Planilla 1 -30%</t>
  </si>
  <si>
    <t>Pago 5/5 - Planilla 5 -30%</t>
  </si>
  <si>
    <t>Pago 1/10 - Planilla 1 - 10%</t>
  </si>
  <si>
    <t>Pago 2/5 - Planilla 2 - 10%</t>
  </si>
  <si>
    <t>Pago 3/5 - Planilla 2 - 25%</t>
  </si>
  <si>
    <t>Pago 1/5 - Planilla 1 - 10%</t>
  </si>
  <si>
    <t>Pago 2/5 - Planilla 2 - 25%</t>
  </si>
  <si>
    <t>Pago 1/5 - Planilla 10%</t>
  </si>
  <si>
    <t>Pago 2/5 - Planilla 2  25%</t>
  </si>
  <si>
    <t>Pago 3/5 Planilla 3 - 25%</t>
  </si>
  <si>
    <t>Pago 3/4 - anticipo 15%</t>
  </si>
  <si>
    <t>Pago 4/4 - anticipo 15%</t>
  </si>
  <si>
    <t>Pago 3/4- anticipo 15%</t>
  </si>
  <si>
    <t>Pago 2/7 - PLANILLA 2 15%</t>
  </si>
  <si>
    <t>Pago 3/7 - anticipo 15%</t>
  </si>
  <si>
    <t>INDICADO A CONTINUACIÓN DE LA IAO 43.2 , PÁG 51 DE 139 DEL DDL</t>
  </si>
  <si>
    <t>DIDIS 2016 Nro. 0017550</t>
  </si>
  <si>
    <t>No. 091/2016 (p)</t>
  </si>
  <si>
    <t>CONSORCIO PRADERA</t>
  </si>
  <si>
    <t xml:space="preserve">COFEKA CIA. LTDA.  0 990600147001 CONZACK S.A. - 0992590882001 </t>
  </si>
  <si>
    <t>% DE AVANCE FÍSICO PROYECTO  A MAR 2017</t>
  </si>
  <si>
    <t>INVITACIÓN EXPRESIONES DE INTERES (SOLO PARA CONSULTORIA INDIVIDUALES)</t>
  </si>
  <si>
    <t>RECECPCIÓN DE MANIFESTACIONES DE INTERES (SOLO PARA CONSULTORIA INDIVIDUALES)</t>
  </si>
  <si>
    <t>CALIFICACIÓN DE CONSULTORRES (SOLO PARA CONSULTORIA INDIVIDUALES)</t>
  </si>
  <si>
    <t>NACIONALIDAD DEL CONTRATISTA</t>
  </si>
  <si>
    <t>PROVINCIA EN DONDE SE EJECUTA LA OBRA O SE PRESTA EL SERVICIO O SE ENTREGA EL BIEN</t>
  </si>
  <si>
    <t>DEL SALDO SE UTILIZA EL VALOR DE US$10.191,68 PARA CONTRATAR EL PROCESO VALOR UTILIZADO PARA CNEL GYE BID2-RSND-CNELGY-ST-OB-014 “EXTENSIÓN A LA LÍNEA DE SUBTRANSMISIÓN NUEVA PROSPERINA 2 PARA DIVIDIR LA BARRA A MAPASINGUE</t>
  </si>
  <si>
    <t>DEL SALDO SE UTILIZA EL UN VALOR DE US$10.173,62 PARA FINANCIAR EL PROCESO BID2-RSND-CNELGY-DI-OB-015 CONSTRUCCIÓN DE LA ALIMENTADORA A 13.8 KV MI LOTE 1</t>
  </si>
  <si>
    <t>No.006/2017 (P)</t>
  </si>
  <si>
    <t>ING. WILLIAMS OLALLA</t>
  </si>
  <si>
    <t>TALLER PARA LA DEFINICIÓN DEL MARCO DE REFERENCIA Y ROAD MAP PARA LOS ESTÁNDARES DE INTEROPERABILIDAD DEL SECTOR DE DISTRIBUCIÓN ELÉCTRICA BAJO LA GUIA DE REFERENCIA NIST 3.0 (NATIONAL INSTITUTE OF STANDARDS AND TECHNOLOGY )</t>
  </si>
  <si>
    <t>TALLER TEORICO PRÁCTICO DE PROTOCOLOS PARA LA INTEROPERABILIDAD DE LOS RECONECTADORES CON EL ADMS DE SCHNEIDER</t>
  </si>
  <si>
    <t>TALLER DE CAPACITACIÓN EN ARQUITECTURA EMPRESARIAL, METODOLOGÍA TOGAF</t>
  </si>
  <si>
    <t>TALLER DE CAPACITACIÓN  EN GESTIÓN DE PROYECTOS  DE LAS EMPRESAS ELÉCTRICAS DE DISTRIBUCIÓN</t>
  </si>
  <si>
    <t>TALLER DE CAPACITACIÓN DEL MARCO NORMATIVO Y REGULATORIO DEL SECTOR ELÉCTRICO</t>
  </si>
  <si>
    <t>TALLER DE CAPACITACIÓN EN PROTOCOLOS DE COMUNICACIÓN PARA LA AUTOMATIZACIÓNDE LA DISTRIBUCIÓN</t>
  </si>
  <si>
    <t>TALLER DE CAPACITACIÓN EN HERRAMIENTAS DE INTELIGENCIA DE NEGOCIOS</t>
  </si>
  <si>
    <t>TALLER DE CAPACITACION PLANIFICACIÓN DE LA DISTRIBUCIÓN</t>
  </si>
  <si>
    <t xml:space="preserve">TALLER CAPACITACIÓN EN GESTIÓN AMBIENTAL </t>
  </si>
  <si>
    <t>% DE AVANCE FÍSICO PROYECTO  A ABR 2017</t>
  </si>
  <si>
    <t>READECUACION DE LAS SALIDAS DE 13.8 KV SE CAYAMBE</t>
  </si>
  <si>
    <t>BID2-RSND-EMELNORTE-DI-OB-004</t>
  </si>
  <si>
    <t>SALDO CONSIDERANDO (COMPLEMENTARIOS)</t>
  </si>
  <si>
    <t>BID2-RSND-CNELSUC-DI-OB-015</t>
  </si>
  <si>
    <t>BID2-RSND-CNELSUC-DI-OB-016</t>
  </si>
  <si>
    <t>AUTORIZADO MEDIANTE OFICIO Nro. MINFIN-SRF-2017-0370-O DE 12 DE MAYO DE 2017</t>
  </si>
  <si>
    <t>BID2-RSND-CNELSTD-AU-OB-006</t>
  </si>
  <si>
    <t>REFORMA CONTENIDA EN LA SOLICITUD No. 4 FORMULARIO DE CONTROL DE CAMBIOS DEL 30 DE ENERO DE 2017, Y CORREO ELECTRÓNICO REMITIDO POR ANDRES BRAVO DE LA MISMA FECHA; PENDIENTE REGULARIZAR REFORMA PARA QUE ESTE SE INCREMENTE EL VALOR DEL PRESPUESTO REFERENCIAL, CON EL VALOR ASIGNADO AL PROCESO BID2-RSND-CNELSTD-FI-CI-004 QUE TENIA UN PRESUPUESTO DE US$25.000. VER CORREO DEL 19 DE ABRIL DE 2017, SE REFORMA EL TIPO DE CONTRATACIÓN DE BIENES POR OBRAS, SE MODIFICA EL CÓDIGO DEL PROCESO "BID2-RSND-CNELSTD-AU-BI-004" por  "BID2-RSND-CNELSTD-AU-OB-006"</t>
  </si>
  <si>
    <t>RESOLUCIÓN No.010-2017 DEL 05 ENERO DE 2017</t>
  </si>
  <si>
    <t>CONSORCIO RST (CONSTITUIDO POR QUEMCO CIA. LTDA. Y IELMESA S.A.)</t>
  </si>
  <si>
    <t xml:space="preserve">QUEMCO CIA. LTDA.  1790395405001 IELMESA S.A. - 0992590432001 </t>
  </si>
  <si>
    <t>W&amp;G COMPUTER S.A.</t>
  </si>
  <si>
    <t>0 992287705001</t>
  </si>
  <si>
    <t>CONSORCIO 69 STE (CONFORMADO POR QUEMCO CÍA. LTDA. Y IELMESA S.A.</t>
  </si>
  <si>
    <t>QUEMCO CÍA. LTDA.: 1790395405001         IELMESA S.A.: 0992590432001</t>
  </si>
  <si>
    <t>ACX ENGENEHARIA CLTA. EEP</t>
  </si>
  <si>
    <t>CONVENIO No.005/2017 (P)</t>
  </si>
  <si>
    <t>ECUATORIANA</t>
  </si>
  <si>
    <t xml:space="preserve">ING. ANIBAL ROBERTO CÓRDOVA ALBÁN </t>
  </si>
  <si>
    <t>ING. LUIS EDUARDO TAMA MENDOZA</t>
  </si>
  <si>
    <t>0 95792990001</t>
  </si>
  <si>
    <t>(CORPORATIVO 1)</t>
  </si>
  <si>
    <t>BID2-RSND-CNELESM-FI-CI-006</t>
  </si>
  <si>
    <t>BID2-RSND-CNELESM-FI-CI-007</t>
  </si>
  <si>
    <t>BID2-RSND-CNELESM-FI-CI-008</t>
  </si>
  <si>
    <t xml:space="preserve"> FISCALIZACIÓN OBRAS ELECTROMECÁNICAS Y PROTECCIONES PARA LA CONSTRUCCIÓN DEL SISTEMA DE SUBTRANSMISIÓN PRADERA</t>
  </si>
  <si>
    <t xml:space="preserve"> FISCALIZACIÓN OBRAS CIVILES PARA LA CONSTRUCCIÓN DEL SISTEMA DE SUBTRANSMISIÓN PRADERA</t>
  </si>
  <si>
    <t>Reforma según Oficio Nro.CNEL.ESM-ADM-2017-0255-O del 23 de mayo de 2017</t>
  </si>
  <si>
    <t>FISCALIZACIÓN GENERAL OBRAS ELÉCTRICAS PARA LA CONSTRUCCIÓN DEL SISTEMA DE SUBTRANSMISIÓN PRADERA</t>
  </si>
  <si>
    <t>% DE AVANCE FÍSICO PROYECTO  A MAY 2017</t>
  </si>
  <si>
    <t>CALENDARIO SE INDICA DESPUES DE LA IAO 43.2</t>
  </si>
  <si>
    <t>PAGO FINAL</t>
  </si>
  <si>
    <t>Pago 2/2 final</t>
  </si>
  <si>
    <t xml:space="preserve">Pago 1/1 -Liquidacion  </t>
  </si>
  <si>
    <t>Pago 1/1 Liquidación 100%</t>
  </si>
  <si>
    <t>Pago 2/4 - Planilla 1</t>
  </si>
  <si>
    <t>Pago 2/4 Planilla 1</t>
  </si>
  <si>
    <t>Pago 1</t>
  </si>
  <si>
    <t>PLANILLA 2</t>
  </si>
  <si>
    <t>PAGO 1/6 PLANILLA 1</t>
  </si>
  <si>
    <t>Pago 1/5 - planilla 1  20%</t>
  </si>
  <si>
    <t>Pago 2/5 - planilla 2  20%</t>
  </si>
  <si>
    <t>Pago 3/5 - planilla 2  40%</t>
  </si>
  <si>
    <t>Pago 1/5 - Planilla 1      20,00%</t>
  </si>
  <si>
    <t>Pago 2/5 - Planilla 2      20,00%</t>
  </si>
  <si>
    <t>Pago 3/5 - Planilla 2      60,00%</t>
  </si>
  <si>
    <t>Pago 1/2 - Planilla 1     60,00%</t>
  </si>
  <si>
    <t>Pago 2/2 - Planilla 2 - 40,00%</t>
  </si>
  <si>
    <t>Pago 1/1 - Liquidación; 100%</t>
  </si>
  <si>
    <t>PAGO 1/1 - LIQUIDACION 100%</t>
  </si>
  <si>
    <t>PAGO 2/4 - PLANILLA 1 - 20%</t>
  </si>
  <si>
    <t>PAGO 3/4 - PLANILLA 2 - 20%</t>
  </si>
  <si>
    <t>PAGO 2/5 - PLANILLA 2  36.60%</t>
  </si>
  <si>
    <t>PAGO 3/5 - PLANILLA 3  25.26%</t>
  </si>
  <si>
    <t>PAGO 1/6 - PLANILLA 1  28.14%</t>
  </si>
  <si>
    <t>PAGO 2/6 - PLANILLA 2  36.60%</t>
  </si>
  <si>
    <t>PAGO 3/6 - PLANILLA 3  25.26%</t>
  </si>
  <si>
    <t>PAGO 3/6 - PLANILLA 39,717%</t>
  </si>
  <si>
    <t>PAGO 3/6 - PLANILLA 2 - 44,13%</t>
  </si>
  <si>
    <t>PAGO 1/5 - PLANILLA 1 -  32.50%</t>
  </si>
  <si>
    <t>PAGO 2/5 - PLANILLA 2 - 32,50%</t>
  </si>
  <si>
    <t>PAGO 1/6 - PLANILLA 1  22.50%</t>
  </si>
  <si>
    <t>PAGO 2/6 - PLANILLA 1  67.50%</t>
  </si>
  <si>
    <t>Pago 1/1 - Liquidacion 100%</t>
  </si>
  <si>
    <t>PAGO 1/1 LIQUIDACION 100%</t>
  </si>
  <si>
    <t xml:space="preserve">PAGO 2/5- PLANILLA # 1            30% </t>
  </si>
  <si>
    <t xml:space="preserve">PAGO 3/5- PLANILLA # 2            30%      </t>
  </si>
  <si>
    <t xml:space="preserve">PAGO 4/5 - PLANILLA # 3            30%  </t>
  </si>
  <si>
    <t xml:space="preserve">PAGO 5/5 - PLANILLA FINAL                </t>
  </si>
  <si>
    <t>Pago ALCANCE A PLANILLA 1</t>
  </si>
  <si>
    <t>Pago ALCANCE A PLANILLA 2</t>
  </si>
  <si>
    <t>Pago 4/13 - PLANILLA 3</t>
  </si>
  <si>
    <t>Pago 5/13 - PLANILLA 4</t>
  </si>
  <si>
    <t>Pago 6/13 - Planilla 5</t>
  </si>
  <si>
    <t>Pago 6/13 - Planilla 6</t>
  </si>
  <si>
    <t>Pago 4/13 - Planilla 3</t>
  </si>
  <si>
    <t>Pago 5/13 - Planilla 4</t>
  </si>
  <si>
    <t xml:space="preserve">Pago 4/13 </t>
  </si>
  <si>
    <t xml:space="preserve">Pago 5/13 </t>
  </si>
  <si>
    <t xml:space="preserve">Pago 6/13 </t>
  </si>
  <si>
    <t xml:space="preserve">Pago 5/14 - Planilla 4 </t>
  </si>
  <si>
    <t xml:space="preserve">Pago 6/14 - Planilla 5 </t>
  </si>
  <si>
    <t xml:space="preserve">Pago 7/14 - Planilla 6 </t>
  </si>
  <si>
    <t xml:space="preserve">Pago 8/14 - Planilla 6 </t>
  </si>
  <si>
    <t xml:space="preserve">Pago 3/4 </t>
  </si>
  <si>
    <t xml:space="preserve">Pago 2/4 </t>
  </si>
  <si>
    <t>Pago 2/2 Planilla 2; 63%</t>
  </si>
  <si>
    <t>Pago 2/2 Planilla 1; 43%</t>
  </si>
  <si>
    <t>Pago 1/2 Planilla 1; 57%</t>
  </si>
  <si>
    <t>Pago 1/3</t>
  </si>
  <si>
    <t>Pago 1/3 Planilla 1; 37%</t>
  </si>
  <si>
    <t>PAG0 1/1  LIQUIDACION 100%</t>
  </si>
  <si>
    <t xml:space="preserve">Pago 2/4 pago anticipo </t>
  </si>
  <si>
    <t xml:space="preserve">Pago 3/4 avance 2 </t>
  </si>
  <si>
    <t>Pago 1/4 -Primera planilla</t>
  </si>
  <si>
    <t>Pago 2/4 -Segunda planilla</t>
  </si>
  <si>
    <t>Pago 3/3 - Liquidación 100%</t>
  </si>
  <si>
    <t>Pago 2/5 - Planilla N.1-  15%</t>
  </si>
  <si>
    <t>Pago 3/5 - Planilla N.2-  15%</t>
  </si>
  <si>
    <t>Pago 4/5 - Planilla Liquidación.- 100%</t>
  </si>
  <si>
    <t>Pago 2/5 - Planilla N.1 15%</t>
  </si>
  <si>
    <t>Pago 3/5 - Planilla N.2 15%</t>
  </si>
  <si>
    <t>Pago /5 - Planilla Liquidación. 100%</t>
  </si>
  <si>
    <t>Pago 9/10 - Liquidación 100%</t>
  </si>
  <si>
    <t xml:space="preserve">Pago 2/2 Liquidación </t>
  </si>
  <si>
    <t>PRIMERA ENMIENDA CONTRATO BID II-RSND-EEAZ-ST-OB-001 (No 2017-03-20-035-AJ), Pago 1/4 Anticipo - 50%</t>
  </si>
  <si>
    <t>Pago 2/4 - plla. # 1,  86,98%</t>
  </si>
  <si>
    <t>LIQUIDACION   CONVENIO 56/2016</t>
  </si>
  <si>
    <t>PAGO 2/2 - 20% PALNILLA 1  CONVENIO 54/2016</t>
  </si>
  <si>
    <t>PAGO -LIQUIDACION</t>
  </si>
  <si>
    <t>PLANILLA  1    CONVENIO 62/2016</t>
  </si>
  <si>
    <t>PLANILLA  2    CONVENIO 62/2016</t>
  </si>
  <si>
    <t xml:space="preserve">Pago 3/4  2.76% </t>
  </si>
  <si>
    <t>Pago 2/2 - devolución fondo de garantía - 50% - memorando No. Emelnorte-DD-JZII-2017-0083-MM</t>
  </si>
  <si>
    <t>Pago 5/5 -planilla 3 -  % liquidación cont.363-15 y 300-16</t>
  </si>
  <si>
    <t>Pago 1/2 - devolución fondo de garantía - 50% - memorando No. Emelnorte-DD-2017-0103-MM</t>
  </si>
  <si>
    <t>Pago 2/4 - planilla 1 - 35%</t>
  </si>
  <si>
    <t>Pago 3/4 - planilla 3 - 20%</t>
  </si>
  <si>
    <t>Pago 4/4 - planilla 4 - 10%</t>
  </si>
  <si>
    <t>Pago 3/4 - planilla 3 -20 %</t>
  </si>
  <si>
    <t>Pago 2/5 - Planilla 1  20,21%</t>
  </si>
  <si>
    <t>Pago 3/5 - Planilla 2  4,44%</t>
  </si>
  <si>
    <t>Pago 3/5 - Planilla 2  13,94%</t>
  </si>
  <si>
    <t>Pago 4/5 - Planilla  2    18,08%</t>
  </si>
  <si>
    <t>Pago 1/1 - Palanilla Única 100%</t>
  </si>
  <si>
    <t>Pago 2/4- anticipo 15%</t>
  </si>
  <si>
    <t>Pago 4/4- anticipo 15%</t>
  </si>
  <si>
    <t>Pago 5/5 - anticipo 10%</t>
  </si>
  <si>
    <t>Pago 4/4- anticipo 20%</t>
  </si>
  <si>
    <t>Pago 4/7 - planilla 4 15%</t>
  </si>
  <si>
    <t>Pago 5/7 - anticipo 15%</t>
  </si>
  <si>
    <t>Pago 6/7 - anticipo 15%</t>
  </si>
  <si>
    <t>Contrato Nro.86-17</t>
  </si>
  <si>
    <t>BRASILERA</t>
  </si>
  <si>
    <t>% DE AVANCE FÍSICO PROYECTO  A JUN 2017</t>
  </si>
  <si>
    <t>CONTRATO CON RETRASO SIGNIFICATIVO EN LA EJECUCIÓN. 
El terremoto afectó las obras que ya estaban construidas, por lo que el avance evaluado a junio es e 71%. Hay un reclamo de incumplimiento al contratista.</t>
  </si>
  <si>
    <t>PDTE REGURLARIZAR REFORMA PDTE REGURLARIZAR REFORMA, EL VALOR COMO ESTA EN EL ANEXO 3 PARA EL AVAL DEL 2017 ESTA POR UN VALOR CON IVA DE US$452.743,40. Mediante Memorando Nro. CNEL-MAN-ADM-2016-3235-M de fecha 22 de diciembre de 2016 el Administrador de la UN solicitó a la Gerencia General la aprobación para suscribir un contrato complementario.  Requerimiento que se encuentra pendiente de aprobación. Al suscribirse contrato complementario el avance del proyecto disminuye.</t>
  </si>
  <si>
    <t>READECUACIÓN DE OBRAS CIVILES EN LA SUBESTACIÓN EL CALVARIO</t>
  </si>
  <si>
    <t>BID2-RSND-CNELGLR-FI-CI-005</t>
  </si>
  <si>
    <t>BID2-RSND-CNELGLR-FI-CI-006</t>
  </si>
  <si>
    <t>BID2-RSND-CNELGLR-SP-CI-007</t>
  </si>
  <si>
    <t>No.039-2017</t>
  </si>
  <si>
    <t>ING. NOE FERNANDO PROAÑO PEREZ</t>
  </si>
  <si>
    <t>0 923430532001</t>
  </si>
  <si>
    <t>% DE AVANCE FÍSICO PROYECTO  A JUL 2017</t>
  </si>
  <si>
    <t>ESTE PROCESO SE EFECTUA CON METODOLOGÍA SERCOP, POR CUANTO SE FINANCIA CON RECURSOS PROPIOS DE EEQ. POR PUBLICARSE</t>
  </si>
  <si>
    <t>GUAYAS</t>
  </si>
  <si>
    <t>LOS RÍOS</t>
  </si>
  <si>
    <t>CAÑAR</t>
  </si>
  <si>
    <t>BID2-RSND-EMELNORTE-DI-OB-005</t>
  </si>
  <si>
    <t>CONTRATO DIDIS 2017 Nro.0017799</t>
  </si>
  <si>
    <t>INGENIERIA DE SISTEMAS IDS ECUADOR CÍA. LTDA.</t>
  </si>
  <si>
    <t>CONTRATO DTH 2017 N°0017796</t>
  </si>
  <si>
    <t>CORPORACIÓN DE FOMENTO PARA LA PEQUEÑA Y MEDIANA EMPRESA CORFOPYM</t>
  </si>
  <si>
    <t>IAO 24.1.</t>
  </si>
  <si>
    <t>CONSTRUCCIONES Y SERVICIOS TOXPEL CÍA. LTDA.</t>
  </si>
  <si>
    <t>READECUACIÓN DE RED Y AUMENTO DE POTENCIA YURACRUZ ALTO</t>
  </si>
  <si>
    <t>AUDITORÍA DE LOS ESTADOS FINANCIEROS DE LOS PROGRAMAS 3494/OC-EC y 3494/CH-EC FINANCIADOS POR EL BID Y REVISIÓN EX-POST DE ADQUISICIONES EN FORMA INTEGRADA CON LOS PROCESOS DE DESEMBOLSOS. EJERCICIO 2018</t>
  </si>
  <si>
    <t>CAN-CEC / Y FECHA DE REGISTRO PRISM</t>
  </si>
  <si>
    <t>CAN/CEC-1554 DEL 14 DE AGOSTO DE 2017</t>
  </si>
  <si>
    <t>CODIGO PRISM</t>
  </si>
  <si>
    <t>ECA2771</t>
  </si>
  <si>
    <t>ECA2773</t>
  </si>
  <si>
    <t>ECA2772</t>
  </si>
  <si>
    <t>ECA2775</t>
  </si>
  <si>
    <t>ECA2774</t>
  </si>
  <si>
    <t>No.SUSPENSIÓN</t>
  </si>
  <si>
    <t>NÚMERO DE DÍAS DE SUSPENSIÓN DEL CONTRATO</t>
  </si>
  <si>
    <t>TOTAL DIAS DE SUSPENSIÓN</t>
  </si>
  <si>
    <t>% DE AVANCE FÍSICO PROYECTO  A AGO 2017</t>
  </si>
  <si>
    <t>BID2-RSND-MEER-AF-DI-002</t>
  </si>
  <si>
    <t>NUEVO PROYECTO , FORMULARIO DE CONTROL DE CAMBIOS, SOLICITUD No.2 DEL 25.FEB.2016, PDTE ANALISIS FINANCIERO PARA FINANCIAMIENTO CON RECURSOS BID.  FORMULARIO DE CONTROL DE CAMBIOS, SOLICITUD No.10 DEL 17.NOV.2016. EL 14 DE SEPTIEMBRE DE 2017, ESTE PROYECTO SE MODIFICA DE COMPONENTE, DE: Medición inteligente, en alimentadores, monitoreo y gestión de activos fijos concentrados en subestaciones y alimentadores. A: Proyectos de automatización y adecuación de subestaciones</t>
  </si>
  <si>
    <t>BID2-RSND-MEER-AF-DI-003</t>
  </si>
  <si>
    <t>BID2-RSND-MEER-AF-DI-004</t>
  </si>
  <si>
    <t xml:space="preserve">BID2-RSND-CNELSTD-FI-CI-003 </t>
  </si>
  <si>
    <t>SANTA ELENA</t>
  </si>
  <si>
    <t>SANTO DOMINGO DE LOS TSACHILAS</t>
  </si>
  <si>
    <t>MANABI</t>
  </si>
  <si>
    <t>ORELLANA</t>
  </si>
  <si>
    <t>TUNGURAHUA</t>
  </si>
  <si>
    <t>AZUAY</t>
  </si>
  <si>
    <t>GALAPAGOS</t>
  </si>
  <si>
    <t>PICHINCHA</t>
  </si>
  <si>
    <t>CHIMBORAZO</t>
  </si>
  <si>
    <t>LOJA</t>
  </si>
  <si>
    <t>ZAMORA CHINCHIPE</t>
  </si>
  <si>
    <t>ESMERALDAS</t>
  </si>
  <si>
    <t>BOLIVAR</t>
  </si>
  <si>
    <t>EL ORO</t>
  </si>
  <si>
    <t>SUCUMBIOS</t>
  </si>
  <si>
    <t>14.32%</t>
  </si>
  <si>
    <t>INDUSTRIAL Y COMERCIAL TCM S.A.</t>
  </si>
  <si>
    <t>GERENRED S.A.</t>
  </si>
  <si>
    <t>PUBLICADO EN EL PORTAL WEB DE CNEL</t>
  </si>
  <si>
    <t>0 992281634001</t>
  </si>
  <si>
    <t>No.110-17</t>
  </si>
  <si>
    <t>ING. LUIS LECHON</t>
  </si>
  <si>
    <t>SR. CARLOS OROZCO</t>
  </si>
  <si>
    <t>Nro. 114-17</t>
  </si>
  <si>
    <t>CONSORCIO BECERRA Y JIMENEZ</t>
  </si>
  <si>
    <t>ING. GALO PAGUAY</t>
  </si>
  <si>
    <t>ING. HUGO RAMOS</t>
  </si>
  <si>
    <t xml:space="preserve">Nro. 113-17 </t>
  </si>
  <si>
    <t>WILMER ALEXIS CHANGOLUISA GUALOTUÑA</t>
  </si>
  <si>
    <t>ING. POLO FERNANDEZ</t>
  </si>
  <si>
    <t>ING. JUAN CASTAÑEDA</t>
  </si>
  <si>
    <t>ING. WILMER RENÉ CALVA IÑAHUAZO</t>
  </si>
  <si>
    <t>0 802529552001</t>
  </si>
  <si>
    <t>ING. JORGE ARMANDO ESTRADA MENDEZ</t>
  </si>
  <si>
    <t>0 801973736001</t>
  </si>
  <si>
    <t>COTOPAXI</t>
  </si>
  <si>
    <t>IMBABURA</t>
  </si>
  <si>
    <t>NACIONAL</t>
  </si>
  <si>
    <t>ING. LUIS GERARDO GILER SOLORZANO</t>
  </si>
  <si>
    <t>REFORMA: Solicitud: OFICIO Nro. CNEL-GLR-ADM-2017-0490-O del 14 de septiembre de 2017. Respuesta: Oficio Nro. MEER-SDCE-2017-1185 Del 06 de octubre del 2017</t>
  </si>
  <si>
    <t>NUEVO PROCESO, FORMULARIO DE CONTROL DE CAMBIOS, SOLICITUD No.5 DEL 02.SEP.2016. REFORMA, SOLICITUD: Oficio Nro.CNEL-SUC-ADM-2017-0569-O del 06 de octubre de 2017. RESPUESTA: Oficio Nro.MEER-SDCE-2017-1194-OF del 10 de octubre de 2017.</t>
  </si>
  <si>
    <t>NUEVO PROCESO, FORMULARIO DE CONTROL DE CAMBIOS, SOLICITUD No.5 DEL 02.SEP.2016. REFORMA, SOLICITUD: Oficio Nro.CNEL-SUC-ADM-2017-0569-O del 06 de octubre de 2017. RESPUESTA:  Oficio Nro.MEER-SDCE-2017-1194-OF del 10 de octubre de 2017.</t>
  </si>
  <si>
    <t>% DE AVANCE FÍSICO PROYECTO  A SEP 2017</t>
  </si>
  <si>
    <t>no</t>
  </si>
  <si>
    <t>% DE AVANCE FÍSICO PROYECTO  A OCT 2017</t>
  </si>
  <si>
    <t>SISTEMAS ELECTRICOS S.A. SISELEC</t>
  </si>
  <si>
    <t>DIDIS 2017 Nro.0017873</t>
  </si>
  <si>
    <t>ING. PAULO VILLA</t>
  </si>
  <si>
    <t>0 105625990001</t>
  </si>
  <si>
    <t>DIDIS2017 Nro.0017899</t>
  </si>
  <si>
    <t>ING. JIMMY ORTIZ VEINTIMILLA</t>
  </si>
  <si>
    <t>DIDIS2017 Nro.0017901</t>
  </si>
  <si>
    <t>ING. MARCO CARCHI TENEMASA</t>
  </si>
  <si>
    <t>0 104254933001</t>
  </si>
  <si>
    <t>DIDIS2017 Nro.0017900</t>
  </si>
  <si>
    <t>ING. EDUARDO CAMPOVERDE ENCALADA</t>
  </si>
  <si>
    <t>AUDITORÍA DE LOS ESTADOS FINANCIEROS DE LOS PROGRAMAS 3494/OC-EC y 3494/CH-EC FINANCIADOS POR EL BID. EJERCICIO 2017</t>
  </si>
  <si>
    <t>AUTORIZACIÓN DEL BID PARA FINANCIAMIENTO,  EMITIDA MEDIANTE CAN/CEC-194/2018 REMITIDA POR CORREO ELECTRÓNICO EL 05 DE FEBRERO DE 2018</t>
  </si>
  <si>
    <t xml:space="preserve">14.04% </t>
  </si>
  <si>
    <t>ADQUISICION E INSTALACIÓN DE EQUIPOS PARA EL REFORZAMIENTO DE SISTEMAS DE AUTOMATIZACIÓN DE SUBESTACIONES</t>
  </si>
  <si>
    <t>No.292</t>
  </si>
  <si>
    <t>CONTRATO Nro. 138-17</t>
  </si>
  <si>
    <t>17-nov.2017</t>
  </si>
  <si>
    <t>Nro.115-17</t>
  </si>
  <si>
    <t>No.093-2017</t>
  </si>
  <si>
    <t>SG-100-2018</t>
  </si>
  <si>
    <t>FORTIA CONSULTING FORTIAEC CIA. LTDA.</t>
  </si>
  <si>
    <t xml:space="preserve"> 
  PROYECTOS OBRAS Y CONSTRUCCIONES VELASMARIN CIA.LTDA.</t>
  </si>
  <si>
    <t>ERNST &amp; YOUNG ECUADOR E&amp;Y CÍA. LTDA.</t>
  </si>
  <si>
    <t>ADQUISICIÓN DE 36 COMPUTADORES PORTÁTILES, PARA LAS UNIDADES DE GESTIÓN DE LOS PROGRAMAS CON FINANCIAMIENTO BID</t>
  </si>
  <si>
    <t>REFORMA: OFICIO Nro.MEER-SDCE-2018-0531-OF del 08 de mayo de 2018. NO OBJECIÓN DEL BID: CAN/CEC-807/2018 del 16 de mayo de 2018</t>
  </si>
  <si>
    <t>No.092-2017</t>
  </si>
  <si>
    <t>No.091-2017</t>
  </si>
  <si>
    <t>Pago 2/4 - Planilla 2; 40%</t>
  </si>
  <si>
    <t>Pago 1/4 - Anticipo; 50%</t>
  </si>
  <si>
    <t>Pago 3/4 - Planilla 3; 40%</t>
  </si>
  <si>
    <t>Pago 1/3 - Anticipo; 50%</t>
  </si>
  <si>
    <t>Pago 2/3 - Anticipo; 25%</t>
  </si>
  <si>
    <t>Pago 2/4 - Planilla; 25%</t>
  </si>
  <si>
    <t>Pago 3/4 - Planilla; 25%</t>
  </si>
  <si>
    <t>Pago 2/4 -Planilla1;40%</t>
  </si>
  <si>
    <t>A PARTIR DE LA SUSCRIPCIÓN  DEL CONTRATO</t>
  </si>
  <si>
    <t>REFORMA: OFICIO Nro.MEER-SDCE-2018-0531-OF del 08 de mayo de 2018. NO OBJECIÓN DEL BID: CAN/CEC-807/2018 del 18 de mayo de 2018</t>
  </si>
  <si>
    <t>ING. HUGO TAPIA</t>
  </si>
  <si>
    <t>% DE AVANCE FÍSICO PROYECTO  A Junio 2018</t>
  </si>
  <si>
    <t>Liquidado Junio 2018</t>
  </si>
  <si>
    <t>Observaciones Junio 2018</t>
  </si>
  <si>
    <t>En trámite de no objeción al BID, suscripción de contrato complementario (9,7 %) y espera de avales del MF</t>
  </si>
  <si>
    <t>Obra en avance en parte de Daule, firmado contrato complementario. Finalización prevista en Diciembre 2018, fiscalizado en enero 2019.</t>
  </si>
  <si>
    <t>En espera de avales para suscripción de contrato complementario</t>
  </si>
  <si>
    <t>En trámites de pago, planllas finales. 
En espera de avales para suscripción de contrato complementario</t>
  </si>
  <si>
    <t>Se están haciendo excavaciones de huecos e izado de postes. Finaliza een Noviembre 2018</t>
  </si>
  <si>
    <t>Se esta trabajando en montaje de las estructuras y tendido de condutores. Por verificar factores externos que pueden afectar avance de la obra.</t>
  </si>
  <si>
    <t>En ejecución, finaliza en noviembre 2018</t>
  </si>
  <si>
    <t>Avance del 100%. Se espera S/E Móvil para realizar transferencia de carga y energizar trafo.</t>
  </si>
  <si>
    <t>Avance del 50% (primera semana de agosto llegan las celdas para la instalación, se estima liquidar la obra en septiembre 2018)</t>
  </si>
  <si>
    <t>Avance 100%. Se espera S/E Móvil para realizar transferencia de carga y energizar trafo.</t>
  </si>
  <si>
    <t>Avance del 95%. Se liquida obra en Agosto de 2018.</t>
  </si>
  <si>
    <t>En plazo de entrega. Finaliza Diciembre 2018 y fiscalización en enero de 2019</t>
  </si>
  <si>
    <t>En liquidación, obra concluida</t>
  </si>
  <si>
    <t>Se realizaron acuerdos con la Centrosur para en Octubre 2018 concluir la obra</t>
  </si>
  <si>
    <t>En etapa e pruebas</t>
  </si>
  <si>
    <t>En etapa de pruebas</t>
  </si>
  <si>
    <t>En trámite de resolución de observaciones en Centrosur, previo a no objeción del BID</t>
  </si>
  <si>
    <t>Instalados, en etapa de pruebas</t>
  </si>
  <si>
    <t>Proceso publicado, precontractual 40%. Termina Noviembre 2018.</t>
  </si>
  <si>
    <t xml:space="preserve">Proceso nuevo. En trámite </t>
  </si>
  <si>
    <t>En trámmites de contratación. Confirmar fecha de finalización.</t>
  </si>
  <si>
    <t>En trámites de contratación. Finalización prevista para marzo de 2019.</t>
  </si>
  <si>
    <t>Falta para poder liquidar, las pruebas de conexión al SCADA. Equipo funcionando desde junio de 2017</t>
  </si>
  <si>
    <t xml:space="preserve">En trámites de contrato complementario, y nuevos rubros debido a torres no previstas en sector de Durán y variaciones de recorrido. </t>
  </si>
  <si>
    <t>En pruebas finales de fibra óptica con Centrosur. Se espera liquidar contrato en Agosto de 2018</t>
  </si>
  <si>
    <t>Esta obra está concluida desde el 25 de abril de 2018, no se ha recibido porque no se ha concretado la configuración de los equipos para el SCADA por parte del contratista; está corriendo el cobro de multas. En ejecución, finaliza en Octubre 2018</t>
  </si>
  <si>
    <t>Nuevo, en revisión de ofertas, próximo a contratar. Plazo 60 días. Se estima concluya en Noviembre.</t>
  </si>
  <si>
    <t>Contratista está realizando cambio de relés que no cumplían especificaciones. Se espera liquidar proyecto en Agosto de 2018.</t>
  </si>
  <si>
    <t>CONSTRUCCION DE LA SUBETACIÓN EL BOSQUE, el mismo que se encuentra el requerimiento del aval para suscribir el contrato complementario en el Ministerio de Finanzas eso lo ha tramitado OFICINA CENTRAL y por parte del Ministerio de Finanzas aún no se cuenta con el respectivo AVAL para poder suscribir el mismo</t>
  </si>
  <si>
    <t>BID2-RSND-EECS-AU-BI-003</t>
  </si>
  <si>
    <t>PROVISIÓN, INSTALACIÓN E INTEGRACIÓN DE MEDIDORES PARA LA REDUCCIÓN DE PÉRDIDAS NO TÉCNICAS</t>
  </si>
  <si>
    <t>PENDIENTE CON PLIEGOS Y CERTIFICACIÓN</t>
  </si>
  <si>
    <t>MEDIANTE CAN/CEC-1414/2018 DEL 24 DE AGOSTO DE 2018 EL BID EMITE LA NO OBJECIÓN AL DOCUMENTO DE LICITACIÓN DDL PARA EL INICIO DEL PROCESO PRECONTRACTUAL. Mediante Oficio Nro.MEER-SDCE-2018-1013-OF del 27 de agosto de 2018, EL MEER DELEGA  A CENTROSUR COMO CO EJECUTOR A CARGO DE ESTE PROCESO. Mediante Oficio Nro.MEER-SDCE-2018-1012-OF del 27 de agosto de 2018, el MEER notifica a CNEL EP que las Unidades de Negocio: Milagro, Manabí, Los Ríos, Guayas Los Ríos, Guayaquil, El Oro que el proyecto a cargo de CENTROSUR se realizará en su beneficio.</t>
  </si>
  <si>
    <t>(CORPORATIVO 7)</t>
  </si>
  <si>
    <t>CD</t>
  </si>
  <si>
    <t xml:space="preserve">PENDIENTE  PARA NO OBJECIÓN DEL BID </t>
  </si>
  <si>
    <t>SBC</t>
  </si>
  <si>
    <t>CONFIGURACIÓN Y PARAMETRIZACIÓN DEL EDM DE SAP PARA INTERCAMBIAR INFORMACIÓN CON LOS MEDIDORES ESPECIALES.</t>
  </si>
  <si>
    <t>UNIDAD DE GESTIÓN PARA LA REDUCCIÓN DE PÉRDIDAS</t>
  </si>
  <si>
    <t>Etiquetas de fila</t>
  </si>
  <si>
    <t>Total general</t>
  </si>
  <si>
    <t>Etiquetas de columna</t>
  </si>
  <si>
    <t>% DE AVANCE FÍSICO PROYECTO  A Julio 2018</t>
  </si>
  <si>
    <t>% DE AVANCE FÍSICO PROYECTO  A Agosto 2018</t>
  </si>
  <si>
    <t>Liquidado Agosto 2018</t>
  </si>
  <si>
    <t>Observaciones Agosto 2018</t>
  </si>
  <si>
    <t>DESIERTO P</t>
  </si>
  <si>
    <t>Contrato complementario en marcha, pero tramo Samborondón no se puede concluir debido a que no se puede suspender el servicio por un cable aislado en mal estado en el Puente de la Unidad Naciona. Problemas de servidumbres aún no resueltos en predios privados, sector Villa Italia. Probelmas de un nuevo paso a desnivel que construirá GAD Daule en sector La Joya</t>
  </si>
  <si>
    <t>Faltan avales del MEF</t>
  </si>
  <si>
    <t>Falta definir financiamiento de parte de CNEL y resolver problemas de avales con el MEF. Aproximadamente USD 552.000 contrato complementario</t>
  </si>
  <si>
    <t>En espera de Avales. También de suscripciónde ontrato complementario. Informe técnico está hecho, pero no da trámite Administración de CNEL Bolívar.</t>
  </si>
  <si>
    <t>En ejecución</t>
  </si>
  <si>
    <t>% DE AVANCE FÍSICO PROYECTO  A Septiembre2018</t>
  </si>
  <si>
    <t>Liquidado Septiembre2018</t>
  </si>
  <si>
    <t>Observaciones Septiembre 2018</t>
  </si>
  <si>
    <t>En espera de avales del MEF</t>
  </si>
  <si>
    <t>En espera de avales del MEF
Se está esprando resolución jurídica debido a que las obras están terminadas. Se espera firmar Convenio de pago entre las partes.</t>
  </si>
  <si>
    <t>En espera de informe técnico para pago de planilla final del 100% del contrato inicial. 
Se espera que cuando el MEF de el aval, frmar el contrato complementario para lo cual ya hay los justificativos técnicos para los incremtnos suscitados</t>
  </si>
  <si>
    <t>Programación de suspensiones de servicio por resolver para el tramo de Samborondón. Problemas de permisos de servdumbre en 15 estructuras del GAD de Daule. Problemas en 4 estructuras en el Seco La Joya por paso a desnivel en vías de solución, se conversó con contratista del paso a desnivel para que cambie el recorrido de las vías. 
Por resolver tema de CT y aisladores de bahía con CELEC TRANSELECTRIC</t>
  </si>
  <si>
    <t>SOLICITUD DE NO OBJECIÓN AL BID POR PARTE DEL MERNNR Oficio Nro.MEER-SDCE-2018-0866-OF del 26 de julio de 2018, SE REMITE ALCANCE MEDIANTE  Oficio Nro.MEER-SDCE-2018-1035-OF del 30 de agosto de 2018. SE REMITE ALCANCE MEDIANTE  Oficio Nro.MEER-SDCE-2018-0080-OF del 21 de septiembre de 2018. MEDIANTE CAN/CEC/1637/2018 DEL 01 DE OCTUBRE DE 2018, EL BID EMITE LA NO OBJECIÓN PARA LA CONTRATACIÓN DIRECTA</t>
  </si>
  <si>
    <t>% DE AVANCE FÍSICO PROYECTO  A Octubre 2018</t>
  </si>
  <si>
    <t>Liquidado Octubre 2018</t>
  </si>
  <si>
    <t>Observaciones y estados de trámites a  Octubre 2018</t>
  </si>
  <si>
    <t>Se gestionó con CELEC la entrega de CT 2000/5 y el préstamo de aisladores de bahía Manglero en la SE Pascuales. 
Tramo Samborondón con solución parcial. Se inciaron suspensiones de servicio para el tendido de 1,3 km de cable.   Se está evaluando posibiidad de que CELEC colabore son grupos energizados.
En sector de Villa Italia, hay 1 km de Línea aún en conflicto de servidumbres y permisos de construcción.
Estado actual del contrato, inactivo</t>
  </si>
  <si>
    <t>¿Está liquidado este contrato?</t>
  </si>
  <si>
    <t>¿Se ha definido un proyecto que utilice estos recursos?</t>
  </si>
  <si>
    <t xml:space="preserve">Se tiene un 100% para la primera fase que comprende la revisión especificaciones y planos y un 67% para la segunda fase. El proyecto de manera global presenta un avance del 74%. </t>
  </si>
  <si>
    <t>El proyecto se encuentra culminado en su totalidad la parte constructiva y se han realizado las pruebas pertinentes en la subestación, actualmente se encuentra a la espera de CELEC realice un vínculo de comunicación y coordinación de entre los relés diferenciales de Jivino Celec y Jivino Cnel, se estima que la firma del acta provisional se la realice a finales del mes de Noviembre actualmente está acta se encuentra en revisión por el personal del departamento Jurídico.</t>
  </si>
  <si>
    <t>LA OBRA CONTINÚA SUSPENDIDA, A ESPERA DE LA APROBACIÓN DE LOS DISEÑOS DE LA ESTRUCTURA E1 POR PARTE DE TRANSELECTRIC, SE ESTÁN REALIZANDO LAS GESTIONES NECESARIAS PARA UN CONTRATO MODIFICATORIO EN LA FORMA DE PAGO Y COMPLEMENTARIO PARA INCREMENTOS DE OBRA</t>
  </si>
  <si>
    <t>Se ha concluido con los trabajos y energización, se encuentran en proceso de elaboración de acta provisional</t>
  </si>
  <si>
    <t>Se encuentra en ejecución se está actualizando cronograma de trabajo, por parte del contratista.</t>
  </si>
  <si>
    <t>Está en espera de la Acta Provisional de la obra</t>
  </si>
  <si>
    <t>Falta se realice la transferencia del último pago, dicho solicitud de pago ya fue realizada  por el administrador de contrato</t>
  </si>
  <si>
    <t>Hay Acta entrega provisional de la obra</t>
  </si>
  <si>
    <t>Gestionando financiamiento para ejecutar obra complementaria</t>
  </si>
  <si>
    <t>Trabajando en integración al SCADA y posterior energización</t>
  </si>
  <si>
    <t>En etapa de pruebas y posterior liquidación</t>
  </si>
  <si>
    <t>Proceso en ejecución hasta que concluya el contrato de obra</t>
  </si>
  <si>
    <t>Proceso ya cuenta con acta de entrega recepción provisional</t>
  </si>
  <si>
    <t>Contrato finalizado sin novedades con fecha 29 de diciembre de 2017 ya con la firma del Acta Entrega  - Recepción Definitiva.</t>
  </si>
  <si>
    <t>Contrato en ejecución, finaliza el 07 de diciembre de 2018. Se está a la espera de un código de activación por parte de Oficina Central  y se procederá a solicitar el pago de la planilla correspondiente.</t>
  </si>
  <si>
    <t>AL momento no, esta en pruebas de carga, la subestación movil estara en sitio en este mes</t>
  </si>
  <si>
    <t xml:space="preserve">En ejecución, obra civil terminada, celdas en media tensión según el cronograma el dia 15 de noviembre se realiza el montaje </t>
  </si>
  <si>
    <t>Falta un ultimo corte para terminar la obra, la fecha es el 23 de noviembre del 2018</t>
  </si>
  <si>
    <t>La obra se encuentra suspendida y el contrato no ha sido liquidado debido a la falta de autorización y legalización del esquema de distibución de pérdidas técnicas acordado por las Empresas Eléctricas Azogues y Centro Sur. Se han realizado las gestiones correspondientes ante el ARCONEL. Como acción pertinente para continuar con el proceso de integración se gestiona de parte de los representantes administrativos la autorización por parte del ARCONEL.
Adicional a la observación correspondiente a la distribución de pérdidas, es necesario aclarar que dentro de la ejecución del contrato se estableció y aprobó la necesidad de reemplazar la fibra ADSS por fibra óptica OPGW, de igual manera se realizó la repotenciación de la línea de subtransmisión. Para cumplir los dos aspectos señalados fue necesaria la suscripción de dos enmiendas modificatorias al contrato inicial.</t>
  </si>
  <si>
    <t>En la ejecución del contrato, y de acuerdo al cronograma establecido para este fin, se contemplaba el suministro e instalación del equipo GIS 69KV, mismo que debía ser entregado en las bodegas de la Contratante el 23 de octubre de 2018; ante esta condición particular de incumplimiento debo informar que el Contratista ha puesto en conocimineto de la Contratante que los problemas se deben a un incumplimiento por parte del proveedor,  por lo cual se están tomando las acciones legales correspondientes entre el proveedor y el Contratista. El plazo de ejecución del contrato de acuerdo al cronograma de actividades es el 15 de noviembre del año en curso.</t>
  </si>
  <si>
    <t>Suspendido</t>
  </si>
  <si>
    <t>Contratado por $ 309.339,68. El equipamiento está operando, no se puede liquidar, ya que el proveedor TCM no entrega la última factura.</t>
  </si>
  <si>
    <t>Liquidado por $ 38.600,57, sin IVA.</t>
  </si>
  <si>
    <t xml:space="preserve">LIQUIDADO EL LOTE 3 DEL PROCESO BID2-RSND-EECS-AU-SNC-008  </t>
  </si>
  <si>
    <t>BID2-RSND-EEQ-AU-FC-003</t>
  </si>
  <si>
    <t>BID2-RSND-EECS-AU-FC-002</t>
  </si>
  <si>
    <t>BID2-RSND-EECS-AU-BI-002</t>
  </si>
  <si>
    <t>Liquidado Noviembre 2018</t>
  </si>
  <si>
    <t>% DE AVANCE FÍSICO PROYECTO  A Noviembre 2018</t>
  </si>
  <si>
    <t>Observaciones y estados de trámites a  Noviembre 2018</t>
  </si>
  <si>
    <t>Se aprobó diseño de E1 de parte de CELEC, se generan ordenes de trabajo para conluir la obra. Se espera que en marzo 2019 conlcuya obra debido a que se deben construir perfiles de torre según especificaciones de CELEC</t>
  </si>
  <si>
    <t>Firmado complementario, solicitado pago de anticipo de complemtnario</t>
  </si>
  <si>
    <t>Esta liquidado pero no se reporta de parte de la UN EOR</t>
  </si>
  <si>
    <t>Esta liquidado</t>
  </si>
  <si>
    <t>En etapa final de pago, financiero.</t>
  </si>
  <si>
    <t>En trámite de pago segunda planilla de Complementario. Sigue pendiente solución del tramo en Daule en  litigio entre GAD de Daule y Carlos Silva</t>
  </si>
  <si>
    <t>El 15 de noviembre de 2018 se firmó el acta de entrega recepción provisional</t>
  </si>
  <si>
    <t>Valor liquidado
(USD sin iva)</t>
  </si>
  <si>
    <t>Faltan pagos de complementario, en reporte financiero se indica avnce físico de complementario de 70%. Pagado USD 666.500,45</t>
  </si>
  <si>
    <t>Este proyecto está colcluido hace mucho tiempo, pero no está liquidado, puede ser que haya un problema con el código del proceso</t>
  </si>
  <si>
    <t>Hay Acta entrega provisional de la obra,
Total pagado a Nov 2'698.174,75
NO está pagado el total del complementario</t>
  </si>
  <si>
    <t>Pagos con orden de trabajo incluida. No se sabe si la orden de trabajo era la final.</t>
  </si>
  <si>
    <t>El proyecto se encuentra culminado en su totalidad la parte constructiva y se han realizado las pruebas pertinentes en la subestación, actualmente se encuentra a la espera de CELEC realice un vínculo de comunicación y coordinación de entre los relés diferenciales de Jivino Celec y Jivino Cnel, se estima que la firma del acta provisional se la realice en diciembre actualmente está acta se encuentra en revisión por el personal del departamento Jurídico. 
Pagado 417.253,92</t>
  </si>
  <si>
    <t>No aparece totalmente liquidado</t>
  </si>
  <si>
    <t>¿Está liquidado este contrato?, ya alcanzó el tope de pagos, ero no se indica en el financiero ue está liquidado</t>
  </si>
  <si>
    <t>Sube mucho pago con devolución de fondos garantías.</t>
  </si>
  <si>
    <t>En liquidación</t>
  </si>
  <si>
    <t>23 de noviembre se solicitó aprobación de nuevos rubros para contrato complementario</t>
  </si>
  <si>
    <t>En firma de contrato complementario, se espera culmnar obra en marzo de  2019, debido a clima que no permite ejecutar trabajo en zonas inundables</t>
  </si>
  <si>
    <t>En etapa de pruebas de último interruptor y posterior liquidación</t>
  </si>
  <si>
    <t>En proceso de contratación, apertura de sobres el 17 diciembre de 2018.</t>
  </si>
  <si>
    <t>liquidado</t>
  </si>
  <si>
    <t>Pospuesto</t>
  </si>
  <si>
    <t>CONSTRUCCIÓN DE LOS PROYECTOS DE MEJORAMIENTO DE LA SUBESTACION EL CALVARIO Y CENTRO DE CONTROL</t>
  </si>
  <si>
    <t>LOTE 1: IMPLEMENTACIÓN DATA CENTER, CENTRO DE CONTROL Y TELECOMUNICACIÓN PARA SCADA</t>
  </si>
  <si>
    <t>LOTE 2: READECUACIÓN DE OBRAS CIVILES EN LA SUBESTACIÓN EL CALVARIO</t>
  </si>
  <si>
    <t>CAPACITACION "VIII CITTES", PARTICIPACIÓN EN EL“VIII CONGRESO INTERNACIONAL DE TRABAJOS CON TENSION Y SEGURIDAD EN TRANSMISIÓN Y DISTRIBUCIÓN DE ENERGÍA ELÉCTRICA</t>
  </si>
  <si>
    <t>SIN CODIGO</t>
  </si>
  <si>
    <t>ARGENTINA</t>
  </si>
  <si>
    <t>PERSONA JURIDICA</t>
  </si>
  <si>
    <t>COMITÉ ARGENTINO DE LA COMISION DE INTEGRACIÓN ELECTRICA REGIONAL CIER</t>
  </si>
  <si>
    <t>ESTA CONTRATACIÓN ESTA SUSTENTADA EN LA NO OBJECIÓN QUE EMITIO EL BID  A TRAVES DEL ESPECILISTA DE ENERGÍA SR. KENOL THYS, CON FECHA 27 ABRIL DE 2018 VIA CORREO ELECTRÓNICO AL ING. PATRICIO ERAZO</t>
  </si>
  <si>
    <t>REFORMA Oficio Nro.ELEPCOSA-PE-2018-01214-O del 07 de noviembre de 2018. RESPUESTA Oficio Nro.MERNNR-DEGTODEE-2018-0011-OF del 19 de noviembre de 2018</t>
  </si>
  <si>
    <t>ANTICIPO</t>
  </si>
  <si>
    <t>BID2-RSND-EECS-RI-SNC-008</t>
  </si>
  <si>
    <t>BID2-RSND-EECS-RI-BI-009</t>
  </si>
  <si>
    <t>ORDEN DE TRABAJO No.1651</t>
  </si>
  <si>
    <t>LOTES</t>
  </si>
  <si>
    <t>SE ENCUENTRA EN ETAPA DE LIQUIDACION</t>
  </si>
  <si>
    <t>ESTA PENDIENTE LA FIRMA DEL ACTA UNICA DE ENTREGA. Aunque se indica está liquidado, aún no se produce pago final a nov 2018</t>
  </si>
  <si>
    <t>No está liquidado, pero se considera saldo para proyecciones</t>
  </si>
  <si>
    <t>% DE AVANCE FÍSICO PROYECTO  A Diciembre 2018</t>
  </si>
  <si>
    <t>Liquidado Diciembre 2018</t>
  </si>
  <si>
    <t>Observaciones y estados de trámites a  Diciembre 2018</t>
  </si>
  <si>
    <t>Se paga planilla 3/4 al Consorcio Pascuales Manglero por un valor de  564.762,78 el 18/dic/2018</t>
  </si>
  <si>
    <t>Se realiza segundo pago por 90.994,22</t>
  </si>
  <si>
    <t>Se realiza segundo pago por 125.960,00 el 6 de diciembre de 2018</t>
  </si>
  <si>
    <t>Se realiza pago 4 de 4 por 46.426,74 el 27 de diciembre de 2018</t>
  </si>
  <si>
    <t>Se entrega anticipo 50% por 192.252,57 el 18 de diciembre de 2018</t>
  </si>
  <si>
    <t>Se paga planilla 3/4 por 97.209,25 el 05-dic-2018</t>
  </si>
  <si>
    <t xml:space="preserve">El 5-dic-2018 se paga las siguientes planillas:
Lote 2, planilla 3/4 por 9.006,12
Lote 1, planilla 3/4 por 11.638,32 </t>
  </si>
  <si>
    <t xml:space="preserve">Se liquida, se paga 416.000 el 07/dic/2018. Liquidado </t>
  </si>
  <si>
    <t>13 de diciembre  2018 se paga planilla 3/4 por 61.867,93</t>
  </si>
  <si>
    <t>Se paga un contrato complmentario por 19.412,63 el 30/11/2018.
Se desconoce si el contrato está o no liquidado.</t>
  </si>
  <si>
    <t>El 15 de noviembre de 2018 se firmó el acta de entrega recepción provisional.
Se pagó el 13 Nov 2018 planilla 3 por 26.644,88</t>
  </si>
  <si>
    <t>el 30/nov/2018 se pagó 9569,95 que es el pago 4 planilla 3</t>
  </si>
  <si>
    <t>No se reporta liquidación de parte de CNEL UN EL ORO</t>
  </si>
  <si>
    <t>El 3 de Enero, 2019 está previsto dar anticipo, 50% de 165.000, no se requiere aval. Termina en Mayo de 2019. Contratista está importando equipos.</t>
  </si>
  <si>
    <t xml:space="preserve">sabado 12 de enero se hizo pruebas, puerto inca y k 26. </t>
  </si>
  <si>
    <t xml:space="preserve">Con problemas en:
Derechos de pasos de predios privados Daule
Replanteo de estructuras en el Sector La Joya por cruce de paso a desnivel
Nuevos rubros por paso por detrás de Villa Italia, se requiere relleno u otro modo de ingreso de estructuras
</t>
  </si>
  <si>
    <t xml:space="preserve">Se prevé firma del Contrato Complementario el 8 de Enero.  
Contrato complementario maneja un plazo de 100 dias a partir de la entrega del anticipo, 
En la semana del 13 al 18 de enero posiblemente se apruebe PAC de por Directorio de CNEL y recursos para financiar contrato complmentario . 
Se estima que 25 de enero se entregue anticipo. 
Se estima con estos tiempos el contrato finalice a mediados  o fines de mayo de 2019. 
Si hay complicaciones con el clima puede demorarse más.  </t>
  </si>
  <si>
    <t>Se está gestionando con el Área Jurídica la elaboración del contrato complementario. 
Fecha prevista a terminar los trabajos en la obra 5/abril/2019,</t>
  </si>
  <si>
    <t>Se ejecuta de acuerdo al avance de  la Obra No BID2-RSND-CNELGY-DI-OB-015.
Fecha prevista a terminar los trabajos en la obra 5/abril/2019.</t>
  </si>
  <si>
    <t>A la presente fecha se ha pagado el 90% del valor total del contrato, queda pendiente de pagar el 10%, que de acuerdo a lo indicado en la cláusula cuarta PLAZO, numeral  5,2, FORMA DE PAGO el 10% final se pagará con la entrega del Informe final de ejecución a entera satisfacción de la Contratante a la firma del Acta entrega-recepción definitiva de la obra. 
30/11/2018 se paga 5.388,74 pago 2/4</t>
  </si>
  <si>
    <t>En espera de que la S/E Móvil llegue.</t>
  </si>
  <si>
    <t>Liquidado</t>
  </si>
  <si>
    <t xml:space="preserve">Se espera se cancelen valores adeudados al contratista. Ordenes de trabajo emitidas. 31 de enero de 2019 se pagaría al contratista y este podría continuar con trabajos </t>
  </si>
  <si>
    <t xml:space="preserve"> FISCALIZACIÓN  REFORZAMIENTO DE REDES DE MEDIO Y BAJO VOLTAJE CON REPOTENCIACION DE TRANSFORMADORES ACOMETIDAS Y MEDIDORES EN EL PRIMARIO EL QUINCHE 58C </t>
  </si>
  <si>
    <t xml:space="preserve"> FISCALIZACIÓN  REFORZAMIENTO DE REDES DE MEDIO Y BAJO VOLTAJE CON REPOTENCIACION DE TRANSFORMADORES ACOMETIDAS Y MEDIDORES EN EL PRIMARIO EL QUINCHE 58D</t>
  </si>
  <si>
    <t>Realizado por la EEQ y comunicado al MERNNR mediante Oficio EEQ-GG-2019-0130-OF</t>
  </si>
  <si>
    <t>Ejecutado por la EEQ según oficio EEQ-GG-2019-0130-OF</t>
  </si>
  <si>
    <t>FISCALIZACIÓN PARA CONSTRUCCIÓN DE LÍNEA TRIFÁSICA A 13.8 KV PARA S/E JARAMIJO, S/E MANTA 3 Y S/E MONTECRISTI 2 (1)</t>
  </si>
  <si>
    <t>FISCALIZACIÓN PARA CONSTRUCCIÓN DE LÍNEA TRIFÁSICA A 13.8 KV PARA S/E JARAMIJO, S/E MANTA 3 Y S/E MONTECRISTI 2 (2)</t>
  </si>
  <si>
    <t>FISCALIZACIÓN PARA CONSTRUCCIÓN DE LÍNEA TRIFÁSICA A 13.8 KV PARA S/E JARAMIJO, S/E MANTA 3 Y S/E MONTECRISTI 2 (3)</t>
  </si>
  <si>
    <t>FISCALIZACIÓN DEL PROYECTO REPOTENCIACIÓN DEL ALIMENTADOR VOLUNTAD DE DIOS COLONIA 10 AGOSTO / LA TRONCAL. REPOTENCIACIÓN-CONSTRUCCIÓN DE LA LÍNEA TRIFASICA SECTOR SANTA ISABEL / LA TRONCAL. REPOTENCIACIÓN DE LA RED MEDIA TENSIÓN ALIMENTADOR 5013 / LA TRONCAL. (1)</t>
  </si>
  <si>
    <t>FISCALIZACIÓN DEL PROYECTO REPOTENCIACIÓN DEL ALIMENTADOR VOLUNTAD DE DIOS COLONIA 10 AGOSTO / LA TRONCAL. REPOTENCIACIÓN-CONSTRUCCIÓN DE LA LÍNEA TRIFASICA SECTOR SANTA ISABEL / LA TRONCAL. REPOTENCIACIÓN DE LA RED MEDIA TENSIÓN ALIMENTADOR 5013 / LA TRONCAL. (2)</t>
  </si>
  <si>
    <t>FISCALIZACIÓN DEL PROYECTO REPOTENCIACIÓN DEL ALIMENTADOR VOLUNTAD DE DIOS COLONIA 10 AGOSTO / LA TRONCAL. REPOTENCIACIÓN-CONSTRUCCIÓN DE LA LÍNEA TRIFASICA SECTOR SANTA ISABEL / LA TRONCAL. REPOTENCIACIÓN DE LA RED MEDIA TENSIÓN ALIMENTADOR 5013 / LA TRONCAL. (3)</t>
  </si>
  <si>
    <t>SUPERVISOR DE LOS PROCESOS (REFORZAMIENTO DE REDES RED TRIFASICA TARAPOA-LA “Y” DE CUYABENO, REFORZAMIENTO DE REDES EN EL SECTOR DE PACAYACU – LA GUARAPERA Y REFORZAMIENTO DE REDES EN  LAS COMUNIDADES AKISUYO, AKSIR, RUMPIPAMBA)(1)</t>
  </si>
  <si>
    <t>SUPERVISOR DE LOS PROCESOS (REFORZAMIENTO DE REDES RED TRIFASICA TARAPOA-LA “Y” DE CUYABENO, REFORZAMIENTO DE REDES EN EL SECTOR DE PACAYACU – LA GUARAPERA Y REFORZAMIENTO DE REDES EN  LAS COMUNIDADES AKISUYO, AKSIR, RUMPIPAMBA) (2)</t>
  </si>
  <si>
    <t>FISCALIZACIÓN DE LOS PROCESOS: (REPOTENCIACIÓN LINEA DE SUBTRANSMISIÓN SACHA-ORELLANA; INTERCONEXIÓN S/E TRANSELECTRIC JIVINO; APERTURA DE LA LÍNEA DE SUBTRANSMISIÓN JIVINO-LAGO AGRIO) (1)</t>
  </si>
  <si>
    <t>FISCALIZACIÓN DE LOS PROCESOS: (REPOTENCIACIÓN LINEA DE SUBTRANSMISIÓN SACHA-ORELLANA; INTERCONEXIÓN S/E TRANSELECTRIC JIVINO; APERTURA DE LA LÍNEA DE SUBTRANSMISIÓN JIVINO-LAGO AGRIO) (2)</t>
  </si>
  <si>
    <t>FISCALIZACIÓN DE LOS PROCESOS (REFORZAMIENTO DE REDES RED TRIFASICA TARAPOA-LA “Y” DE CUYABENO, REFORZAMIENTO DE REDES EN EL SECTOR DE PACAYACU - LA GUARAPERA ) (1)</t>
  </si>
  <si>
    <t>FISCALIZACIÓN DE LOS PROCESOS (REFORZAMIENTO DE REDES RED TRIFASICA TARAPOA-LA “Y” DE CUYABENO, REFORZAMIENTO DE REDES EN EL SECTOR DE PACAYACU - LA GUARAPERA ) (2)</t>
  </si>
  <si>
    <t>MERNNR</t>
  </si>
  <si>
    <t>(CORPORATIVO 8)</t>
  </si>
  <si>
    <t>PRESUPUESTO REFORMADO SEGÚN CONSTA EN LA CAN/CEC-341/2019 DE  29 de marzo de 2019, en respuesta al Oficio Nro.MERNNR-DEGTODEE-2019-0030-OF del 27 de marzo de 2019.</t>
  </si>
  <si>
    <t>BID2-RSND-EERSA-ST-BI-001</t>
  </si>
  <si>
    <t>ADQUISICIÓN DE TRES CARGADORES DE BATERÍAS PARA LAS SUBESTACIONES Nº 01, Nº 07, Nº 10</t>
  </si>
  <si>
    <t>REPOTENCIACIÓN DE LÍNEAS Y CENTROS DE TRANSFORMACIÓN COMUNIDAD GUANTUL GRANDE - FLORES</t>
  </si>
  <si>
    <t>REPOTENCIACIÓN DE REDES DE DISTRIBUCIÓN COMUNIDAD TAMAUTE</t>
  </si>
  <si>
    <t>REPOTENCIACIÓN DE REDES DE DISTRIBUCIÓN COMUNIDAD PUNGAL SAN PEDRO</t>
  </si>
  <si>
    <t>REPOTENCIACIÓN DE REDES COMUNIDAD PUNGAL SANTA MARIANITA, LA MATRIZ</t>
  </si>
  <si>
    <t xml:space="preserve">MONTO SIN IVA (USD) FINANCIAMIENTO RECURSOS PROPIOS </t>
  </si>
  <si>
    <t>REQUERIMIENTO: Oficio Nro.EEQ-GG-2018-1067 ...RESPUESTA: Oficio Nro.MERNNR-SDCEE-2018-0248-OF del 14 de noviembre de 2018</t>
  </si>
  <si>
    <t>MONTO SIN IVA (USD) FINANCIAMIENTO RECURSOS BID</t>
  </si>
  <si>
    <t>BID2-RSND-ELEPCO-ST-BI-005</t>
  </si>
  <si>
    <t>ADQUISICION DE PARARRAYOS 69 KV</t>
  </si>
  <si>
    <t>PLAN DE ADQUISICIÓN:  VALOR  DE IVA (RECURSOS FISCALES)</t>
  </si>
  <si>
    <t>PLAN DE ADQUISICIÓN:  VALOR  DE IVA (RECURSOS PROPIOS)</t>
  </si>
  <si>
    <t>% DE AVANCE FÍSICO PROYECTO  A Enero 2019</t>
  </si>
  <si>
    <t>% DE AVANCE FÍSICO PROYECTO  A Febrero 2019</t>
  </si>
  <si>
    <t>% DE AVANCE FÍSICO PROYECTO  A Marzo 2019</t>
  </si>
  <si>
    <t>% DE AVANCE FÍSICO PROYECTO  A Abril 2019</t>
  </si>
  <si>
    <t>% DE AVANCE FÍSICO PROYECTO  A Mayo 2019</t>
  </si>
  <si>
    <t>ACOMPAÑAMIENTO PARA EL PROCESO PRECONTRACTUAL Y CONTRACTUAL PARA LA IMPLANTACIÓN DEL AMI</t>
  </si>
  <si>
    <t>Total _C1</t>
  </si>
  <si>
    <t>Valor liquidado
USD (sin IVA)</t>
  </si>
  <si>
    <t>Observaciones Junio 2019</t>
  </si>
  <si>
    <t>Liquidado Mayo 2019</t>
  </si>
  <si>
    <t>Subestación inaugurada. Falta liquidar</t>
  </si>
  <si>
    <t>Obra concluida. Con problmeas en pago de indemnizaciones que impiden desbroce y energización de la línea.</t>
  </si>
  <si>
    <t>Liquidado en febrero de 2019</t>
  </si>
  <si>
    <t>En las fiscalizaciones FI-CI-007;FI-CI-007 y FI-CI-008, que son proyectos nuevos a 2017, no se definieron valores individuales en el PINV. Sin embargo fueron contratadas individualmente. En tal virtud los valores liquidados se sumaron en un solo item para poder obtener los saldos.</t>
  </si>
  <si>
    <t>Subestación inaugurada. Falta liquidar contrato principal y complementario.</t>
  </si>
  <si>
    <t>Por liquidar</t>
  </si>
  <si>
    <t>por liquidar</t>
  </si>
  <si>
    <t>Esta obra tuvo un contrato complementario, los valores pagados corresponden a la suma de los valores pagados del contrato principal más los del complementario.  
Valor final pagado: USD 39.711,06
El último valor pagado es de 31 enero de 2019 y dice pago final complementario</t>
  </si>
  <si>
    <t>NO?</t>
  </si>
  <si>
    <t>Pago final en 10 enero de 2019</t>
  </si>
  <si>
    <t xml:space="preserve">Pago final en mayo 2019 que corresponde a 2do pago de complementario 100% avance. No se sabe si está o no liquidado. Se verificó avance de 100% en campo. </t>
  </si>
  <si>
    <t>no pagan planilla todavía. En liquidación</t>
  </si>
  <si>
    <t>no pagan planillas</t>
  </si>
  <si>
    <t>no pagan planilla 4</t>
  </si>
  <si>
    <t>no pagan planillas 3 y 4</t>
  </si>
  <si>
    <t>Liquidado 12-mar-2019</t>
  </si>
  <si>
    <t>Pagada planilla 3/4 en 30- Abril-2019</t>
  </si>
  <si>
    <t>Pagada planilla 3/4 en julio 2018</t>
  </si>
  <si>
    <t>Pagado planilla 3/4 el 5-dic-2018</t>
  </si>
  <si>
    <t>No?</t>
  </si>
  <si>
    <t xml:space="preserve">Pagos suman el valor contratado, pero no se reporta como finalizado el proceso. </t>
  </si>
  <si>
    <t>Liquidado 31-may-2019</t>
  </si>
  <si>
    <t xml:space="preserve">Falta liquidar </t>
  </si>
  <si>
    <t xml:space="preserve">Solo reportan 1 pago de 3, falta liquidar </t>
  </si>
  <si>
    <t>Solo reportan un pago de 2 previstos, falta liquidar</t>
  </si>
  <si>
    <t>Lote 2, pagado en mayo 2018 $24016,32</t>
  </si>
  <si>
    <t>Liquidado lote 3. el 25/10/2018</t>
  </si>
  <si>
    <t>BID2-RSND-EERSA-DI-OB-006</t>
  </si>
  <si>
    <t>BID2-RSND-EERSA-DI-OB-003</t>
  </si>
  <si>
    <t>BID2-RSND-EERSA-DI-OB-004</t>
  </si>
  <si>
    <t>BID2-RSND-EERSA-DI-OB-005</t>
  </si>
  <si>
    <t>BID2-RSND-EECS-AU-FC-003</t>
  </si>
  <si>
    <t>Total _C2</t>
  </si>
  <si>
    <t>(Todas)</t>
  </si>
  <si>
    <t>PLAN DE INV. USD</t>
  </si>
  <si>
    <t>Ing. María Belén Quezada</t>
  </si>
  <si>
    <t>Este contrato se entregaron el informe el 26-jun-2019.</t>
  </si>
  <si>
    <t>(en blanco)</t>
  </si>
  <si>
    <t>(Varios elementos)</t>
  </si>
  <si>
    <t>Por publicar en julio de 2019</t>
  </si>
  <si>
    <t>Pendiente temario</t>
  </si>
  <si>
    <t>Pendiente términos de referencia</t>
  </si>
  <si>
    <t>Por contratar en julio de 2019</t>
  </si>
  <si>
    <t>TDR listos, trabjan en pliegos</t>
  </si>
  <si>
    <t>BID2-RSND-ELEPCO-AU-ST-OB-003</t>
  </si>
  <si>
    <t>Liquidado Junio 2019</t>
  </si>
  <si>
    <t>% DE AVANCE FÍSICO PROYECTO  A Junio 2019</t>
  </si>
  <si>
    <t>ok</t>
  </si>
  <si>
    <t>Termina a mediados de Agosto de 2019</t>
  </si>
  <si>
    <t>Pagada planilla 3/4 el 22-may-2019. Falta pagar última planilla.</t>
  </si>
  <si>
    <t>Se solucionn problemas con CENTROSUR. Se presenta cronograma de trabajo. Obra finaliza a mediados de Octubre de 2019.</t>
  </si>
  <si>
    <t xml:space="preserve"> SISTEMA DE ILUMINACIÓN DE EMERGENCIA PORTATIL</t>
  </si>
  <si>
    <t>ee</t>
  </si>
  <si>
    <t>Saldo</t>
  </si>
  <si>
    <t xml:space="preserve">Las obras n se hiciron completas porque CNEL hizo con recursos propios. </t>
  </si>
  <si>
    <t>Liuidado en maarzo de 2018</t>
  </si>
  <si>
    <t>Lote 1, pagado  en diciembre  2018 - $31035,52</t>
  </si>
  <si>
    <t>Suma de Saldo</t>
  </si>
  <si>
    <t>Suma de Saldo 3494/CH-EC</t>
  </si>
  <si>
    <t>Suma de Saldo 3494/OC-EC</t>
  </si>
  <si>
    <t>Total Suma de Saldo</t>
  </si>
  <si>
    <t>Suma de MONTO SIN IVA (USD) FINANCIAMIENTO RECURSOS PROPIOS  3494/CH-EC</t>
  </si>
  <si>
    <t>Suma de MONTO SIN IVA (USD) FINANCIAMIENTO RECURSOS PROPIOS  3494/OC-EC</t>
  </si>
  <si>
    <t xml:space="preserve">Total Suma de MONTO SIN IVA (USD) FINANCIAMIENTO RECURSOS PROPIOS </t>
  </si>
  <si>
    <t xml:space="preserve">Suma de MONTO SIN IVA (USD) FINANCIAMIENTO RECURSOS PROPIOS </t>
  </si>
  <si>
    <t>BID2-RSND-EEQ-RI-BI-001</t>
  </si>
  <si>
    <t>Posible complementario</t>
  </si>
  <si>
    <t>No se ha reportado en matriz de pagos</t>
  </si>
  <si>
    <t>Se liquidan rubros ejecutados por USD 119.807,01, y se firma un contrato omplementario el 13 de junio de 2019 por USD 20.339,86. lo cual da un total de USD 140.146,87  que será el valor total de la obra que termina en 28 días adicionales, no se entrega todavía anticipo
La obra se encontraba paralizada se solicitó levantamiento de suspensión de los trabajos el día 24/junio/2019. Se Reporta de la CNE UN GYE que tienen problemas con supensiones de servicio y no se pueden tender algunos tramos de conductor.</t>
  </si>
  <si>
    <t>BID2-RSND-CNELESM-DI-OB-002</t>
  </si>
  <si>
    <t>BID2-RSND-CNELSTD-AU-OB-005</t>
  </si>
  <si>
    <t>BID2-RSND-CNELSUC-ST-BI-011</t>
  </si>
  <si>
    <t>BID2-RSND-ELEPCO-ST-OB-002</t>
  </si>
  <si>
    <t>21742,15 es el contrato complemtario que aún no esta pagado. 68907,42 saca del bid ii</t>
  </si>
  <si>
    <t>El 15 de mayo s firma Acta entrega recepción definitiva de la obra. 11109,76 por pagar</t>
  </si>
  <si>
    <t xml:space="preserve">BID2-RSND-CNELSTD-FI-CI-004 </t>
  </si>
  <si>
    <t xml:space="preserve">Lote 1 </t>
  </si>
  <si>
    <t>LOTE 2</t>
  </si>
  <si>
    <t>Lote 3</t>
  </si>
  <si>
    <t>10 de Agosto</t>
  </si>
  <si>
    <t>Santa Isabel</t>
  </si>
  <si>
    <t>Alimentador 5013</t>
  </si>
  <si>
    <t>Lote 1: REFORZAMIENTO DE SISTEMAS DE MEDICIÓN CONCENTRADA. ZONA NORTE</t>
  </si>
  <si>
    <t>Lote 2: REFORZAMIENTO DE SISTEMAS DE MEDICIÓN CONCENTRADA. ZONA CENTRO</t>
  </si>
  <si>
    <t>Lote 3: REFORZAMIENTO DE SISTEMAS DE MEDICIÓN CONCENTRADA. ZONA SUR</t>
  </si>
  <si>
    <t>LOTE 1: PRIMARIO CUMBAYA 29D</t>
  </si>
  <si>
    <t>LOTE 2: PRIMARIO TABABELA 31A</t>
  </si>
  <si>
    <t>LOTE 3: PRIMARIO TUMBACO 36D</t>
  </si>
  <si>
    <t>Primario 55B</t>
  </si>
  <si>
    <t>Primario 57F</t>
  </si>
  <si>
    <t>Primario 58C</t>
  </si>
  <si>
    <t>Primario 58D</t>
  </si>
  <si>
    <t>Primario 57G</t>
  </si>
  <si>
    <t>Primario 23 C</t>
  </si>
  <si>
    <t>LST Tanicuchí Santa Ana alto</t>
  </si>
  <si>
    <t>LST Panzaleo Pujili</t>
  </si>
  <si>
    <t>C1: Guaytacama Tanicuchi</t>
  </si>
  <si>
    <t>C1: Mulalo-Chinchil Villamarín-Jose Guango Bajo</t>
  </si>
  <si>
    <t>C1:Tanicuchí La Floresta La Floresta Sur</t>
  </si>
  <si>
    <t>C2: San Marcos-Alaquez Centro</t>
  </si>
  <si>
    <t>C2:Bethemitas-Puente de Iluchi</t>
  </si>
  <si>
    <t>C2:Macalo Chico-Macalo Grande, Tanicuchi-Santa Ana Bajo</t>
  </si>
  <si>
    <t>C3: SE Móvil-Salcedo-Alimentador EEASA-SE Salcedo</t>
  </si>
  <si>
    <t xml:space="preserve">C3: Salcedo-Anchiliví, La Laguna-San Francisco </t>
  </si>
  <si>
    <t>C3: José Guango Bajo-Barrancas, Chugchilán-El Chan</t>
  </si>
  <si>
    <t>Subestación Huancavilca</t>
  </si>
  <si>
    <t>Derivación o TAP para alimentar SE Huancavilca</t>
  </si>
  <si>
    <t>Subestación Mi Lote</t>
  </si>
  <si>
    <t>Derivación o Tap para alimentar la SE Mi Lote</t>
  </si>
  <si>
    <t>Subestación Guasmo 3</t>
  </si>
  <si>
    <t>Derivación o TAP para alimentar a SE Guasmo 3</t>
  </si>
  <si>
    <t>Alimentadora Guasmo 8</t>
  </si>
  <si>
    <t>Alimentadora Guasmo 9</t>
  </si>
  <si>
    <t>Alimentadora Guasmo 10</t>
  </si>
  <si>
    <t>SE Palenque</t>
  </si>
  <si>
    <t>SE Vinces</t>
  </si>
  <si>
    <t>SE Ercilia</t>
  </si>
  <si>
    <t>Redes Ventanas</t>
  </si>
  <si>
    <t>Redes Hcda. Bonita-Los Ángeles-Tabaquera</t>
  </si>
  <si>
    <t>Fiscalización Catarama-Pijullo-Potosí</t>
  </si>
  <si>
    <t>Fiscalización Guare-San Antonio</t>
  </si>
  <si>
    <t>Fiscalización Caracol-La Unión</t>
  </si>
  <si>
    <t>Fiscalización Ventanas</t>
  </si>
  <si>
    <t>Fiscalización HCDA- BONITA - T - LOS ANGELES - LA TABAQUERA</t>
  </si>
  <si>
    <t>Fiscalización ampliaciones menores</t>
  </si>
  <si>
    <t>Fiscaización Palenque</t>
  </si>
  <si>
    <t>Fiscalización Vinces</t>
  </si>
  <si>
    <t>Fiscalización Ercilia</t>
  </si>
  <si>
    <t>Fisclaización Cambio de estructuras líneas de subtransmisión</t>
  </si>
  <si>
    <t>Alimentadores Jaramijó</t>
  </si>
  <si>
    <t>Alimentadores Manta 3</t>
  </si>
  <si>
    <t>Alimentadores Montecristi 2</t>
  </si>
  <si>
    <t>SE Lodana</t>
  </si>
  <si>
    <t>Fiscalización Alimentadores Jaramijó</t>
  </si>
  <si>
    <t>Fiscalización Alimentadores Manta 3</t>
  </si>
  <si>
    <t>Fiscalización Alimentadores Montecristi 2</t>
  </si>
  <si>
    <t>SE Playa Prieta</t>
  </si>
  <si>
    <t>SE Barranco Colorado</t>
  </si>
  <si>
    <t>Fiscalización SE Montecristi 1</t>
  </si>
  <si>
    <t>Fiscalización SE Lodana</t>
  </si>
  <si>
    <t>Fiscalización SE Playa Prieta</t>
  </si>
  <si>
    <t>Fiscalización SE Barranco Colorado</t>
  </si>
  <si>
    <t>Zona Norte Manabí</t>
  </si>
  <si>
    <t>Zona Norte Manaabí, compromiso presidencial</t>
  </si>
  <si>
    <t>Item 1</t>
  </si>
  <si>
    <t>Item 2</t>
  </si>
  <si>
    <t>Item 3</t>
  </si>
  <si>
    <t>Item 7</t>
  </si>
  <si>
    <t>Item 5</t>
  </si>
  <si>
    <t>Item 6</t>
  </si>
  <si>
    <t>Item 4</t>
  </si>
  <si>
    <t>BID2-RSND-ELEPCO-DI-OB-010</t>
  </si>
  <si>
    <t xml:space="preserve">REMODELACIÓN DE RED EN LOS BARRIOS: MARÍA JACINTA; ONCE DE NOVIEMBRE-POALO; SAN JOSE Y EL TEJAR-LA VICTORIA; CHOSOALO-CHUGCHILLAN; SAN FRANCISCO DE CHIPE; UNION/PROGRESO Y SANTA ROSA MORASPUNGO; MIÑO SAN ANTONIO-PASTOCALLE; SAN LUIS-MULALILLO </t>
  </si>
  <si>
    <t>REMODELACIÓN RED SECTOR ONCE DE NOVIEMBRE; POALO</t>
  </si>
  <si>
    <t>REFORZAMIENTO DE RED EN SAN JOSÉ Y EL TEJAR; LA VICTORIA</t>
  </si>
  <si>
    <t>REMODELACIÓN RED BARRIO MARÍA JACINTA, SAN BUENAVENTURA</t>
  </si>
  <si>
    <t>REMODELACIÓN DE RED CHOSOALO; CHUGCHILAN</t>
  </si>
  <si>
    <t xml:space="preserve">REMODELACIÓN DE RED EN LOS BARRIOS: MARÍA JACINTA; ONCE DE NOVIEMBRE-POALO; SAN JOSE Y EL TEJAR-LA VICTORIA; CHOSOALO-CHUGCHILAN; SAN FRANCISCO DE CHIPE; UNION/PROGRESO Y SANTA ROSA MORASPUNGO; MIÑO SAN ANTONIO-PASTOCALLE; SAN LUIS-MULALILLO </t>
  </si>
  <si>
    <t>REFORZAMIENTO RED DE DISTRIBUCIÓN EN SAN FRANCISCO DE CHIPE UNION/PROGRESO Y SANTA ROSA DE MORASPUNGO</t>
  </si>
  <si>
    <t>REMODELACIÓN RED BARRIO MIÑO SAN ANTONIO; PASTOCALLE</t>
  </si>
  <si>
    <t>REFORZAMIENTO RED BARRIO SAN LUIS; MULALILLO</t>
  </si>
  <si>
    <t>REVISAR EL CODIGO DEL PROCESO ELEPCO LO TIENE COMO BID2-RSND-ELEPCO-AU-OB-002</t>
  </si>
  <si>
    <t>Pago 4/4 - planilla 3 - 26,35%</t>
  </si>
  <si>
    <t>ESTE PROCESO ESTA PUBLICADO CON "BID2-RSND-EERSSA-AU-OB-003", ESTO FUE OBSERVADO POR LA AUDITORIA FINANCIERTO DE E&amp;Y</t>
  </si>
  <si>
    <r>
      <t>BID2-RSND-EEAZ-FI-CI-00</t>
    </r>
    <r>
      <rPr>
        <b/>
        <sz val="8"/>
        <rFont val="Calibri"/>
        <family val="2"/>
        <scheme val="minor"/>
      </rPr>
      <t>4</t>
    </r>
  </si>
  <si>
    <r>
      <t>BID2-RSND-EEAZ-FI-CI-00</t>
    </r>
    <r>
      <rPr>
        <b/>
        <sz val="8"/>
        <rFont val="Calibri"/>
        <family val="2"/>
        <scheme val="minor"/>
      </rPr>
      <t>5</t>
    </r>
  </si>
  <si>
    <r>
      <t>BID2-RSND-EEAZ-FI-CI-00</t>
    </r>
    <r>
      <rPr>
        <b/>
        <sz val="8"/>
        <rFont val="Calibri"/>
        <family val="2"/>
        <scheme val="minor"/>
      </rPr>
      <t>8</t>
    </r>
  </si>
  <si>
    <t>121-AJ</t>
  </si>
  <si>
    <t>Primario 23C</t>
  </si>
  <si>
    <t>Año Finalización</t>
  </si>
  <si>
    <t>dic</t>
  </si>
  <si>
    <t>ago</t>
  </si>
  <si>
    <t>may</t>
  </si>
  <si>
    <t>sep</t>
  </si>
  <si>
    <t>jul</t>
  </si>
  <si>
    <t>PROVISÓN E INSTALACIÓN DE CABLES Y EQUIPOS DE COMUNICACIÓN</t>
  </si>
  <si>
    <t>Cancelado</t>
  </si>
  <si>
    <t>Ago</t>
  </si>
  <si>
    <t>oct</t>
  </si>
  <si>
    <t xml:space="preserve"> FISCALIZACIÓN PARA LAS SIGUIENTES SALIDAS: SUBESTACION PALENQUE (4), REPOTENCIACION ALIMENTADOR PALENQUE, SUBESTACIÓN VINCES, ALIMENTADORES S/E LA ERCILIA (EL GUINEO Y RCTO LA ERCILIA); VARIANTE LINEA TRIFASICA CATARAMA - PIJULLO - POTOSI; TRIFASEAMIENTO LINEA GUARE - SAN ANTONIO; LINEA TRIFASICA PARROQUIA CARACOL - PARROQUIA LA UNION; REPOTENCIACIÓN DE LA RED DE DISTRIBUCIÓN EN LA ZONA URBANA DEL CANTON VENTANAS; TRIFASEAMIENTO LINEA HCDA- BONITA - T - LOS ANGELES - LA TABAQUERA (1)</t>
  </si>
  <si>
    <t xml:space="preserve"> FISCALIZACIÓN PARA LAS SIGUIENTES SALIDAS: SUBESTACION PALENQUE (4), REPOTENCIACION ALIMENTADOR PALENQUE, SUBESTACIÓN VINCES, ALIMENTADORES S/E LA ERCILIA (EL GUINEO Y RCTO LA ERCILIA); VARIANTE LINEA TRIFASICA CATARAMA - PIJULLO - POTOSI; TRIFASEAMIENTO LINEA GUARE - SAN ANTONIO; LINEA TRIFASICA PARROQUIA CARACOL - PARROQUIA LA UNION; REPOTENCIACIÓN DE LA RED DE DISTRIBUCIÓN EN LA ZONA URBANA DEL CANTON VENTANAS; TRIFASEAMIENTO LINEA HCDA- BONITA - T - LOS ANGELES - LA TABAQUERA (2)</t>
  </si>
  <si>
    <t xml:space="preserve"> FISCALIZACIÓN PARA LAS SIGUIENTES SALIDAS: SUBESTACION PALENQUE (4), REPOTENCIACION ALIMENTADOR PALENQUE, SUBESTACIÓN VINCES, ALIMENTADORES S/E LA ERCILIA (EL GUINEO Y RCTO LA ERCILIA); VARIANTE LINEA TRIFASICA CATARAMA - PIJULLO - POTOSI; TRIFASEAMIENTO LINEA GUARE - SAN ANTONIO; LINEA TRIFASICA PARROQUIA CARACOL - PARROQUIA LA UNION; REPOTENCIACIÓN DE LA RED DE DISTRIBUCIÓN EN LA ZONA URBANA DEL CANTON VENTANAS; TRIFASEAMIENTO LINEA HCDA- BONITA - T - LOS ANGELES - LA TABAQUERA (3)</t>
  </si>
  <si>
    <t xml:space="preserve"> FISCALIZACIÓN PARA LAS SIGUIENTES SALIDAS: SUBESTACION PALENQUE (4), REPOTENCIACION ALIMENTADOR PALENQUE, SUBESTACIÓN VINCES, ALIMENTADORES S/E LA ERCILIA (EL GUINEO Y RCTO LA ERCILIA); VARIANTE LINEA TRIFASICA CATARAMA - PIJULLO - POTOSI; TRIFASEAMIENTO LINEA GUARE - SAN ANTONIO; LINEA TRIFASICA PARROQUIA CARACOL - PARROQUIA LA UNION; REPOTENCIACIÓN DE LA RED DE DISTRIBUCIÓN EN LA ZONA URBANA DEL CANTON VENTANAS; TRIFASEAMIENTO LINEA HCDA- BONITA - T - LOS ANGELES - LA TABAQUERA (4)</t>
  </si>
  <si>
    <t xml:space="preserve"> FISCALIZACIÓN PARA LAS SIGUIENTES SALIDAS: SUBESTACION PALENQUE (4), REPOTENCIACION ALIMENTADOR PALENQUE, SUBESTACIÓN VINCES, ALIMENTADORES S/E LA ERCILIA (EL GUINEO Y RCTO LA ERCILIA); VARIANTE LINEA TRIFASICA CATARAMA - PIJULLO - POTOSI; TRIFASEAMIENTO LINEA GUARE - SAN ANTONIO; LINEA TRIFASICA PARROQUIA CARACOL - PARROQUIA LA UNION; REPOTENCIACIÓN DE LA RED DE DISTRIBUCIÓN EN LA ZONA URBANA DEL CANTON VENTANAS; TRIFASEAMIENTO LINEA HCDA- BONITA - T - LOS ANGELES - LA TABAQUERA (5)</t>
  </si>
  <si>
    <t xml:space="preserve"> FISCALIZACIÓN PARA LAS SIGUIENTES SALIDAS: SUBESTACION PALENQUE (4), REPOTENCIACION ALIMENTADOR PALENQUE, SUBESTACIÓN VINCES, ALIMENTADORES S/E LA ERCILIA (EL GUINEO Y RCTO LA ERCILIA); VARIANTE LINEA TRIFASICA CATARAMA - PIJULLO - POTOSI; TRIFASEAMIENTO LINEA GUARE - SAN ANTONIO; LINEA TRIFASICA PARROQUIA CARACOL - PARROQUIA LA UNION; REPOTENCIACIÓN DE LA RED DE DISTRIBUCIÓN EN LA ZONA URBANA DEL CANTON VENTANAS; TRIFASEAMIENTO LINEA HCDA- BONITA - T - LOS ANGELES - LA TABAQUERA (6)</t>
  </si>
  <si>
    <t xml:space="preserve"> FISCALIZACIÓN PARA LAS SIGUIENTES SALIDAS: SUBESTACION PALENQUE (4), REPOTENCIACION ALIMENTADOR PALENQUE, SUBESTACIÓN VINCES, ALIMENTADORES S/E LA ERCILIA (EL GUINEO Y RCTO LA ERCILIA); VARIANTE LINEA TRIFASICA CATARAMA - PIJULLO - POTOSI; TRIFASEAMIENTO LINEA GUARE - SAN ANTONIO; LINEA TRIFASICA PARROQUIA CARACOL - PARROQUIA LA UNION; REPOTENCIACIÓN DE LA RED DE DISTRIBUCIÓN EN LA ZONA URBANA DEL CANTON VENTANAS; TRIFASEAMIENTO LINEA HCDA- BONITA - T - LOS ANGELES - LA TABAQUERA (7)</t>
  </si>
  <si>
    <t xml:space="preserve"> FISCALIZACIÓN PARA LAS SIGUIENTES SALIDAS: SUBESTACION PALENQUE (4), REPOTENCIACION ALIMENTADOR PALENQUE, SUBESTACIÓN VINCES, ALIMENTADORES S/E LA ERCILIA (EL GUINEO Y RCTO LA ERCILIA); VARIANTE LINEA TRIFASICA CATARAMA - PIJULLO - POTOSI; TRIFASEAMIENTO LINEA GUARE - SAN ANTONIO; LINEA TRIFASICA PARROQUIA CARACOL - PARROQUIA LA UNION; REPOTENCIACIÓN DE LA RED DE DISTRIBUCIÓN EN LA ZONA URBANA DEL CANTON VENTANAS; TRIFASEAMIENTO LINEA HCDA- BONITA - T - LOS ANGELES - LA TABAQUERA (8)</t>
  </si>
  <si>
    <t xml:space="preserve"> FISCALIZACIÓN PARA LAS SIGUIENTES SALIDAS: SUBESTACION PALENQUE (4), REPOTENCIACION ALIMENTADOR PALENQUE, SUBESTACIÓN VINCES, ALIMENTADORES S/E LA ERCILIA (EL GUINEO Y RCTO LA ERCILIA); VARIANTE LINEA TRIFASICA CATARAMA - PIJULLO - POTOSI; TRIFASEAMIENTO LINEA GUARE - SAN ANTONIO; LINEA TRIFASICA PARROQUIA CARACOL - PARROQUIA LA UNION; REPOTENCIACIÓN DE LA RED DE DISTRIBUCIÓN EN LA ZONA URBANA DEL CANTON VENTANAS; TRIFASEAMIENTO LINEA HCDA- BONITA - T - LOS ANGELES - LA TABAQUERA (9)</t>
  </si>
  <si>
    <r>
      <rPr>
        <b/>
        <sz val="8"/>
        <rFont val="Calibri"/>
        <family val="2"/>
        <scheme val="minor"/>
      </rPr>
      <t xml:space="preserve"> </t>
    </r>
    <r>
      <rPr>
        <sz val="8"/>
        <rFont val="Calibri"/>
        <family val="2"/>
        <scheme val="minor"/>
      </rPr>
      <t>SOCIALIZADOR DE LA UNIDAD DE NEGOCIO SUCUMBíOS PARA LOS PROYECTOS DEL PROGRAMA DE REFORZAMIENTO DEL SISTEMA NACIONAL DE DISTRIBUCIÓN (1)</t>
    </r>
  </si>
  <si>
    <r>
      <rPr>
        <b/>
        <sz val="8"/>
        <rFont val="Calibri"/>
        <family val="2"/>
        <scheme val="minor"/>
      </rPr>
      <t xml:space="preserve"> </t>
    </r>
    <r>
      <rPr>
        <sz val="8"/>
        <rFont val="Calibri"/>
        <family val="2"/>
        <scheme val="minor"/>
      </rPr>
      <t>SOCIALIZADOR DE LA UNIDAD DE NEGOCIO SUCUMBíOS PARA LOS PROYECTOS DEL PROGRAMA DE REFORZAMIENTO DEL SISTEMA NACIONAL DE DISTRIBUCIÓN (2)</t>
    </r>
  </si>
  <si>
    <r>
      <rPr>
        <b/>
        <sz val="8"/>
        <rFont val="Calibri"/>
        <family val="2"/>
        <scheme val="minor"/>
      </rPr>
      <t xml:space="preserve"> </t>
    </r>
    <r>
      <rPr>
        <sz val="8"/>
        <rFont val="Calibri"/>
        <family val="2"/>
        <scheme val="minor"/>
      </rPr>
      <t>SOCIALIZADOR DE LA UNIDAD DE NEGOCIO SUCUMBíOS PARA LOS PROYECTOS DEL PROGRAMA DE REFORZAMIENTO DEL SISTEMA NACIONAL DE DISTRIBUCIÓN (3)</t>
    </r>
  </si>
  <si>
    <r>
      <rPr>
        <b/>
        <sz val="8"/>
        <rFont val="Calibri"/>
        <family val="2"/>
        <scheme val="minor"/>
      </rPr>
      <t xml:space="preserve"> </t>
    </r>
    <r>
      <rPr>
        <sz val="8"/>
        <rFont val="Calibri"/>
        <family val="2"/>
        <scheme val="minor"/>
      </rPr>
      <t>SOCIALIZADOR DE LA UNIDAD DE NEGOCIO SUCUMBíOS PARA LOS PROYECTOS DEL PROGRAMA DE REFORZAMIENTO DEL SISTEMA NACIONAL DE DISTRIBUCIÓN (4)</t>
    </r>
  </si>
  <si>
    <r>
      <rPr>
        <b/>
        <sz val="8"/>
        <rFont val="Calibri"/>
        <family val="2"/>
        <scheme val="minor"/>
      </rPr>
      <t xml:space="preserve"> </t>
    </r>
    <r>
      <rPr>
        <sz val="8"/>
        <rFont val="Calibri"/>
        <family val="2"/>
        <scheme val="minor"/>
      </rPr>
      <t>SOCIALIZADOR DE LA UNIDAD DE NEGOCIO SUCUMBíOS PARA LOS PROYECTOS DEL PROGRAMA DE REFORZAMIENTO DEL SISTEMA NACIONAL DE DISTRIBUCIÓN (5)</t>
    </r>
  </si>
  <si>
    <r>
      <rPr>
        <b/>
        <sz val="8"/>
        <rFont val="Calibri"/>
        <family val="2"/>
        <scheme val="minor"/>
      </rPr>
      <t xml:space="preserve"> </t>
    </r>
    <r>
      <rPr>
        <sz val="8"/>
        <rFont val="Calibri"/>
        <family val="2"/>
        <scheme val="minor"/>
      </rPr>
      <t>SOCIALIZADOR DE LA UNIDAD DE NEGOCIO SUCUMBíOS PARA LOS PROYECTOS DEL PROGRAMA DE REFORZAMIENTO DEL SISTEMA NACIONAL DE DISTRIBUCIÓN (6)</t>
    </r>
  </si>
  <si>
    <t>FISCALIZACIÓN CONSTRUCCIÓN ALIMENTADOR LA SEXTA</t>
  </si>
  <si>
    <t>ADQUISICIÓN E INSTALACIÓN DE RECONECTADORES PARA PROTECCIÓN, CONTROL Y AUTOMATIZACIÓN DE LOS ALIMENTADORES URBANOS DE LA CIUDAD DE CUENCA (ALIMENTADORES 0204, 0205, 0321, 0324, 0421, 0422, 0423, 0424, 0425, 0426, 0427, 0526) Y (ALIMENTADORES 0322, 0323, 0104, 0325, 0522, 0821,0822, 0823,0824, 0721, 0722,0723)</t>
  </si>
  <si>
    <t>fil</t>
  </si>
  <si>
    <t>% DE AVANCE FÍSICO PROYECTO  A Julio 2019</t>
  </si>
  <si>
    <t>Liquidado Julio 2019</t>
  </si>
  <si>
    <t>PLAN DE INVERSIÓN</t>
  </si>
  <si>
    <t>PinvAvance</t>
  </si>
  <si>
    <t>Suma de PLAN DE INVERSIÓN</t>
  </si>
  <si>
    <t>Suma de PinvAvance</t>
  </si>
  <si>
    <t>Empresa</t>
  </si>
  <si>
    <t>Observaciones Julio 2019</t>
  </si>
  <si>
    <t>Posible saldo
julio2019</t>
  </si>
  <si>
    <t>% DE AVANCE FÍSICO PROYECTO  A Agosto 2019</t>
  </si>
  <si>
    <t>Liquidado Agosto 2019</t>
  </si>
  <si>
    <t>Se realizaron acuerdos con la Centrosur para en Octubre 2018 concluir la obra.</t>
  </si>
  <si>
    <t>Pinv</t>
  </si>
  <si>
    <t>Avance Pinv</t>
  </si>
  <si>
    <t>Avance %</t>
  </si>
  <si>
    <t>Observaciones Agosto 2019</t>
  </si>
  <si>
    <t>En la franja de terreno, detrás de VillaItalia, se continúa con actividades de relleno, se instalaron 4 estructuras de hormigón y se hicieron 2 excavaciones y armado para postes metálicos, de un total de 10 esturcturas (5 postes hormigón + 3 postes metálicos y 2 torres)</t>
  </si>
  <si>
    <t>Se coordinan acciones con la Empresa Centrosur para lograr la integración operativa entre las dos empresas.  Se indica que debe concluir máximo el 30 de septiembre</t>
  </si>
  <si>
    <t>CNEL</t>
  </si>
  <si>
    <t>Publicado</t>
  </si>
  <si>
    <t xml:space="preserve">LOTE 1: "INFRAESTRUCTURA DE MEDICiÓN AVANZADA - AMI BAJO ESTÁNDAR ANSI" </t>
  </si>
  <si>
    <t>% DE AVANCE FÍSICO PROYECTO  A Septiembre 2019</t>
  </si>
  <si>
    <t>Liquidado Septiembre 2019</t>
  </si>
  <si>
    <t>Observaciones Septiembre 2019</t>
  </si>
  <si>
    <t>No Objeción del BID</t>
  </si>
  <si>
    <t>LOTE 2: "INFRAESTRUCTURA DE MEDICiÓN AVANZADA - AMI BAJO ESTÁNDAR lEC".</t>
  </si>
  <si>
    <t xml:space="preserve">Se recibe mail de revisión del BID 
el 16 de septiembre de 2019 </t>
  </si>
  <si>
    <t>En espera de equipos de seccionamiento para energizar la obra</t>
  </si>
  <si>
    <t xml:space="preserve">En espera de suscripción del nuevo contrato complementario. </t>
  </si>
  <si>
    <t>El 3 de septiembre la EEAZ remite un oficio a Centrosur, pidiendo se concluya la obra hasta el 30 de Septiembre de 2019.</t>
  </si>
  <si>
    <t>% DE AVANCE FÍSICO PROYECTO  A Diciembre 2019</t>
  </si>
  <si>
    <t>Observaciones Diciembre 2019</t>
  </si>
  <si>
    <t>Obra conlcuida, en espera de ubicar equipo de seccionamiento de acuerdo a requerimientos de Operación</t>
  </si>
  <si>
    <t>En espera de Aval del MEF para suscripción de contrato complementario</t>
  </si>
  <si>
    <t>Obra concluida</t>
  </si>
  <si>
    <t>Obra en ejecución</t>
  </si>
  <si>
    <t>Obra en etapa inicial, apobación de piso técnico y malla de alta frecuencia</t>
  </si>
  <si>
    <t>En trámite de No Objeción formal del BID</t>
  </si>
  <si>
    <t>Proyecto que depende del de Provisión, instalación e integración de medidores</t>
  </si>
  <si>
    <t>En ejecución inicial</t>
  </si>
  <si>
    <t>Adjudicado</t>
  </si>
  <si>
    <t>En espera de ubicación final de seccionamiento</t>
  </si>
  <si>
    <t>Concluido</t>
  </si>
  <si>
    <t>Adjudicada a ECUAMBIENTE CONSULTING GROUP POR 43320,00 el 21 de noviembre de 2019</t>
  </si>
  <si>
    <t>CONVENIO 096/2019</t>
  </si>
  <si>
    <t>MASREC PROYECTOS E INGENIERÍA</t>
  </si>
  <si>
    <t>095/2019 (p)</t>
  </si>
  <si>
    <t>Hinojosa Ortiz Manuel Vinicio</t>
  </si>
  <si>
    <t>0400810263001</t>
  </si>
  <si>
    <t>Líneas y Redes Eléctricas del Centro LYREC CIA. LTDA.</t>
  </si>
  <si>
    <t>0690089734001</t>
  </si>
  <si>
    <t>Ing. Luis Alfredo Borja Saavedra (Administrador)
Ing. Luis Fernando Chávez Chávez</t>
  </si>
  <si>
    <t>Ing. Lina Elizabeth Basantes Basantes (Administradora)
Ing. Luis Fernando Chávez Chávez (Fiscalizador)</t>
  </si>
  <si>
    <t>0301512661001</t>
  </si>
  <si>
    <t>Pérez Reinoso Wilson Fernando</t>
  </si>
  <si>
    <t>Ing. Rodrigo Santiago Marcial Medina (Administrador) 
Ing. Luis Fernando Chávez Chávez (Fiscalizador)</t>
  </si>
  <si>
    <t>0991297480001</t>
  </si>
  <si>
    <t>Ing.  César Cepeda Arias (Administrador) 
Ing. Oscar Santiago Vásques Frutos (Técnico recepción de bienes)</t>
  </si>
  <si>
    <t>Liquidado Diciembre 2019</t>
  </si>
  <si>
    <t>Pagado anticipo de 21.000, se espera registrar avance en cuanto lleguen equipos</t>
  </si>
  <si>
    <t>CANCELADO</t>
  </si>
  <si>
    <t>BID2-RSND-EEQ-RI-SNC-013</t>
  </si>
  <si>
    <t>BID2-RSND-EEQ-RI-SNC-014</t>
  </si>
  <si>
    <t>DESIERTO</t>
  </si>
  <si>
    <t>BID2-RSND-EECS-AU-BI-004</t>
  </si>
  <si>
    <t>% DE AVANCE FÍSICO PROYECTO  A Enero 2020</t>
  </si>
  <si>
    <t>Liquidado Enero 2020</t>
  </si>
  <si>
    <t>Observaciones Enero 2020</t>
  </si>
  <si>
    <t>No se recibieron ofertas, declarado desierto</t>
  </si>
  <si>
    <t>BID2-RSND-ELEPCO-DI-OB-011</t>
  </si>
  <si>
    <t>REMODELACIÓN RED BARRIO  MARIA JACINTA, SAN BUENA AVENTURA</t>
  </si>
  <si>
    <t>REMODELACIÓN RED SECTOR   ONCE DE NOVIEMBRE - POALO</t>
  </si>
  <si>
    <t>REFORZAMIENTO DE RED EN  SAN JOSÉ  Y EL TEJAR - LA VICTORIA</t>
  </si>
  <si>
    <t>REMODELACIÓN RED CHOSOALO - CHUGCHILAN</t>
  </si>
  <si>
    <t>REFORZAMIENTO DE RED DE DISTRIBUCIÓN EN  SAN FRANCISCO DE CHIPE UNION / PROGRESO Y SANTA ROSA MORASPUNGO</t>
  </si>
  <si>
    <t>REMODELACIÓN DE RED  BARRIO MIÑO SAN ANTONIO - PASTOCALLE</t>
  </si>
  <si>
    <t>REFORZAMIENTO RED BARRIO  SAN LUIS - MULALILLO</t>
  </si>
  <si>
    <t>REMODELACIÓN DE RED EN LOS BARRIOS: MARIA JACINTA; ONCE DE NOVIEMBRE - POALO; SAN JOSÉ Y EL TEJAR - LA VICTORIA; CHOSOALO - CHUGCHILAN ; SAN FRANCISCO DE CHIPE; UNION / PROGRESO Y SANTA ROSA MORASPUNGO; MIÑO SAN ANTONIO - PASTOCALLE; SAN LUIS - MULALILLO</t>
  </si>
  <si>
    <t>AUDITORÍA DE LOS ESTADOS FINANCIEROS DE PROPÓSITO ESPECIAL DEL PROGRAMA DE REFORZAMIENTO DEL SISTEMA NACIONAL DE DISTRIBUCIÓN ELÉCTRICA DEL ECUADOR II, CONTRATOS No.3494/OC-EC Y 3494/CH-EC FINANCIADOS POR EL BID. PERIODO 2019.</t>
  </si>
  <si>
    <t>BID2-RSND-MEER-AF-DI-005</t>
  </si>
  <si>
    <t>AUDITORÍA DE LOS ESTADOS FINANCIEROS DE PROPÓSITO ESPECIAL DEL PROGRAMA DE REFORZAMIENTO DEL SISTEMA NACIONAL DE DISTRIBUCIÓN ELÉCTRICA DEL ECUADOR II, CONTRATOS No.3494/OC-EC Y 3494/CH-EC FINANCIADOS POR EL BID. PERIODO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</si>
</sst>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_(&quot;$&quot;\ * \(#,##0.00\);_(&quot;$&quot;\ * &quot;-&quot;??_);_(@_)"/>
    <numFmt numFmtId="43" formatCode="_(* #,##0.00_);_(* \(#,##0.00\);_(* &quot;-&quot;??_);_(@_)"/>
    <numFmt numFmtId="164" formatCode="_-* #,##0.00\ _€_-;\-* #,##0.00\ _€_-;_-* &quot;-&quot;??\ _€_-;_-@_-"/>
    <numFmt numFmtId="165" formatCode="_(&quot;$&quot;* #,##0.00_);_(&quot;$&quot;* \(#,##0.00\);_(&quot;$&quot;* &quot;-&quot;??_);_(@_)"/>
    <numFmt numFmtId="166" formatCode="[$-409]d\-mmm\-yy;@"/>
    <numFmt numFmtId="167" formatCode="[$-1580A]dd/mm/yyyy;@"/>
    <numFmt numFmtId="168" formatCode="yyyy/m/d;@"/>
    <numFmt numFmtId="169" formatCode="_-&quot;$&quot;* #,##0.00_-;\-&quot;$&quot;* #,##0.00_-;_-&quot;$&quot;* &quot;-&quot;??_-;_-@_-"/>
    <numFmt numFmtId="170" formatCode="_-* #,##0.00_-;\-* #,##0.00_-;_-* &quot;-&quot;??_-;_-@_-"/>
    <numFmt numFmtId="171" formatCode="_(* #,##0_);_(* \(#,##0\);_(* &quot;-&quot;??_);_(@_)"/>
    <numFmt numFmtId="172" formatCode="0.0%"/>
  </numFmts>
  <fonts count="54">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0"/>
      <name val="Arial"/>
      <family val="2"/>
    </font>
    <font>
      <sz val="8"/>
      <name val="Calibri"/>
      <family val="2"/>
      <scheme val="minor"/>
    </font>
    <font>
      <sz val="8"/>
      <color theme="1"/>
      <name val="Calibri"/>
      <family val="2"/>
      <scheme val="minor"/>
    </font>
    <font>
      <b/>
      <sz val="8"/>
      <name val="Calibri"/>
      <family val="2"/>
      <scheme val="minor"/>
    </font>
    <font>
      <sz val="9"/>
      <name val="Calibri"/>
      <family val="2"/>
      <scheme val="minor"/>
    </font>
    <font>
      <sz val="11"/>
      <name val="Calibri"/>
      <family val="2"/>
      <scheme val="minor"/>
    </font>
    <font>
      <b/>
      <sz val="9"/>
      <color indexed="81"/>
      <name val="Tahoma"/>
      <family val="2"/>
    </font>
    <font>
      <sz val="9"/>
      <color indexed="81"/>
      <name val="Tahoma"/>
      <family val="2"/>
    </font>
    <font>
      <b/>
      <sz val="14"/>
      <name val="Arial"/>
      <family val="2"/>
    </font>
    <font>
      <sz val="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scheme val="minor"/>
    </font>
    <font>
      <b/>
      <sz val="10"/>
      <color rgb="FF7030A0"/>
      <name val="Arial"/>
      <family val="2"/>
    </font>
    <font>
      <sz val="10"/>
      <name val="Cambria"/>
      <family val="1"/>
      <scheme val="major"/>
    </font>
    <font>
      <sz val="12"/>
      <name val="Cambria"/>
      <family val="1"/>
      <scheme val="major"/>
    </font>
    <font>
      <sz val="10"/>
      <color rgb="FF00B050"/>
      <name val="Arial"/>
      <family val="2"/>
    </font>
    <font>
      <u/>
      <sz val="11"/>
      <color theme="10"/>
      <name val="Calibri"/>
      <family val="2"/>
    </font>
    <font>
      <sz val="11"/>
      <name val="Cambria"/>
      <family val="1"/>
      <scheme val="major"/>
    </font>
    <font>
      <sz val="9"/>
      <name val="Cambria"/>
      <family val="1"/>
      <scheme val="major"/>
    </font>
    <font>
      <sz val="10"/>
      <name val="Cambria"/>
      <family val="2"/>
      <scheme val="major"/>
    </font>
    <font>
      <b/>
      <sz val="10"/>
      <name val="Cambria"/>
      <family val="1"/>
      <scheme val="major"/>
    </font>
    <font>
      <sz val="9"/>
      <name val="Swis721 LtCn BT"/>
      <family val="2"/>
    </font>
    <font>
      <sz val="10"/>
      <name val="Swis721 LtCn BT"/>
      <family val="2"/>
    </font>
    <font>
      <sz val="11"/>
      <color theme="1"/>
      <name val="Calibri"/>
      <family val="2"/>
    </font>
    <font>
      <b/>
      <i/>
      <sz val="11"/>
      <color rgb="FF000000"/>
      <name val="Calibri"/>
      <family val="2"/>
    </font>
    <font>
      <b/>
      <sz val="11"/>
      <color theme="1"/>
      <name val="Calibri"/>
      <family val="2"/>
      <scheme val="minor"/>
    </font>
    <font>
      <sz val="11"/>
      <name val="Calibri"/>
      <family val="2"/>
    </font>
    <font>
      <sz val="26"/>
      <name val="Wingdings"/>
      <charset val="2"/>
    </font>
    <font>
      <sz val="8"/>
      <name val="Cambria"/>
      <family val="1"/>
      <scheme val="major"/>
    </font>
    <font>
      <sz val="10"/>
      <name val="Calibri"/>
      <family val="2"/>
      <scheme val="minor"/>
    </font>
    <font>
      <sz val="8"/>
      <name val="Arial Narrow"/>
      <family val="2"/>
    </font>
    <font>
      <sz val="8"/>
      <name val="Arial"/>
      <family val="2"/>
    </font>
    <font>
      <b/>
      <i/>
      <sz val="11"/>
      <color theme="1"/>
      <name val="Calibri"/>
      <family val="2"/>
      <scheme val="minor"/>
    </font>
    <font>
      <sz val="9"/>
      <name val="Arial"/>
      <family val="2"/>
    </font>
  </fonts>
  <fills count="31">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66FF33"/>
        <bgColor indexed="64"/>
      </patternFill>
    </fill>
    <fill>
      <patternFill patternType="solid">
        <fgColor rgb="FFFFC000"/>
        <bgColor indexed="64"/>
      </patternFill>
    </fill>
    <fill>
      <patternFill patternType="solid">
        <fgColor rgb="FFC5D9F1"/>
        <bgColor rgb="FF000000"/>
      </patternFill>
    </fill>
    <fill>
      <patternFill patternType="solid">
        <fgColor theme="3" tint="0.79998168889431442"/>
        <bgColor indexed="64"/>
      </patternFill>
    </fill>
    <fill>
      <patternFill patternType="solid">
        <fgColor theme="4" tint="0.79998168889431442"/>
        <bgColor theme="4" tint="0.79998168889431442"/>
      </patternFill>
    </fill>
  </fills>
  <borders count="61">
    <border>
      <left/>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theme="4" tint="0.3999755851924192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871">
    <xf numFmtId="0" fontId="0" fillId="0" borderId="0"/>
    <xf numFmtId="43" fontId="1" fillId="0" borderId="0" applyFont="0" applyFill="0" applyBorder="0" applyAlignment="0" applyProtection="0"/>
    <xf numFmtId="165" fontId="1" fillId="0" borderId="0" applyFont="0" applyFill="0" applyBorder="0" applyAlignment="0" applyProtection="0"/>
    <xf numFmtId="166" fontId="3" fillId="0" borderId="0"/>
    <xf numFmtId="44" fontId="3" fillId="0" borderId="0" applyFont="0" applyFill="0" applyBorder="0" applyAlignment="0" applyProtection="0"/>
    <xf numFmtId="0" fontId="1" fillId="0" borderId="0"/>
    <xf numFmtId="44" fontId="1" fillId="0" borderId="0" applyFont="0" applyFill="0" applyBorder="0" applyAlignment="0" applyProtection="0"/>
    <xf numFmtId="0" fontId="3" fillId="0" borderId="0"/>
    <xf numFmtId="43" fontId="1" fillId="0" borderId="0" applyFont="0" applyFill="0" applyBorder="0" applyAlignment="0" applyProtection="0"/>
    <xf numFmtId="0" fontId="3" fillId="0" borderId="0"/>
    <xf numFmtId="166" fontId="1" fillId="0" borderId="0"/>
    <xf numFmtId="166" fontId="3" fillId="0" borderId="0"/>
    <xf numFmtId="166" fontId="14" fillId="3" borderId="0" applyNumberFormat="0" applyBorder="0" applyAlignment="0" applyProtection="0"/>
    <xf numFmtId="166" fontId="14" fillId="4" borderId="0" applyNumberFormat="0" applyBorder="0" applyAlignment="0" applyProtection="0"/>
    <xf numFmtId="166" fontId="14" fillId="5" borderId="0" applyNumberFormat="0" applyBorder="0" applyAlignment="0" applyProtection="0"/>
    <xf numFmtId="166" fontId="14" fillId="6" borderId="0" applyNumberFormat="0" applyBorder="0" applyAlignment="0" applyProtection="0"/>
    <xf numFmtId="166" fontId="14" fillId="7" borderId="0" applyNumberFormat="0" applyBorder="0" applyAlignment="0" applyProtection="0"/>
    <xf numFmtId="166" fontId="14" fillId="8" borderId="0" applyNumberFormat="0" applyBorder="0" applyAlignment="0" applyProtection="0"/>
    <xf numFmtId="166" fontId="14" fillId="9" borderId="0" applyNumberFormat="0" applyBorder="0" applyAlignment="0" applyProtection="0"/>
    <xf numFmtId="166" fontId="14" fillId="10" borderId="0" applyNumberFormat="0" applyBorder="0" applyAlignment="0" applyProtection="0"/>
    <xf numFmtId="166" fontId="14" fillId="11" borderId="0" applyNumberFormat="0" applyBorder="0" applyAlignment="0" applyProtection="0"/>
    <xf numFmtId="166" fontId="14" fillId="6" borderId="0" applyNumberFormat="0" applyBorder="0" applyAlignment="0" applyProtection="0"/>
    <xf numFmtId="166" fontId="14" fillId="9" borderId="0" applyNumberFormat="0" applyBorder="0" applyAlignment="0" applyProtection="0"/>
    <xf numFmtId="166" fontId="14" fillId="12" borderId="0" applyNumberFormat="0" applyBorder="0" applyAlignment="0" applyProtection="0"/>
    <xf numFmtId="166" fontId="15" fillId="13" borderId="0" applyNumberFormat="0" applyBorder="0" applyAlignment="0" applyProtection="0"/>
    <xf numFmtId="166" fontId="15" fillId="10" borderId="0" applyNumberFormat="0" applyBorder="0" applyAlignment="0" applyProtection="0"/>
    <xf numFmtId="166" fontId="15" fillId="11" borderId="0" applyNumberFormat="0" applyBorder="0" applyAlignment="0" applyProtection="0"/>
    <xf numFmtId="166" fontId="15" fillId="14" borderId="0" applyNumberFormat="0" applyBorder="0" applyAlignment="0" applyProtection="0"/>
    <xf numFmtId="166" fontId="15" fillId="15" borderId="0" applyNumberFormat="0" applyBorder="0" applyAlignment="0" applyProtection="0"/>
    <xf numFmtId="166" fontId="15" fillId="16" borderId="0" applyNumberFormat="0" applyBorder="0" applyAlignment="0" applyProtection="0"/>
    <xf numFmtId="166" fontId="15" fillId="17" borderId="0" applyNumberFormat="0" applyBorder="0" applyAlignment="0" applyProtection="0"/>
    <xf numFmtId="166" fontId="15" fillId="18" borderId="0" applyNumberFormat="0" applyBorder="0" applyAlignment="0" applyProtection="0"/>
    <xf numFmtId="166" fontId="15" fillId="19" borderId="0" applyNumberFormat="0" applyBorder="0" applyAlignment="0" applyProtection="0"/>
    <xf numFmtId="166" fontId="15" fillId="14" borderId="0" applyNumberFormat="0" applyBorder="0" applyAlignment="0" applyProtection="0"/>
    <xf numFmtId="166" fontId="15" fillId="15" borderId="0" applyNumberFormat="0" applyBorder="0" applyAlignment="0" applyProtection="0"/>
    <xf numFmtId="166" fontId="15" fillId="20" borderId="0" applyNumberFormat="0" applyBorder="0" applyAlignment="0" applyProtection="0"/>
    <xf numFmtId="166" fontId="16" fillId="4" borderId="0" applyNumberFormat="0" applyBorder="0" applyAlignment="0" applyProtection="0"/>
    <xf numFmtId="166" fontId="17" fillId="21" borderId="2" applyNumberFormat="0" applyAlignment="0" applyProtection="0"/>
    <xf numFmtId="166" fontId="18" fillId="22" borderId="3" applyNumberFormat="0" applyAlignment="0" applyProtection="0"/>
    <xf numFmtId="166" fontId="19" fillId="0" borderId="0" applyNumberFormat="0" applyFill="0" applyBorder="0" applyAlignment="0" applyProtection="0"/>
    <xf numFmtId="166" fontId="20" fillId="5" borderId="0" applyNumberFormat="0" applyBorder="0" applyAlignment="0" applyProtection="0"/>
    <xf numFmtId="166" fontId="21" fillId="0" borderId="4" applyNumberFormat="0" applyFill="0" applyAlignment="0" applyProtection="0"/>
    <xf numFmtId="166" fontId="22" fillId="0" borderId="5" applyNumberFormat="0" applyFill="0" applyAlignment="0" applyProtection="0"/>
    <xf numFmtId="166" fontId="23" fillId="0" borderId="6" applyNumberFormat="0" applyFill="0" applyAlignment="0" applyProtection="0"/>
    <xf numFmtId="166" fontId="23" fillId="0" borderId="0" applyNumberFormat="0" applyFill="0" applyBorder="0" applyAlignment="0" applyProtection="0"/>
    <xf numFmtId="166" fontId="24" fillId="8" borderId="2" applyNumberFormat="0" applyAlignment="0" applyProtection="0"/>
    <xf numFmtId="166" fontId="25" fillId="0" borderId="7" applyNumberFormat="0" applyFill="0" applyAlignment="0" applyProtection="0"/>
    <xf numFmtId="166" fontId="26" fillId="23" borderId="0" applyNumberFormat="0" applyBorder="0" applyAlignment="0" applyProtection="0"/>
    <xf numFmtId="166" fontId="3" fillId="0" borderId="0"/>
    <xf numFmtId="166" fontId="3" fillId="24" borderId="8" applyNumberFormat="0" applyFont="0" applyAlignment="0" applyProtection="0"/>
    <xf numFmtId="166" fontId="27" fillId="21" borderId="9" applyNumberFormat="0" applyAlignment="0" applyProtection="0"/>
    <xf numFmtId="166" fontId="28" fillId="0" borderId="0" applyNumberFormat="0" applyFill="0" applyBorder="0" applyAlignment="0" applyProtection="0"/>
    <xf numFmtId="166" fontId="29" fillId="0" borderId="10" applyNumberFormat="0" applyFill="0" applyAlignment="0" applyProtection="0"/>
    <xf numFmtId="166" fontId="30" fillId="0" borderId="0" applyNumberFormat="0" applyFill="0" applyBorder="0" applyAlignment="0" applyProtection="0"/>
    <xf numFmtId="43" fontId="1" fillId="0" borderId="0" applyFont="0" applyFill="0" applyBorder="0" applyAlignment="0" applyProtection="0"/>
    <xf numFmtId="166" fontId="3" fillId="0" borderId="0"/>
    <xf numFmtId="43" fontId="1" fillId="0" borderId="0" applyFont="0" applyFill="0" applyBorder="0" applyAlignment="0" applyProtection="0"/>
    <xf numFmtId="166" fontId="3" fillId="0" borderId="0"/>
    <xf numFmtId="44" fontId="1" fillId="0" borderId="0" applyFont="0" applyFill="0" applyBorder="0" applyAlignment="0" applyProtection="0"/>
    <xf numFmtId="166" fontId="3" fillId="24" borderId="8" applyNumberFormat="0" applyFont="0" applyAlignment="0" applyProtection="0"/>
    <xf numFmtId="44" fontId="1" fillId="0" borderId="0" applyFont="0" applyFill="0" applyBorder="0" applyAlignment="0" applyProtection="0"/>
    <xf numFmtId="164" fontId="1" fillId="0" borderId="0" applyFont="0" applyFill="0" applyBorder="0" applyAlignment="0" applyProtection="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7" fillId="21" borderId="11" applyNumberFormat="0" applyAlignment="0" applyProtection="0"/>
    <xf numFmtId="166" fontId="1" fillId="0" borderId="0"/>
    <xf numFmtId="166" fontId="24" fillId="8" borderId="11" applyNumberFormat="0" applyAlignment="0" applyProtection="0"/>
    <xf numFmtId="166" fontId="1" fillId="0" borderId="0"/>
    <xf numFmtId="166" fontId="3" fillId="24" borderId="12" applyNumberFormat="0" applyFont="0" applyAlignment="0" applyProtection="0"/>
    <xf numFmtId="166" fontId="27" fillId="21" borderId="13" applyNumberFormat="0" applyAlignment="0" applyProtection="0"/>
    <xf numFmtId="166" fontId="29" fillId="0" borderId="14" applyNumberFormat="0" applyFill="0" applyAlignment="0" applyProtection="0"/>
    <xf numFmtId="166" fontId="1" fillId="0" borderId="0"/>
    <xf numFmtId="166" fontId="1" fillId="0" borderId="0"/>
    <xf numFmtId="166" fontId="3" fillId="24" borderId="12" applyNumberFormat="0" applyFont="0" applyAlignment="0" applyProtection="0"/>
    <xf numFmtId="166" fontId="1" fillId="0" borderId="0"/>
    <xf numFmtId="166" fontId="1" fillId="0" borderId="0"/>
    <xf numFmtId="166" fontId="17" fillId="21" borderId="2" applyNumberFormat="0" applyAlignment="0" applyProtection="0"/>
    <xf numFmtId="166" fontId="24" fillId="8" borderId="2" applyNumberFormat="0" applyAlignment="0" applyProtection="0"/>
    <xf numFmtId="166" fontId="3" fillId="24" borderId="8" applyNumberFormat="0" applyFont="0" applyAlignment="0" applyProtection="0"/>
    <xf numFmtId="166" fontId="27" fillId="21" borderId="9" applyNumberFormat="0" applyAlignment="0" applyProtection="0"/>
    <xf numFmtId="166" fontId="1" fillId="0" borderId="0"/>
    <xf numFmtId="166" fontId="29" fillId="0" borderId="10" applyNumberFormat="0" applyFill="0" applyAlignment="0" applyProtection="0"/>
    <xf numFmtId="166" fontId="3" fillId="24" borderId="8" applyNumberFormat="0" applyFont="0" applyAlignment="0" applyProtection="0"/>
    <xf numFmtId="166" fontId="1" fillId="0" borderId="0"/>
    <xf numFmtId="166" fontId="1" fillId="0" borderId="0"/>
    <xf numFmtId="166" fontId="1" fillId="0" borderId="0"/>
    <xf numFmtId="166" fontId="1" fillId="0" borderId="0"/>
    <xf numFmtId="0" fontId="1" fillId="0" borderId="0"/>
    <xf numFmtId="166" fontId="1" fillId="0" borderId="0"/>
    <xf numFmtId="166" fontId="17" fillId="21" borderId="15" applyNumberFormat="0" applyAlignment="0" applyProtection="0"/>
    <xf numFmtId="166" fontId="23" fillId="0" borderId="6" applyNumberFormat="0" applyFill="0" applyAlignment="0" applyProtection="0"/>
    <xf numFmtId="166" fontId="24" fillId="8" borderId="15" applyNumberFormat="0" applyAlignment="0" applyProtection="0"/>
    <xf numFmtId="166" fontId="3" fillId="24" borderId="16" applyNumberFormat="0" applyFont="0" applyAlignment="0" applyProtection="0"/>
    <xf numFmtId="166" fontId="27" fillId="21" borderId="17" applyNumberFormat="0" applyAlignment="0" applyProtection="0"/>
    <xf numFmtId="166" fontId="29" fillId="0" borderId="18" applyNumberFormat="0" applyFill="0" applyAlignment="0" applyProtection="0"/>
    <xf numFmtId="166" fontId="3" fillId="24" borderId="16" applyNumberFormat="0" applyFont="0" applyAlignment="0" applyProtection="0"/>
    <xf numFmtId="166" fontId="17" fillId="21" borderId="15" applyNumberFormat="0" applyAlignment="0" applyProtection="0"/>
    <xf numFmtId="166" fontId="24" fillId="8" borderId="15" applyNumberFormat="0" applyAlignment="0" applyProtection="0"/>
    <xf numFmtId="166" fontId="3" fillId="24" borderId="16" applyNumberFormat="0" applyFont="0" applyAlignment="0" applyProtection="0"/>
    <xf numFmtId="166" fontId="27" fillId="21" borderId="17" applyNumberFormat="0" applyAlignment="0" applyProtection="0"/>
    <xf numFmtId="166" fontId="29" fillId="0" borderId="18" applyNumberFormat="0" applyFill="0" applyAlignment="0" applyProtection="0"/>
    <xf numFmtId="166" fontId="3" fillId="24" borderId="16" applyNumberFormat="0" applyFont="0" applyAlignment="0" applyProtection="0"/>
    <xf numFmtId="166" fontId="17" fillId="21" borderId="15" applyNumberFormat="0" applyAlignment="0" applyProtection="0"/>
    <xf numFmtId="166" fontId="24" fillId="8" borderId="15" applyNumberFormat="0" applyAlignment="0" applyProtection="0"/>
    <xf numFmtId="166" fontId="3" fillId="24" borderId="16" applyNumberFormat="0" applyFont="0" applyAlignment="0" applyProtection="0"/>
    <xf numFmtId="166" fontId="27" fillId="21" borderId="17" applyNumberFormat="0" applyAlignment="0" applyProtection="0"/>
    <xf numFmtId="166" fontId="29" fillId="0" borderId="18" applyNumberFormat="0" applyFill="0" applyAlignment="0" applyProtection="0"/>
    <xf numFmtId="166" fontId="3" fillId="24" borderId="16" applyNumberFormat="0" applyFont="0" applyAlignment="0" applyProtection="0"/>
    <xf numFmtId="166" fontId="1" fillId="0" borderId="0"/>
    <xf numFmtId="166" fontId="17" fillId="21" borderId="19" applyNumberFormat="0" applyAlignment="0" applyProtection="0"/>
    <xf numFmtId="166" fontId="24" fillId="8" borderId="19" applyNumberFormat="0" applyAlignment="0" applyProtection="0"/>
    <xf numFmtId="166" fontId="3" fillId="24" borderId="20" applyNumberFormat="0" applyFont="0" applyAlignment="0" applyProtection="0"/>
    <xf numFmtId="166" fontId="27" fillId="21" borderId="21" applyNumberFormat="0" applyAlignment="0" applyProtection="0"/>
    <xf numFmtId="166" fontId="29" fillId="0" borderId="22" applyNumberFormat="0" applyFill="0" applyAlignment="0" applyProtection="0"/>
    <xf numFmtId="166" fontId="3" fillId="24" borderId="20" applyNumberFormat="0" applyFont="0" applyAlignment="0" applyProtection="0"/>
    <xf numFmtId="166" fontId="17" fillId="21" borderId="23" applyNumberFormat="0" applyAlignment="0" applyProtection="0"/>
    <xf numFmtId="166" fontId="24" fillId="8" borderId="23" applyNumberFormat="0" applyAlignment="0" applyProtection="0"/>
    <xf numFmtId="166" fontId="3" fillId="24" borderId="24" applyNumberFormat="0" applyFont="0" applyAlignment="0" applyProtection="0"/>
    <xf numFmtId="166" fontId="27" fillId="21" borderId="25" applyNumberFormat="0" applyAlignment="0" applyProtection="0"/>
    <xf numFmtId="166" fontId="29" fillId="0" borderId="26" applyNumberFormat="0" applyFill="0" applyAlignment="0" applyProtection="0"/>
    <xf numFmtId="166" fontId="3" fillId="24" borderId="24" applyNumberFormat="0" applyFont="0" applyAlignment="0" applyProtection="0"/>
    <xf numFmtId="166" fontId="17" fillId="21" borderId="23" applyNumberFormat="0" applyAlignment="0" applyProtection="0"/>
    <xf numFmtId="166" fontId="24" fillId="8" borderId="23" applyNumberFormat="0" applyAlignment="0" applyProtection="0"/>
    <xf numFmtId="166" fontId="3" fillId="24" borderId="24" applyNumberFormat="0" applyFont="0" applyAlignment="0" applyProtection="0"/>
    <xf numFmtId="166" fontId="27" fillId="21" borderId="25" applyNumberFormat="0" applyAlignment="0" applyProtection="0"/>
    <xf numFmtId="166" fontId="29" fillId="0" borderId="26" applyNumberFormat="0" applyFill="0" applyAlignment="0" applyProtection="0"/>
    <xf numFmtId="166" fontId="3" fillId="24" borderId="24" applyNumberFormat="0" applyFont="0" applyAlignment="0" applyProtection="0"/>
    <xf numFmtId="166" fontId="17" fillId="21" borderId="19" applyNumberFormat="0" applyAlignment="0" applyProtection="0"/>
    <xf numFmtId="166" fontId="24" fillId="8" borderId="19" applyNumberFormat="0" applyAlignment="0" applyProtection="0"/>
    <xf numFmtId="166" fontId="3" fillId="24" borderId="20" applyNumberFormat="0" applyFont="0" applyAlignment="0" applyProtection="0"/>
    <xf numFmtId="166" fontId="27" fillId="21" borderId="21" applyNumberFormat="0" applyAlignment="0" applyProtection="0"/>
    <xf numFmtId="166" fontId="29" fillId="0" borderId="22" applyNumberFormat="0" applyFill="0" applyAlignment="0" applyProtection="0"/>
    <xf numFmtId="166" fontId="3" fillId="24" borderId="20" applyNumberFormat="0" applyFont="0" applyAlignment="0" applyProtection="0"/>
    <xf numFmtId="166" fontId="17" fillId="21" borderId="19" applyNumberFormat="0" applyAlignment="0" applyProtection="0"/>
    <xf numFmtId="166" fontId="24" fillId="8" borderId="19" applyNumberFormat="0" applyAlignment="0" applyProtection="0"/>
    <xf numFmtId="166" fontId="3" fillId="24" borderId="20" applyNumberFormat="0" applyFont="0" applyAlignment="0" applyProtection="0"/>
    <xf numFmtId="166" fontId="27" fillId="21" borderId="21" applyNumberFormat="0" applyAlignment="0" applyProtection="0"/>
    <xf numFmtId="166" fontId="29" fillId="0" borderId="22" applyNumberFormat="0" applyFill="0" applyAlignment="0" applyProtection="0"/>
    <xf numFmtId="166" fontId="3" fillId="24" borderId="20" applyNumberFormat="0" applyFont="0" applyAlignment="0" applyProtection="0"/>
    <xf numFmtId="166" fontId="17" fillId="21" borderId="19" applyNumberFormat="0" applyAlignment="0" applyProtection="0"/>
    <xf numFmtId="166" fontId="24" fillId="8" borderId="19" applyNumberFormat="0" applyAlignment="0" applyProtection="0"/>
    <xf numFmtId="166" fontId="3" fillId="24" borderId="20" applyNumberFormat="0" applyFont="0" applyAlignment="0" applyProtection="0"/>
    <xf numFmtId="166" fontId="27" fillId="21" borderId="21" applyNumberFormat="0" applyAlignment="0" applyProtection="0"/>
    <xf numFmtId="166" fontId="29" fillId="0" borderId="22" applyNumberFormat="0" applyFill="0" applyAlignment="0" applyProtection="0"/>
    <xf numFmtId="166" fontId="3" fillId="24" borderId="20" applyNumberFormat="0" applyFont="0" applyAlignment="0" applyProtection="0"/>
    <xf numFmtId="166" fontId="1" fillId="0" borderId="0"/>
    <xf numFmtId="166" fontId="17" fillId="21" borderId="27" applyNumberFormat="0" applyAlignment="0" applyProtection="0"/>
    <xf numFmtId="166" fontId="24" fillId="8" borderId="27" applyNumberFormat="0" applyAlignment="0" applyProtection="0"/>
    <xf numFmtId="166" fontId="3" fillId="24" borderId="28" applyNumberFormat="0" applyFont="0" applyAlignment="0" applyProtection="0"/>
    <xf numFmtId="166" fontId="27" fillId="21" borderId="29" applyNumberFormat="0" applyAlignment="0" applyProtection="0"/>
    <xf numFmtId="166" fontId="29" fillId="0" borderId="30" applyNumberFormat="0" applyFill="0" applyAlignment="0" applyProtection="0"/>
    <xf numFmtId="166" fontId="3" fillId="24" borderId="28" applyNumberFormat="0" applyFont="0" applyAlignment="0" applyProtection="0"/>
    <xf numFmtId="166" fontId="17" fillId="21" borderId="27" applyNumberFormat="0" applyAlignment="0" applyProtection="0"/>
    <xf numFmtId="166" fontId="24" fillId="8" borderId="27" applyNumberFormat="0" applyAlignment="0" applyProtection="0"/>
    <xf numFmtId="166" fontId="3" fillId="24" borderId="28" applyNumberFormat="0" applyFont="0" applyAlignment="0" applyProtection="0"/>
    <xf numFmtId="166" fontId="27" fillId="21" borderId="29" applyNumberFormat="0" applyAlignment="0" applyProtection="0"/>
    <xf numFmtId="166" fontId="29" fillId="0" borderId="30" applyNumberFormat="0" applyFill="0" applyAlignment="0" applyProtection="0"/>
    <xf numFmtId="166" fontId="3" fillId="24" borderId="28" applyNumberFormat="0" applyFont="0" applyAlignment="0" applyProtection="0"/>
    <xf numFmtId="166" fontId="17" fillId="21" borderId="27" applyNumberFormat="0" applyAlignment="0" applyProtection="0"/>
    <xf numFmtId="166" fontId="24" fillId="8" borderId="27" applyNumberFormat="0" applyAlignment="0" applyProtection="0"/>
    <xf numFmtId="166" fontId="3" fillId="24" borderId="28" applyNumberFormat="0" applyFont="0" applyAlignment="0" applyProtection="0"/>
    <xf numFmtId="166" fontId="27" fillId="21" borderId="29" applyNumberFormat="0" applyAlignment="0" applyProtection="0"/>
    <xf numFmtId="166" fontId="29" fillId="0" borderId="30" applyNumberFormat="0" applyFill="0" applyAlignment="0" applyProtection="0"/>
    <xf numFmtId="166" fontId="3" fillId="24" borderId="28"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33"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33"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33"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33"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33"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33" applyNumberFormat="0" applyFont="0" applyAlignment="0" applyProtection="0"/>
    <xf numFmtId="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0" fontId="36" fillId="0" borderId="0" applyNumberFormat="0" applyFill="0" applyBorder="0" applyAlignment="0" applyProtection="0">
      <alignment vertical="top"/>
      <protection locked="0"/>
    </xf>
    <xf numFmtId="0" fontId="2"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6" fontId="3" fillId="0" borderId="0"/>
    <xf numFmtId="166" fontId="17" fillId="21" borderId="23" applyNumberFormat="0" applyAlignment="0" applyProtection="0"/>
    <xf numFmtId="166" fontId="24" fillId="8" borderId="23"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17" fillId="21" borderId="23" applyNumberFormat="0" applyAlignment="0" applyProtection="0"/>
    <xf numFmtId="166" fontId="24" fillId="8" borderId="23"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17" fillId="21" borderId="23" applyNumberFormat="0" applyAlignment="0" applyProtection="0"/>
    <xf numFmtId="166" fontId="24" fillId="8" borderId="23"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17" fillId="21" borderId="23" applyNumberFormat="0" applyAlignment="0" applyProtection="0"/>
    <xf numFmtId="166" fontId="24" fillId="8" borderId="23"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27" fillId="21" borderId="34" applyNumberFormat="0" applyAlignment="0" applyProtection="0"/>
    <xf numFmtId="166" fontId="29" fillId="0" borderId="35" applyNumberFormat="0" applyFill="0" applyAlignment="0" applyProtection="0"/>
    <xf numFmtId="166" fontId="17" fillId="21" borderId="23" applyNumberFormat="0" applyAlignment="0" applyProtection="0"/>
    <xf numFmtId="166" fontId="24" fillId="8" borderId="23"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23" applyNumberFormat="0" applyAlignment="0" applyProtection="0"/>
    <xf numFmtId="166" fontId="24" fillId="8" borderId="23"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23" applyNumberFormat="0" applyAlignment="0" applyProtection="0"/>
    <xf numFmtId="166" fontId="24" fillId="8" borderId="23"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3" fillId="24" borderId="24" applyNumberFormat="0" applyFont="0" applyAlignment="0" applyProtection="0"/>
    <xf numFmtId="166" fontId="3" fillId="24" borderId="24" applyNumberFormat="0" applyFont="0" applyAlignment="0" applyProtection="0"/>
    <xf numFmtId="166" fontId="3" fillId="24" borderId="24" applyNumberFormat="0" applyFont="0" applyAlignment="0" applyProtection="0"/>
    <xf numFmtId="166" fontId="3" fillId="24" borderId="24" applyNumberFormat="0" applyFont="0" applyAlignment="0" applyProtection="0"/>
    <xf numFmtId="166" fontId="3" fillId="24" borderId="24" applyNumberFormat="0" applyFont="0" applyAlignment="0" applyProtection="0"/>
    <xf numFmtId="166" fontId="3" fillId="24" borderId="24" applyNumberFormat="0" applyFont="0" applyAlignment="0" applyProtection="0"/>
    <xf numFmtId="166" fontId="24" fillId="8" borderId="32" applyNumberForma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17" fillId="21" borderId="32" applyNumberFormat="0" applyAlignment="0" applyProtection="0"/>
    <xf numFmtId="166" fontId="27" fillId="21" borderId="34" applyNumberFormat="0" applyAlignment="0" applyProtection="0"/>
    <xf numFmtId="166" fontId="27" fillId="21" borderId="34" applyNumberFormat="0" applyAlignment="0" applyProtection="0"/>
    <xf numFmtId="166" fontId="17" fillId="21" borderId="23" applyNumberFormat="0" applyAlignment="0" applyProtection="0"/>
    <xf numFmtId="166" fontId="24" fillId="8" borderId="23"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23" applyNumberFormat="0" applyAlignment="0" applyProtection="0"/>
    <xf numFmtId="166" fontId="24" fillId="8" borderId="23"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23" applyNumberFormat="0" applyAlignment="0" applyProtection="0"/>
    <xf numFmtId="166" fontId="24" fillId="8" borderId="23"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23" applyNumberFormat="0" applyAlignment="0" applyProtection="0"/>
    <xf numFmtId="166" fontId="24" fillId="8" borderId="23"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23" applyNumberFormat="0" applyAlignment="0" applyProtection="0"/>
    <xf numFmtId="166" fontId="24" fillId="8" borderId="23"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23" applyNumberFormat="0" applyAlignment="0" applyProtection="0"/>
    <xf numFmtId="166" fontId="24" fillId="8" borderId="23"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3" fillId="24" borderId="24" applyNumberFormat="0" applyFont="0" applyAlignment="0" applyProtection="0"/>
    <xf numFmtId="166" fontId="17" fillId="21" borderId="32" applyNumberFormat="0" applyAlignment="0" applyProtection="0"/>
    <xf numFmtId="166" fontId="29" fillId="0" borderId="35" applyNumberFormat="0" applyFill="0" applyAlignment="0" applyProtection="0"/>
    <xf numFmtId="166" fontId="27" fillId="21" borderId="34" applyNumberFormat="0" applyAlignment="0" applyProtection="0"/>
    <xf numFmtId="166" fontId="27" fillId="21" borderId="34" applyNumberFormat="0" applyAlignment="0" applyProtection="0"/>
    <xf numFmtId="166" fontId="29" fillId="0" borderId="35" applyNumberFormat="0" applyFill="0" applyAlignment="0" applyProtection="0"/>
    <xf numFmtId="166" fontId="17" fillId="21" borderId="32" applyNumberFormat="0" applyAlignment="0" applyProtection="0"/>
    <xf numFmtId="166" fontId="3" fillId="24" borderId="24" applyNumberFormat="0" applyFont="0" applyAlignment="0" applyProtection="0"/>
    <xf numFmtId="166" fontId="17" fillId="21" borderId="32" applyNumberFormat="0" applyAlignment="0" applyProtection="0"/>
    <xf numFmtId="166" fontId="27" fillId="21" borderId="34"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3" fillId="24" borderId="24" applyNumberFormat="0" applyFont="0" applyAlignment="0" applyProtection="0"/>
    <xf numFmtId="166" fontId="27" fillId="21" borderId="34" applyNumberFormat="0" applyAlignment="0" applyProtection="0"/>
    <xf numFmtId="166" fontId="27" fillId="21" borderId="34" applyNumberFormat="0" applyAlignment="0" applyProtection="0"/>
    <xf numFmtId="166" fontId="24" fillId="8" borderId="32"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3" fillId="24" borderId="24" applyNumberFormat="0" applyFont="0" applyAlignment="0" applyProtection="0"/>
    <xf numFmtId="166" fontId="24" fillId="8" borderId="32" applyNumberFormat="0" applyAlignment="0" applyProtection="0"/>
    <xf numFmtId="166" fontId="3" fillId="24" borderId="24" applyNumberFormat="0" applyFont="0" applyAlignment="0" applyProtection="0"/>
    <xf numFmtId="166" fontId="29" fillId="0" borderId="35" applyNumberFormat="0" applyFill="0" applyAlignment="0" applyProtection="0"/>
    <xf numFmtId="166" fontId="29" fillId="0" borderId="35" applyNumberFormat="0" applyFill="0" applyAlignment="0" applyProtection="0"/>
    <xf numFmtId="166" fontId="29" fillId="0" borderId="35" applyNumberFormat="0" applyFill="0" applyAlignment="0" applyProtection="0"/>
    <xf numFmtId="166" fontId="24" fillId="8" borderId="32" applyNumberFormat="0" applyAlignment="0" applyProtection="0"/>
    <xf numFmtId="166" fontId="17" fillId="21" borderId="32" applyNumberFormat="0" applyAlignment="0" applyProtection="0"/>
    <xf numFmtId="166" fontId="17" fillId="21"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3" fillId="24" borderId="24" applyNumberFormat="0" applyFont="0" applyAlignment="0" applyProtection="0"/>
    <xf numFmtId="166" fontId="27" fillId="21" borderId="34" applyNumberFormat="0" applyAlignment="0" applyProtection="0"/>
    <xf numFmtId="166" fontId="27" fillId="21" borderId="34" applyNumberFormat="0" applyAlignment="0" applyProtection="0"/>
    <xf numFmtId="166" fontId="24" fillId="8" borderId="32" applyNumberFormat="0" applyAlignment="0" applyProtection="0"/>
    <xf numFmtId="166" fontId="27" fillId="21" borderId="34" applyNumberFormat="0" applyAlignment="0" applyProtection="0"/>
    <xf numFmtId="166" fontId="29" fillId="0" borderId="35" applyNumberFormat="0" applyFill="0" applyAlignment="0" applyProtection="0"/>
    <xf numFmtId="166" fontId="17" fillId="21" borderId="32"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3" fillId="24" borderId="24" applyNumberFormat="0" applyFont="0" applyAlignment="0" applyProtection="0"/>
    <xf numFmtId="166" fontId="27" fillId="21" borderId="34" applyNumberFormat="0" applyAlignment="0" applyProtection="0"/>
    <xf numFmtId="166" fontId="3" fillId="24" borderId="24" applyNumberFormat="0" applyFont="0" applyAlignment="0" applyProtection="0"/>
    <xf numFmtId="166" fontId="24" fillId="8" borderId="32"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24" fillId="8" borderId="32" applyNumberFormat="0" applyAlignment="0" applyProtection="0"/>
    <xf numFmtId="166" fontId="24" fillId="8" borderId="32" applyNumberFormat="0" applyAlignment="0" applyProtection="0"/>
    <xf numFmtId="166" fontId="27" fillId="21" borderId="34" applyNumberForma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3" fillId="24" borderId="24" applyNumberFormat="0" applyFont="0" applyAlignment="0" applyProtection="0"/>
    <xf numFmtId="166" fontId="29" fillId="0" borderId="35" applyNumberFormat="0" applyFill="0" applyAlignment="0" applyProtection="0"/>
    <xf numFmtId="166" fontId="29" fillId="0" borderId="35" applyNumberFormat="0" applyFill="0" applyAlignment="0" applyProtection="0"/>
    <xf numFmtId="166" fontId="27" fillId="21" borderId="34" applyNumberFormat="0" applyAlignment="0" applyProtection="0"/>
    <xf numFmtId="166" fontId="24" fillId="8" borderId="32" applyNumberFormat="0" applyAlignment="0" applyProtection="0"/>
    <xf numFmtId="166" fontId="17" fillId="21" borderId="32" applyNumberFormat="0" applyAlignment="0" applyProtection="0"/>
    <xf numFmtId="166" fontId="29" fillId="0" borderId="35" applyNumberFormat="0" applyFill="0" applyAlignment="0" applyProtection="0"/>
    <xf numFmtId="166" fontId="27" fillId="21" borderId="34" applyNumberFormat="0" applyAlignment="0" applyProtection="0"/>
    <xf numFmtId="166" fontId="17" fillId="21" borderId="32"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29" fillId="0" borderId="35" applyNumberFormat="0" applyFill="0" applyAlignment="0" applyProtection="0"/>
    <xf numFmtId="166" fontId="27" fillId="21" borderId="34" applyNumberFormat="0" applyAlignment="0" applyProtection="0"/>
    <xf numFmtId="166" fontId="27" fillId="21" borderId="34" applyNumberFormat="0" applyAlignment="0" applyProtection="0"/>
    <xf numFmtId="166" fontId="17" fillId="21" borderId="32"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17" fillId="21" borderId="32" applyNumberFormat="0" applyAlignment="0" applyProtection="0"/>
    <xf numFmtId="166" fontId="3" fillId="24" borderId="24" applyNumberFormat="0" applyFont="0" applyAlignment="0" applyProtection="0"/>
    <xf numFmtId="166" fontId="29" fillId="0" borderId="35" applyNumberFormat="0" applyFill="0" applyAlignment="0" applyProtection="0"/>
    <xf numFmtId="166" fontId="24" fillId="8" borderId="32" applyNumberFormat="0" applyAlignment="0" applyProtection="0"/>
    <xf numFmtId="166" fontId="3" fillId="24" borderId="24" applyNumberFormat="0" applyFont="0" applyAlignment="0" applyProtection="0"/>
    <xf numFmtId="166" fontId="24" fillId="8" borderId="32" applyNumberFormat="0" applyAlignment="0" applyProtection="0"/>
    <xf numFmtId="166" fontId="24" fillId="8" borderId="32" applyNumberFormat="0" applyAlignment="0" applyProtection="0"/>
    <xf numFmtId="166" fontId="29" fillId="0" borderId="35" applyNumberFormat="0" applyFill="0" applyAlignment="0" applyProtection="0"/>
    <xf numFmtId="166" fontId="29" fillId="0" borderId="35" applyNumberFormat="0" applyFill="0" applyAlignment="0" applyProtection="0"/>
    <xf numFmtId="166" fontId="17" fillId="21" borderId="32"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29" fillId="0" borderId="35" applyNumberFormat="0" applyFill="0" applyAlignment="0" applyProtection="0"/>
    <xf numFmtId="166" fontId="27" fillId="21" borderId="34" applyNumberFormat="0" applyAlignment="0" applyProtection="0"/>
    <xf numFmtId="166" fontId="3" fillId="24" borderId="24" applyNumberFormat="0" applyFont="0" applyAlignment="0" applyProtection="0"/>
    <xf numFmtId="166" fontId="24" fillId="8" borderId="32" applyNumberFormat="0" applyAlignment="0" applyProtection="0"/>
    <xf numFmtId="166" fontId="17" fillId="21" borderId="32" applyNumberFormat="0" applyAlignment="0" applyProtection="0"/>
    <xf numFmtId="166" fontId="24" fillId="8" borderId="32" applyNumberFormat="0" applyAlignment="0" applyProtection="0"/>
    <xf numFmtId="166" fontId="17" fillId="21" borderId="32" applyNumberFormat="0" applyAlignment="0" applyProtection="0"/>
    <xf numFmtId="166" fontId="27" fillId="21" borderId="34" applyNumberFormat="0" applyAlignment="0" applyProtection="0"/>
    <xf numFmtId="166" fontId="17" fillId="21" borderId="32"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3" fillId="24" borderId="24" applyNumberFormat="0" applyFont="0" applyAlignment="0" applyProtection="0"/>
    <xf numFmtId="166" fontId="17" fillId="21" borderId="32" applyNumberFormat="0" applyAlignment="0" applyProtection="0"/>
    <xf numFmtId="166" fontId="3" fillId="24" borderId="24" applyNumberFormat="0" applyFont="0" applyAlignment="0" applyProtection="0"/>
    <xf numFmtId="166" fontId="17" fillId="21" borderId="32" applyNumberFormat="0" applyAlignment="0" applyProtection="0"/>
    <xf numFmtId="166" fontId="29" fillId="0" borderId="35" applyNumberFormat="0" applyFill="0" applyAlignment="0" applyProtection="0"/>
    <xf numFmtId="166" fontId="27" fillId="21" borderId="34" applyNumberFormat="0" applyAlignment="0" applyProtection="0"/>
    <xf numFmtId="166" fontId="3" fillId="24" borderId="24" applyNumberFormat="0" applyFont="0" applyAlignment="0" applyProtection="0"/>
    <xf numFmtId="166" fontId="29" fillId="0" borderId="35" applyNumberFormat="0" applyFill="0" applyAlignment="0" applyProtection="0"/>
    <xf numFmtId="166" fontId="3" fillId="24" borderId="24" applyNumberFormat="0" applyFont="0" applyAlignment="0" applyProtection="0"/>
    <xf numFmtId="166" fontId="29" fillId="0" borderId="35" applyNumberFormat="0" applyFill="0" applyAlignment="0" applyProtection="0"/>
    <xf numFmtId="166" fontId="27" fillId="21" borderId="34" applyNumberFormat="0" applyAlignment="0" applyProtection="0"/>
    <xf numFmtId="166" fontId="24" fillId="8" borderId="32" applyNumberFormat="0" applyAlignment="0" applyProtection="0"/>
    <xf numFmtId="166" fontId="27" fillId="21" borderId="34"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3" fillId="24" borderId="24" applyNumberFormat="0" applyFont="0" applyAlignment="0" applyProtection="0"/>
    <xf numFmtId="166" fontId="27" fillId="21" borderId="34" applyNumberFormat="0" applyAlignment="0" applyProtection="0"/>
    <xf numFmtId="166" fontId="17" fillId="21" borderId="32" applyNumberFormat="0" applyAlignment="0" applyProtection="0"/>
    <xf numFmtId="166" fontId="17" fillId="21" borderId="32" applyNumberFormat="0" applyAlignment="0" applyProtection="0"/>
    <xf numFmtId="166" fontId="3" fillId="24" borderId="24" applyNumberFormat="0" applyFont="0" applyAlignment="0" applyProtection="0"/>
    <xf numFmtId="166" fontId="29" fillId="0" borderId="35" applyNumberFormat="0" applyFill="0" applyAlignment="0" applyProtection="0"/>
    <xf numFmtId="166" fontId="27" fillId="21" borderId="34"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27" fillId="21" borderId="34" applyNumberFormat="0" applyAlignment="0" applyProtection="0"/>
    <xf numFmtId="166" fontId="3" fillId="24" borderId="24" applyNumberFormat="0" applyFont="0" applyAlignment="0" applyProtection="0"/>
    <xf numFmtId="166" fontId="27" fillId="21" borderId="34" applyNumberFormat="0" applyAlignment="0" applyProtection="0"/>
    <xf numFmtId="166" fontId="3" fillId="24" borderId="24" applyNumberFormat="0" applyFont="0" applyAlignment="0" applyProtection="0"/>
    <xf numFmtId="166" fontId="24" fillId="8" borderId="32" applyNumberFormat="0" applyAlignment="0" applyProtection="0"/>
    <xf numFmtId="166" fontId="24" fillId="8" borderId="32" applyNumberFormat="0" applyAlignment="0" applyProtection="0"/>
    <xf numFmtId="166" fontId="29" fillId="0" borderId="35" applyNumberFormat="0" applyFill="0" applyAlignment="0" applyProtection="0"/>
    <xf numFmtId="166" fontId="27" fillId="21" borderId="34" applyNumberFormat="0" applyAlignment="0" applyProtection="0"/>
    <xf numFmtId="166" fontId="17" fillId="21" borderId="32" applyNumberFormat="0" applyAlignment="0" applyProtection="0"/>
    <xf numFmtId="166" fontId="27" fillId="21" borderId="34" applyNumberFormat="0" applyAlignment="0" applyProtection="0"/>
    <xf numFmtId="166" fontId="3" fillId="24" borderId="24" applyNumberFormat="0" applyFont="0" applyAlignment="0" applyProtection="0"/>
    <xf numFmtId="166" fontId="24" fillId="8" borderId="32" applyNumberFormat="0" applyAlignment="0" applyProtection="0"/>
    <xf numFmtId="166" fontId="24" fillId="8" borderId="32" applyNumberFormat="0" applyAlignment="0" applyProtection="0"/>
    <xf numFmtId="166" fontId="27" fillId="21" borderId="34"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3" fillId="24" borderId="24" applyNumberFormat="0" applyFont="0" applyAlignment="0" applyProtection="0"/>
    <xf numFmtId="166" fontId="27" fillId="21" borderId="34" applyNumberFormat="0" applyAlignment="0" applyProtection="0"/>
    <xf numFmtId="166" fontId="27" fillId="21" borderId="34"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3" fillId="24" borderId="24" applyNumberFormat="0" applyFon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29" fillId="0" borderId="35" applyNumberFormat="0" applyFill="0" applyAlignment="0" applyProtection="0"/>
    <xf numFmtId="166" fontId="27" fillId="21" borderId="34" applyNumberFormat="0" applyAlignment="0" applyProtection="0"/>
    <xf numFmtId="166" fontId="17" fillId="21" borderId="32" applyNumberForma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27" fillId="21" borderId="34" applyNumberFormat="0" applyAlignment="0" applyProtection="0"/>
    <xf numFmtId="166" fontId="27" fillId="21" borderId="34"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27" fillId="21" borderId="34"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24" fillId="8" borderId="32" applyNumberFormat="0" applyAlignment="0" applyProtection="0"/>
    <xf numFmtId="166" fontId="27" fillId="21" borderId="34" applyNumberFormat="0" applyAlignment="0" applyProtection="0"/>
    <xf numFmtId="166" fontId="27" fillId="21" borderId="34" applyNumberFormat="0" applyAlignment="0" applyProtection="0"/>
    <xf numFmtId="166" fontId="27" fillId="21" borderId="34"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3" fillId="24" borderId="24" applyNumberFormat="0" applyFont="0" applyAlignment="0" applyProtection="0"/>
    <xf numFmtId="166" fontId="27" fillId="21" borderId="34" applyNumberFormat="0" applyAlignment="0" applyProtection="0"/>
    <xf numFmtId="166" fontId="27" fillId="21" borderId="34" applyNumberFormat="0" applyAlignment="0" applyProtection="0"/>
    <xf numFmtId="166" fontId="29" fillId="0" borderId="35" applyNumberFormat="0" applyFill="0" applyAlignment="0" applyProtection="0"/>
    <xf numFmtId="166" fontId="24" fillId="8" borderId="32"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27" fillId="21" borderId="34" applyNumberForma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3" fillId="24" borderId="24" applyNumberFormat="0" applyFont="0" applyAlignment="0" applyProtection="0"/>
    <xf numFmtId="166" fontId="17" fillId="21" borderId="32" applyNumberFormat="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29" fillId="0" borderId="35" applyNumberFormat="0" applyFill="0" applyAlignment="0" applyProtection="0"/>
    <xf numFmtId="166" fontId="17" fillId="21" borderId="32" applyNumberFormat="0" applyAlignment="0" applyProtection="0"/>
    <xf numFmtId="166" fontId="27" fillId="21" borderId="34" applyNumberFormat="0" applyAlignment="0" applyProtection="0"/>
    <xf numFmtId="166" fontId="24" fillId="8" borderId="32" applyNumberFormat="0" applyAlignment="0" applyProtection="0"/>
    <xf numFmtId="166" fontId="24" fillId="8" borderId="32" applyNumberFormat="0" applyAlignment="0" applyProtection="0"/>
    <xf numFmtId="166" fontId="24" fillId="8" borderId="32" applyNumberFormat="0" applyAlignment="0" applyProtection="0"/>
    <xf numFmtId="166" fontId="27" fillId="21" borderId="34" applyNumberFormat="0" applyAlignment="0" applyProtection="0"/>
    <xf numFmtId="166" fontId="24" fillId="8" borderId="32" applyNumberFormat="0" applyAlignment="0" applyProtection="0"/>
    <xf numFmtId="166" fontId="3" fillId="24" borderId="24" applyNumberFormat="0" applyFont="0" applyAlignment="0" applyProtection="0"/>
    <xf numFmtId="166" fontId="24" fillId="8" borderId="32" applyNumberFormat="0" applyAlignment="0" applyProtection="0"/>
    <xf numFmtId="166" fontId="27" fillId="21" borderId="34" applyNumberFormat="0" applyAlignment="0" applyProtection="0"/>
    <xf numFmtId="166" fontId="27" fillId="21" borderId="34" applyNumberFormat="0" applyAlignment="0" applyProtection="0"/>
    <xf numFmtId="166" fontId="27" fillId="21" borderId="34" applyNumberFormat="0" applyAlignment="0" applyProtection="0"/>
    <xf numFmtId="166" fontId="27" fillId="21" borderId="34" applyNumberFormat="0" applyAlignment="0" applyProtection="0"/>
    <xf numFmtId="166" fontId="27" fillId="21" borderId="34"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17" fillId="21" borderId="32" applyNumberFormat="0" applyAlignment="0" applyProtection="0"/>
    <xf numFmtId="166" fontId="24" fillId="8" borderId="32" applyNumberFormat="0" applyAlignment="0" applyProtection="0"/>
    <xf numFmtId="166" fontId="24" fillId="8" borderId="32"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24" fillId="8" borderId="32" applyNumberFormat="0" applyAlignment="0" applyProtection="0"/>
    <xf numFmtId="166" fontId="27" fillId="21" borderId="34" applyNumberFormat="0" applyAlignment="0" applyProtection="0"/>
    <xf numFmtId="166" fontId="27" fillId="21" borderId="34" applyNumberFormat="0" applyAlignment="0" applyProtection="0"/>
    <xf numFmtId="166" fontId="24" fillId="8" borderId="32" applyNumberFormat="0" applyAlignment="0" applyProtection="0"/>
    <xf numFmtId="166" fontId="27" fillId="21" borderId="34" applyNumberFormat="0" applyAlignment="0" applyProtection="0"/>
    <xf numFmtId="166" fontId="3" fillId="24" borderId="24" applyNumberFormat="0" applyFont="0" applyAlignment="0" applyProtection="0"/>
    <xf numFmtId="166" fontId="17" fillId="21" borderId="32" applyNumberFormat="0" applyAlignment="0" applyProtection="0"/>
    <xf numFmtId="166" fontId="17" fillId="21" borderId="32" applyNumberFormat="0" applyAlignment="0" applyProtection="0"/>
    <xf numFmtId="166" fontId="27" fillId="21" borderId="34" applyNumberFormat="0" applyAlignment="0" applyProtection="0"/>
    <xf numFmtId="166" fontId="3" fillId="24" borderId="24" applyNumberFormat="0" applyFont="0" applyAlignment="0" applyProtection="0"/>
    <xf numFmtId="166" fontId="17" fillId="21" borderId="32" applyNumberFormat="0" applyAlignment="0" applyProtection="0"/>
    <xf numFmtId="166" fontId="17" fillId="21" borderId="32" applyNumberFormat="0" applyAlignment="0" applyProtection="0"/>
    <xf numFmtId="166" fontId="29" fillId="0" borderId="35" applyNumberFormat="0" applyFill="0" applyAlignment="0" applyProtection="0"/>
    <xf numFmtId="166" fontId="27" fillId="21" borderId="34" applyNumberFormat="0" applyAlignment="0" applyProtection="0"/>
    <xf numFmtId="166" fontId="17" fillId="21" borderId="32" applyNumberFormat="0" applyAlignment="0" applyProtection="0"/>
    <xf numFmtId="166" fontId="29" fillId="0" borderId="35" applyNumberFormat="0" applyFill="0" applyAlignment="0" applyProtection="0"/>
    <xf numFmtId="166" fontId="17" fillId="21" borderId="32" applyNumberForma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29" fillId="0" borderId="35" applyNumberFormat="0" applyFill="0" applyAlignment="0" applyProtection="0"/>
    <xf numFmtId="166" fontId="3" fillId="24" borderId="24" applyNumberFormat="0" applyFont="0" applyAlignment="0" applyProtection="0"/>
    <xf numFmtId="166" fontId="27" fillId="21" borderId="34" applyNumberFormat="0" applyAlignment="0" applyProtection="0"/>
    <xf numFmtId="166" fontId="17" fillId="21" borderId="32" applyNumberForma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3" fillId="24" borderId="24" applyNumberFormat="0" applyFont="0" applyAlignment="0" applyProtection="0"/>
    <xf numFmtId="166" fontId="29" fillId="0" borderId="35" applyNumberFormat="0" applyFill="0" applyAlignment="0" applyProtection="0"/>
    <xf numFmtId="166" fontId="29" fillId="0" borderId="35" applyNumberFormat="0" applyFill="0" applyAlignment="0" applyProtection="0"/>
    <xf numFmtId="166" fontId="17" fillId="21" borderId="32"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27" fillId="21" borderId="34" applyNumberFormat="0" applyAlignment="0" applyProtection="0"/>
    <xf numFmtId="166" fontId="27" fillId="21" borderId="34" applyNumberFormat="0" applyAlignment="0" applyProtection="0"/>
    <xf numFmtId="166" fontId="27" fillId="21" borderId="34" applyNumberFormat="0" applyAlignment="0" applyProtection="0"/>
    <xf numFmtId="166" fontId="29" fillId="0" borderId="35" applyNumberFormat="0" applyFill="0" applyAlignment="0" applyProtection="0"/>
    <xf numFmtId="166" fontId="27" fillId="21" borderId="34" applyNumberFormat="0" applyAlignment="0" applyProtection="0"/>
    <xf numFmtId="166" fontId="24" fillId="8" borderId="32" applyNumberFormat="0" applyAlignment="0" applyProtection="0"/>
    <xf numFmtId="166" fontId="3" fillId="24" borderId="24" applyNumberFormat="0" applyFont="0" applyAlignment="0" applyProtection="0"/>
    <xf numFmtId="166" fontId="29" fillId="0" borderId="35" applyNumberFormat="0" applyFill="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3" fillId="24" borderId="24" applyNumberFormat="0" applyFont="0" applyAlignment="0" applyProtection="0"/>
    <xf numFmtId="166" fontId="3" fillId="24" borderId="24" applyNumberFormat="0" applyFont="0" applyAlignment="0" applyProtection="0"/>
    <xf numFmtId="166" fontId="29" fillId="0" borderId="35" applyNumberFormat="0" applyFill="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3" fillId="24" borderId="24" applyNumberFormat="0" applyFont="0" applyAlignment="0" applyProtection="0"/>
    <xf numFmtId="166" fontId="24" fillId="8" borderId="32"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3" fillId="24" borderId="24" applyNumberFormat="0" applyFont="0" applyAlignment="0" applyProtection="0"/>
    <xf numFmtId="166" fontId="3" fillId="24" borderId="24" applyNumberFormat="0" applyFont="0" applyAlignment="0" applyProtection="0"/>
    <xf numFmtId="166" fontId="24" fillId="8" borderId="32" applyNumberFormat="0" applyAlignment="0" applyProtection="0"/>
    <xf numFmtId="166" fontId="24" fillId="8" borderId="32" applyNumberFormat="0" applyAlignment="0" applyProtection="0"/>
    <xf numFmtId="166" fontId="27" fillId="21" borderId="34" applyNumberFormat="0" applyAlignment="0" applyProtection="0"/>
    <xf numFmtId="166" fontId="29" fillId="0" borderId="35" applyNumberFormat="0" applyFill="0" applyAlignment="0" applyProtection="0"/>
    <xf numFmtId="166" fontId="27" fillId="21" borderId="34" applyNumberFormat="0" applyAlignment="0" applyProtection="0"/>
    <xf numFmtId="166" fontId="24" fillId="8" borderId="32" applyNumberFormat="0" applyAlignment="0" applyProtection="0"/>
    <xf numFmtId="166" fontId="24" fillId="8" borderId="32" applyNumberFormat="0" applyAlignment="0" applyProtection="0"/>
    <xf numFmtId="166" fontId="27" fillId="21" borderId="34" applyNumberFormat="0" applyAlignment="0" applyProtection="0"/>
    <xf numFmtId="166" fontId="29" fillId="0" borderId="35" applyNumberFormat="0" applyFill="0" applyAlignment="0" applyProtection="0"/>
    <xf numFmtId="166" fontId="29" fillId="0" borderId="35" applyNumberFormat="0" applyFill="0" applyAlignment="0" applyProtection="0"/>
    <xf numFmtId="166" fontId="29" fillId="0" borderId="35" applyNumberFormat="0" applyFill="0" applyAlignment="0" applyProtection="0"/>
    <xf numFmtId="166" fontId="29" fillId="0" borderId="35" applyNumberFormat="0" applyFill="0" applyAlignment="0" applyProtection="0"/>
    <xf numFmtId="166" fontId="17" fillId="21" borderId="32" applyNumberFormat="0" applyAlignment="0" applyProtection="0"/>
    <xf numFmtId="166" fontId="17" fillId="21" borderId="32" applyNumberFormat="0" applyAlignment="0" applyProtection="0"/>
    <xf numFmtId="166" fontId="17" fillId="21" borderId="32" applyNumberFormat="0" applyAlignment="0" applyProtection="0"/>
    <xf numFmtId="166" fontId="17" fillId="21" borderId="32" applyNumberFormat="0" applyAlignment="0" applyProtection="0"/>
    <xf numFmtId="166" fontId="27" fillId="21" borderId="34" applyNumberFormat="0" applyAlignment="0" applyProtection="0"/>
    <xf numFmtId="166" fontId="27" fillId="21" borderId="34" applyNumberForma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27" fillId="21" borderId="34" applyNumberFormat="0" applyAlignment="0" applyProtection="0"/>
    <xf numFmtId="166" fontId="3" fillId="24" borderId="24" applyNumberFormat="0" applyFont="0" applyAlignment="0" applyProtection="0"/>
    <xf numFmtId="166" fontId="17" fillId="21" borderId="32" applyNumberFormat="0" applyAlignment="0" applyProtection="0"/>
    <xf numFmtId="166" fontId="27" fillId="21" borderId="34" applyNumberFormat="0" applyAlignment="0" applyProtection="0"/>
    <xf numFmtId="166" fontId="3" fillId="24" borderId="24" applyNumberFormat="0" applyFont="0" applyAlignment="0" applyProtection="0"/>
    <xf numFmtId="166" fontId="24" fillId="8" borderId="32" applyNumberFormat="0" applyAlignment="0" applyProtection="0"/>
    <xf numFmtId="166" fontId="27" fillId="21" borderId="34" applyNumberFormat="0" applyAlignment="0" applyProtection="0"/>
    <xf numFmtId="166" fontId="27" fillId="21" borderId="34" applyNumberFormat="0" applyAlignment="0" applyProtection="0"/>
    <xf numFmtId="166" fontId="3" fillId="24" borderId="24" applyNumberFormat="0" applyFont="0" applyAlignment="0" applyProtection="0"/>
    <xf numFmtId="166" fontId="27" fillId="21" borderId="34" applyNumberFormat="0" applyAlignment="0" applyProtection="0"/>
    <xf numFmtId="166" fontId="27" fillId="21" borderId="34" applyNumberFormat="0" applyAlignment="0" applyProtection="0"/>
    <xf numFmtId="166" fontId="27" fillId="21" borderId="34"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3" fillId="24" borderId="24" applyNumberFormat="0" applyFont="0" applyAlignment="0" applyProtection="0"/>
    <xf numFmtId="166" fontId="3" fillId="24" borderId="24" applyNumberFormat="0" applyFont="0" applyAlignment="0" applyProtection="0"/>
    <xf numFmtId="166" fontId="3" fillId="24" borderId="24" applyNumberFormat="0" applyFon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7" fillId="21" borderId="34" applyNumberFormat="0" applyAlignment="0" applyProtection="0"/>
    <xf numFmtId="166" fontId="17" fillId="21" borderId="32" applyNumberForma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4" fillId="8" borderId="32"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3" fillId="24" borderId="24" applyNumberFormat="0" applyFont="0" applyAlignment="0" applyProtection="0"/>
    <xf numFmtId="166" fontId="17" fillId="21" borderId="32" applyNumberFormat="0" applyAlignment="0" applyProtection="0"/>
    <xf numFmtId="166" fontId="17" fillId="21" borderId="32" applyNumberFormat="0" applyAlignment="0" applyProtection="0"/>
    <xf numFmtId="166" fontId="29" fillId="0" borderId="35" applyNumberFormat="0" applyFill="0" applyAlignment="0" applyProtection="0"/>
    <xf numFmtId="166" fontId="17" fillId="21"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4" fillId="8" borderId="32"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27" fillId="21" borderId="34" applyNumberFormat="0" applyAlignment="0" applyProtection="0"/>
    <xf numFmtId="166" fontId="24" fillId="8" borderId="32" applyNumberForma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3" fillId="24" borderId="24" applyNumberFormat="0" applyFont="0" applyAlignment="0" applyProtection="0"/>
    <xf numFmtId="166" fontId="24" fillId="8" borderId="32" applyNumberFormat="0" applyAlignment="0" applyProtection="0"/>
    <xf numFmtId="166" fontId="17" fillId="21" borderId="32" applyNumberFormat="0" applyAlignment="0" applyProtection="0"/>
    <xf numFmtId="166" fontId="27" fillId="21" borderId="34" applyNumberForma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29" fillId="0" borderId="35" applyNumberFormat="0" applyFill="0" applyAlignment="0" applyProtection="0"/>
    <xf numFmtId="166" fontId="24" fillId="8" borderId="32" applyNumberFormat="0" applyAlignment="0" applyProtection="0"/>
    <xf numFmtId="166" fontId="27" fillId="21" borderId="34" applyNumberForma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27" fillId="21" borderId="34" applyNumberForma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3" fillId="24" borderId="24" applyNumberFormat="0" applyFont="0" applyAlignment="0" applyProtection="0"/>
    <xf numFmtId="166" fontId="3" fillId="24" borderId="24" applyNumberFormat="0" applyFont="0" applyAlignment="0" applyProtection="0"/>
    <xf numFmtId="166" fontId="24" fillId="8"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17" fillId="21" borderId="32"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3" fillId="24" borderId="24" applyNumberFormat="0" applyFont="0" applyAlignment="0" applyProtection="0"/>
    <xf numFmtId="166" fontId="17" fillId="21" borderId="32"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27" fillId="21" borderId="34" applyNumberFormat="0" applyAlignment="0" applyProtection="0"/>
    <xf numFmtId="166" fontId="27" fillId="21" borderId="34" applyNumberFormat="0" applyAlignment="0" applyProtection="0"/>
    <xf numFmtId="166" fontId="29" fillId="0" borderId="35" applyNumberFormat="0" applyFill="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24" fillId="8" borderId="32" applyNumberFormat="0" applyAlignment="0" applyProtection="0"/>
    <xf numFmtId="166" fontId="27" fillId="21" borderId="34" applyNumberFormat="0" applyAlignment="0" applyProtection="0"/>
    <xf numFmtId="166" fontId="29" fillId="0" borderId="35" applyNumberFormat="0" applyFill="0" applyAlignment="0" applyProtection="0"/>
    <xf numFmtId="166" fontId="27" fillId="21" borderId="34" applyNumberFormat="0" applyAlignment="0" applyProtection="0"/>
    <xf numFmtId="166" fontId="27" fillId="21" borderId="34" applyNumberFormat="0" applyAlignment="0" applyProtection="0"/>
    <xf numFmtId="166" fontId="29" fillId="0" borderId="35" applyNumberFormat="0" applyFill="0" applyAlignment="0" applyProtection="0"/>
    <xf numFmtId="166" fontId="27" fillId="21" borderId="34" applyNumberForma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7" fillId="21" borderId="34" applyNumberFormat="0" applyAlignment="0" applyProtection="0"/>
    <xf numFmtId="166" fontId="29" fillId="0" borderId="35" applyNumberFormat="0" applyFill="0" applyAlignment="0" applyProtection="0"/>
    <xf numFmtId="166" fontId="29" fillId="0" borderId="35" applyNumberFormat="0" applyFill="0" applyAlignment="0" applyProtection="0"/>
    <xf numFmtId="166" fontId="27" fillId="21" borderId="34" applyNumberFormat="0" applyAlignment="0" applyProtection="0"/>
    <xf numFmtId="166" fontId="27" fillId="21" borderId="34" applyNumberFormat="0" applyAlignment="0" applyProtection="0"/>
    <xf numFmtId="166" fontId="29" fillId="0" borderId="35" applyNumberFormat="0" applyFill="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3" fillId="24" borderId="24" applyNumberFormat="0" applyFont="0" applyAlignment="0" applyProtection="0"/>
    <xf numFmtId="166" fontId="27" fillId="21" borderId="34" applyNumberFormat="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3" fillId="24" borderId="24" applyNumberFormat="0" applyFont="0" applyAlignment="0" applyProtection="0"/>
    <xf numFmtId="166" fontId="29" fillId="0" borderId="35" applyNumberFormat="0" applyFill="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24" fillId="8"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27" fillId="21" borderId="34" applyNumberFormat="0" applyAlignment="0" applyProtection="0"/>
    <xf numFmtId="166" fontId="29" fillId="0" borderId="35" applyNumberFormat="0" applyFill="0" applyAlignment="0" applyProtection="0"/>
    <xf numFmtId="166" fontId="29" fillId="0" borderId="35" applyNumberFormat="0" applyFill="0" applyAlignment="0" applyProtection="0"/>
    <xf numFmtId="166" fontId="17" fillId="21" borderId="32"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24" fillId="8" borderId="32" applyNumberFormat="0" applyAlignment="0" applyProtection="0"/>
    <xf numFmtId="166" fontId="17" fillId="21" borderId="32" applyNumberFormat="0" applyAlignment="0" applyProtection="0"/>
    <xf numFmtId="166" fontId="27" fillId="21" borderId="34" applyNumberFormat="0" applyAlignment="0" applyProtection="0"/>
    <xf numFmtId="166" fontId="24" fillId="8" borderId="32" applyNumberFormat="0" applyAlignment="0" applyProtection="0"/>
    <xf numFmtId="166" fontId="24" fillId="8" borderId="32" applyNumberFormat="0" applyAlignment="0" applyProtection="0"/>
    <xf numFmtId="166" fontId="29" fillId="0" borderId="35" applyNumberFormat="0" applyFill="0" applyAlignment="0" applyProtection="0"/>
    <xf numFmtId="166" fontId="27" fillId="21" borderId="34" applyNumberFormat="0" applyAlignment="0" applyProtection="0"/>
    <xf numFmtId="166" fontId="27" fillId="21" borderId="34" applyNumberFormat="0" applyAlignment="0" applyProtection="0"/>
    <xf numFmtId="166" fontId="3" fillId="24" borderId="24" applyNumberFormat="0" applyFont="0" applyAlignment="0" applyProtection="0"/>
    <xf numFmtId="166" fontId="3" fillId="24" borderId="24" applyNumberFormat="0" applyFont="0" applyAlignment="0" applyProtection="0"/>
    <xf numFmtId="166" fontId="29" fillId="0" borderId="35" applyNumberFormat="0" applyFill="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24" applyNumberFormat="0" applyFont="0" applyAlignment="0" applyProtection="0"/>
    <xf numFmtId="166" fontId="27" fillId="21" borderId="34" applyNumberFormat="0" applyAlignment="0" applyProtection="0"/>
    <xf numFmtId="166" fontId="29" fillId="0" borderId="35" applyNumberFormat="0" applyFill="0" applyAlignment="0" applyProtection="0"/>
    <xf numFmtId="166" fontId="3" fillId="24" borderId="24" applyNumberFormat="0" applyFont="0" applyAlignment="0" applyProtection="0"/>
    <xf numFmtId="166" fontId="17" fillId="21" borderId="32" applyNumberFormat="0" applyAlignment="0" applyProtection="0"/>
    <xf numFmtId="166" fontId="24" fillId="8" borderId="32" applyNumberFormat="0" applyAlignment="0" applyProtection="0"/>
    <xf numFmtId="166" fontId="17" fillId="21" borderId="32" applyNumberFormat="0" applyAlignment="0" applyProtection="0"/>
    <xf numFmtId="166" fontId="24" fillId="8" borderId="32" applyNumberFormat="0" applyAlignment="0" applyProtection="0"/>
    <xf numFmtId="166" fontId="17" fillId="21" borderId="32" applyNumberFormat="0" applyAlignment="0" applyProtection="0"/>
    <xf numFmtId="166" fontId="24" fillId="8" borderId="32" applyNumberFormat="0" applyAlignment="0" applyProtection="0"/>
    <xf numFmtId="166" fontId="17" fillId="21" borderId="32" applyNumberFormat="0" applyAlignment="0" applyProtection="0"/>
    <xf numFmtId="166" fontId="24" fillId="8" borderId="32" applyNumberFormat="0" applyAlignment="0" applyProtection="0"/>
    <xf numFmtId="166" fontId="17" fillId="21" borderId="32" applyNumberFormat="0" applyAlignment="0" applyProtection="0"/>
    <xf numFmtId="166" fontId="24" fillId="8" borderId="32" applyNumberFormat="0" applyAlignment="0" applyProtection="0"/>
    <xf numFmtId="166" fontId="17" fillId="21" borderId="32" applyNumberFormat="0" applyAlignment="0" applyProtection="0"/>
    <xf numFmtId="166" fontId="24" fillId="8" borderId="32" applyNumberForma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33" applyNumberFormat="0" applyFont="0" applyAlignment="0" applyProtection="0"/>
    <xf numFmtId="166" fontId="3" fillId="24" borderId="33"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33" applyNumberFormat="0" applyFont="0" applyAlignment="0" applyProtection="0"/>
    <xf numFmtId="166" fontId="3" fillId="24" borderId="33"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33" applyNumberFormat="0" applyFont="0" applyAlignment="0" applyProtection="0"/>
    <xf numFmtId="166" fontId="3" fillId="24" borderId="33"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33" applyNumberFormat="0" applyFont="0" applyAlignment="0" applyProtection="0"/>
    <xf numFmtId="166" fontId="3" fillId="24" borderId="33"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33" applyNumberFormat="0" applyFont="0" applyAlignment="0" applyProtection="0"/>
    <xf numFmtId="166" fontId="3" fillId="24" borderId="33"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33" applyNumberFormat="0" applyFont="0" applyAlignment="0" applyProtection="0"/>
    <xf numFmtId="166" fontId="3" fillId="24" borderId="33" applyNumberFormat="0" applyFont="0" applyAlignment="0" applyProtection="0"/>
    <xf numFmtId="166" fontId="17" fillId="21" borderId="32" applyNumberFormat="0" applyAlignment="0" applyProtection="0"/>
    <xf numFmtId="166" fontId="24" fillId="8" borderId="32" applyNumberForma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166" fontId="3" fillId="24" borderId="33" applyNumberFormat="0" applyFont="0" applyAlignment="0" applyProtection="0"/>
    <xf numFmtId="44" fontId="1" fillId="0" borderId="0" applyFont="0" applyFill="0" applyBorder="0" applyAlignment="0" applyProtection="0"/>
  </cellStyleXfs>
  <cellXfs count="412">
    <xf numFmtId="0" fontId="0" fillId="0" borderId="0" xfId="0"/>
    <xf numFmtId="0" fontId="3"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vertical="center"/>
    </xf>
    <xf numFmtId="2" fontId="3" fillId="0" borderId="0" xfId="1" applyNumberFormat="1" applyFont="1" applyAlignment="1">
      <alignment vertical="center"/>
    </xf>
    <xf numFmtId="0" fontId="3" fillId="2" borderId="0" xfId="0" applyFont="1" applyFill="1" applyAlignment="1">
      <alignment vertical="center"/>
    </xf>
    <xf numFmtId="0" fontId="3" fillId="2" borderId="0" xfId="0" applyFont="1" applyFill="1" applyBorder="1" applyAlignment="1">
      <alignment vertical="center"/>
    </xf>
    <xf numFmtId="9" fontId="3" fillId="0" borderId="0" xfId="192" applyFont="1" applyAlignment="1">
      <alignment vertical="center"/>
    </xf>
    <xf numFmtId="44" fontId="3" fillId="0" borderId="0" xfId="1" applyNumberFormat="1" applyFont="1" applyAlignment="1">
      <alignment vertical="center"/>
    </xf>
    <xf numFmtId="0" fontId="32" fillId="2" borderId="0" xfId="0" applyFont="1" applyFill="1" applyAlignment="1">
      <alignment vertical="center"/>
    </xf>
    <xf numFmtId="0" fontId="35" fillId="2" borderId="0" xfId="0" applyFont="1" applyFill="1" applyAlignment="1">
      <alignment vertical="center"/>
    </xf>
    <xf numFmtId="0" fontId="3" fillId="0" borderId="0" xfId="0" applyFont="1" applyAlignment="1">
      <alignment vertical="center"/>
    </xf>
    <xf numFmtId="9" fontId="3" fillId="0" borderId="0" xfId="192" applyFont="1" applyAlignment="1">
      <alignment vertical="center"/>
    </xf>
    <xf numFmtId="0" fontId="5" fillId="0" borderId="31" xfId="0" applyFont="1" applyFill="1" applyBorder="1" applyAlignment="1">
      <alignment horizontal="center" vertical="center" wrapText="1"/>
    </xf>
    <xf numFmtId="0" fontId="5" fillId="0" borderId="31" xfId="0" applyFont="1" applyFill="1" applyBorder="1" applyAlignment="1">
      <alignment vertical="center" wrapText="1"/>
    </xf>
    <xf numFmtId="0" fontId="5" fillId="0" borderId="31" xfId="0" applyFont="1" applyFill="1" applyBorder="1" applyAlignment="1">
      <alignment horizontal="left" vertical="center" wrapText="1"/>
    </xf>
    <xf numFmtId="0" fontId="5" fillId="0" borderId="31" xfId="0" applyFont="1" applyFill="1" applyBorder="1" applyAlignment="1">
      <alignment horizontal="center" vertical="top" wrapText="1"/>
    </xf>
    <xf numFmtId="0" fontId="3" fillId="25" borderId="0" xfId="0" applyFont="1" applyFill="1" applyAlignment="1">
      <alignment vertical="center"/>
    </xf>
    <xf numFmtId="0" fontId="0" fillId="0" borderId="0" xfId="0" pivotButton="1"/>
    <xf numFmtId="0" fontId="0" fillId="0" borderId="0" xfId="0" applyAlignment="1">
      <alignment horizontal="left"/>
    </xf>
    <xf numFmtId="166" fontId="5" fillId="0" borderId="31" xfId="3" applyFont="1" applyFill="1" applyBorder="1" applyAlignment="1">
      <alignment horizontal="left" vertical="top" wrapText="1"/>
    </xf>
    <xf numFmtId="166" fontId="5" fillId="0" borderId="31" xfId="3" applyFont="1" applyFill="1" applyBorder="1" applyAlignment="1">
      <alignment horizontal="left" vertical="center" wrapText="1"/>
    </xf>
    <xf numFmtId="166" fontId="5" fillId="0" borderId="31" xfId="0" applyNumberFormat="1" applyFont="1" applyFill="1" applyBorder="1" applyAlignment="1">
      <alignment horizontal="center" vertical="center" wrapText="1"/>
    </xf>
    <xf numFmtId="15" fontId="5" fillId="0" borderId="31" xfId="0" applyNumberFormat="1" applyFont="1" applyFill="1" applyBorder="1" applyAlignment="1">
      <alignment horizontal="center" vertical="center" wrapText="1"/>
    </xf>
    <xf numFmtId="1" fontId="5" fillId="0" borderId="31" xfId="0" applyNumberFormat="1" applyFont="1" applyFill="1" applyBorder="1" applyAlignment="1">
      <alignment horizontal="center" vertical="center" wrapText="1"/>
    </xf>
    <xf numFmtId="9" fontId="5" fillId="0" borderId="31" xfId="192" applyFont="1" applyFill="1" applyBorder="1" applyAlignment="1">
      <alignment horizontal="center" vertical="center" wrapText="1"/>
    </xf>
    <xf numFmtId="0" fontId="5" fillId="0" borderId="31" xfId="0" applyFont="1" applyFill="1" applyBorder="1" applyAlignment="1">
      <alignment horizontal="center" vertical="center"/>
    </xf>
    <xf numFmtId="0" fontId="6" fillId="0" borderId="31" xfId="0" applyFont="1" applyFill="1" applyBorder="1" applyAlignment="1">
      <alignment horizontal="center" vertical="center" wrapText="1"/>
    </xf>
    <xf numFmtId="4" fontId="5" fillId="0" borderId="31" xfId="0" applyNumberFormat="1" applyFont="1" applyFill="1" applyBorder="1" applyAlignment="1">
      <alignment horizontal="center" vertical="center" wrapText="1"/>
    </xf>
    <xf numFmtId="44" fontId="5" fillId="0" borderId="31" xfId="3" applyNumberFormat="1" applyFont="1" applyFill="1" applyBorder="1" applyAlignment="1">
      <alignment horizontal="center" vertical="center" wrapText="1"/>
    </xf>
    <xf numFmtId="44" fontId="5" fillId="0" borderId="31" xfId="0" applyNumberFormat="1" applyFont="1" applyFill="1" applyBorder="1" applyAlignment="1">
      <alignment horizontal="center" vertical="center" wrapText="1"/>
    </xf>
    <xf numFmtId="44" fontId="7" fillId="0" borderId="31" xfId="1870" applyFont="1" applyFill="1" applyBorder="1" applyAlignment="1">
      <alignment horizontal="center" vertical="center" wrapText="1"/>
    </xf>
    <xf numFmtId="0" fontId="3" fillId="0" borderId="31" xfId="0" applyFont="1" applyFill="1" applyBorder="1" applyAlignment="1">
      <alignment horizontal="center" vertical="center"/>
    </xf>
    <xf numFmtId="44" fontId="5" fillId="0" borderId="31" xfId="6" applyNumberFormat="1" applyFont="1" applyFill="1" applyBorder="1" applyAlignment="1">
      <alignment horizontal="center" vertical="center"/>
    </xf>
    <xf numFmtId="0" fontId="5" fillId="0" borderId="31" xfId="0" applyFont="1" applyFill="1" applyBorder="1" applyAlignment="1">
      <alignment vertical="top" wrapText="1"/>
    </xf>
    <xf numFmtId="9" fontId="5" fillId="0" borderId="31" xfId="3" applyNumberFormat="1" applyFont="1" applyFill="1" applyBorder="1" applyAlignment="1">
      <alignment horizontal="center" vertical="center" wrapText="1"/>
    </xf>
    <xf numFmtId="9" fontId="7" fillId="0" borderId="31" xfId="192" applyFont="1" applyFill="1" applyBorder="1" applyAlignment="1">
      <alignment horizontal="center" vertical="center" wrapText="1"/>
    </xf>
    <xf numFmtId="44" fontId="5" fillId="0" borderId="31" xfId="1870" applyFont="1" applyFill="1" applyBorder="1" applyAlignment="1">
      <alignment horizontal="center" vertical="center" wrapText="1"/>
    </xf>
    <xf numFmtId="0" fontId="5" fillId="0" borderId="31" xfId="9" applyFont="1" applyFill="1" applyBorder="1" applyAlignment="1">
      <alignment horizontal="center" vertical="center" wrapText="1"/>
    </xf>
    <xf numFmtId="43" fontId="5" fillId="0"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4" fontId="5" fillId="0" borderId="31" xfId="60" applyFont="1" applyFill="1" applyBorder="1" applyAlignment="1">
      <alignment horizontal="center" vertical="center" wrapText="1"/>
    </xf>
    <xf numFmtId="15" fontId="5" fillId="0" borderId="31" xfId="3" applyNumberFormat="1" applyFont="1" applyFill="1" applyBorder="1" applyAlignment="1">
      <alignment horizontal="center" vertical="center" wrapText="1"/>
    </xf>
    <xf numFmtId="0" fontId="5" fillId="0" borderId="31" xfId="0" applyFont="1" applyFill="1" applyBorder="1" applyAlignment="1">
      <alignment horizontal="left" vertical="top" wrapText="1"/>
    </xf>
    <xf numFmtId="0" fontId="5" fillId="0" borderId="31" xfId="0" applyNumberFormat="1" applyFont="1" applyFill="1" applyBorder="1" applyAlignment="1">
      <alignment horizontal="center" vertical="center" wrapText="1"/>
    </xf>
    <xf numFmtId="44" fontId="5" fillId="0" borderId="31" xfId="60" applyNumberFormat="1" applyFont="1" applyFill="1" applyBorder="1" applyAlignment="1">
      <alignment horizontal="center" vertical="center" wrapText="1"/>
    </xf>
    <xf numFmtId="166" fontId="5" fillId="0" borderId="31" xfId="3" applyFont="1" applyFill="1" applyBorder="1" applyAlignment="1">
      <alignment horizontal="center" vertical="center" wrapText="1"/>
    </xf>
    <xf numFmtId="166" fontId="5" fillId="0" borderId="31" xfId="3" applyFont="1" applyFill="1" applyBorder="1" applyAlignment="1">
      <alignment vertical="center" wrapText="1"/>
    </xf>
    <xf numFmtId="1" fontId="5" fillId="0" borderId="31" xfId="0" applyNumberFormat="1" applyFont="1" applyFill="1" applyBorder="1" applyAlignment="1">
      <alignment horizontal="center" vertical="center"/>
    </xf>
    <xf numFmtId="43" fontId="5" fillId="0" borderId="31" xfId="8" applyNumberFormat="1" applyFont="1" applyFill="1" applyBorder="1" applyAlignment="1">
      <alignment horizontal="center" vertical="center" wrapText="1"/>
    </xf>
    <xf numFmtId="0" fontId="5" fillId="0" borderId="31" xfId="8" applyNumberFormat="1" applyFont="1" applyFill="1" applyBorder="1" applyAlignment="1">
      <alignment horizontal="center" vertical="center" wrapText="1"/>
    </xf>
    <xf numFmtId="9" fontId="5" fillId="0" borderId="31" xfId="0" applyNumberFormat="1" applyFont="1" applyFill="1" applyBorder="1" applyAlignment="1">
      <alignment horizontal="center" vertical="center" wrapText="1"/>
    </xf>
    <xf numFmtId="167" fontId="5" fillId="0" borderId="31" xfId="0" applyNumberFormat="1" applyFont="1" applyFill="1" applyBorder="1" applyAlignment="1">
      <alignment horizontal="center" vertical="center" wrapText="1"/>
    </xf>
    <xf numFmtId="44" fontId="5" fillId="0" borderId="31" xfId="60" applyFont="1" applyFill="1" applyBorder="1" applyAlignment="1">
      <alignment horizontal="center" wrapText="1"/>
    </xf>
    <xf numFmtId="44" fontId="33" fillId="0" borderId="31" xfId="60" applyNumberFormat="1" applyFont="1" applyFill="1" applyBorder="1" applyAlignment="1">
      <alignment horizontal="left" vertical="center"/>
    </xf>
    <xf numFmtId="0" fontId="3" fillId="0" borderId="31" xfId="0" applyFont="1" applyFill="1" applyBorder="1" applyAlignment="1">
      <alignment vertical="center"/>
    </xf>
    <xf numFmtId="1" fontId="7" fillId="0" borderId="31" xfId="0" applyNumberFormat="1" applyFont="1" applyFill="1" applyBorder="1" applyAlignment="1">
      <alignment horizontal="center" vertical="center" wrapText="1"/>
    </xf>
    <xf numFmtId="14" fontId="5" fillId="0" borderId="31" xfId="0" applyNumberFormat="1" applyFont="1" applyFill="1" applyBorder="1" applyAlignment="1">
      <alignment horizontal="center" vertical="center" wrapText="1"/>
    </xf>
    <xf numFmtId="44" fontId="5" fillId="0" borderId="31" xfId="60" applyNumberFormat="1" applyFont="1" applyFill="1" applyBorder="1" applyAlignment="1">
      <alignment vertical="center"/>
    </xf>
    <xf numFmtId="168" fontId="5" fillId="0" borderId="31" xfId="60" applyNumberFormat="1" applyFont="1" applyFill="1" applyBorder="1" applyAlignment="1">
      <alignment horizontal="center" vertical="center" wrapText="1"/>
    </xf>
    <xf numFmtId="44" fontId="5" fillId="0" borderId="31" xfId="60" applyNumberFormat="1" applyFont="1" applyFill="1" applyBorder="1" applyAlignment="1">
      <alignment horizontal="left" vertical="center"/>
    </xf>
    <xf numFmtId="10" fontId="5" fillId="0" borderId="31" xfId="192" applyNumberFormat="1" applyFont="1" applyFill="1" applyBorder="1" applyAlignment="1">
      <alignment horizontal="center" vertical="center" wrapText="1"/>
    </xf>
    <xf numFmtId="166" fontId="5" fillId="0" borderId="31" xfId="155" applyFont="1" applyFill="1" applyBorder="1" applyAlignment="1">
      <alignment horizontal="center" vertical="top" wrapText="1"/>
    </xf>
    <xf numFmtId="9" fontId="5" fillId="0" borderId="31" xfId="192" applyNumberFormat="1" applyFont="1" applyFill="1" applyBorder="1" applyAlignment="1">
      <alignment horizontal="center" vertical="center" wrapText="1"/>
    </xf>
    <xf numFmtId="44" fontId="5" fillId="0" borderId="31" xfId="6" applyNumberFormat="1" applyFont="1" applyFill="1" applyBorder="1" applyAlignment="1">
      <alignment horizontal="center" vertical="center" wrapText="1"/>
    </xf>
    <xf numFmtId="44" fontId="5" fillId="0" borderId="31" xfId="6" applyFont="1" applyFill="1" applyBorder="1" applyAlignment="1">
      <alignment horizontal="center" vertical="center" wrapText="1"/>
    </xf>
    <xf numFmtId="44" fontId="5" fillId="0" borderId="31" xfId="60" applyFont="1" applyFill="1" applyBorder="1" applyAlignment="1">
      <alignment vertical="center"/>
    </xf>
    <xf numFmtId="44" fontId="5" fillId="0" borderId="31" xfId="1870" applyFont="1" applyFill="1" applyBorder="1" applyAlignment="1">
      <alignment vertical="center"/>
    </xf>
    <xf numFmtId="44" fontId="5" fillId="0" borderId="31" xfId="1870" applyNumberFormat="1" applyFont="1" applyFill="1" applyBorder="1" applyAlignment="1">
      <alignment horizontal="center" vertical="center" wrapText="1"/>
    </xf>
    <xf numFmtId="166" fontId="5" fillId="0" borderId="31" xfId="3" applyFont="1" applyFill="1" applyBorder="1" applyAlignment="1">
      <alignment vertical="top" wrapText="1"/>
    </xf>
    <xf numFmtId="0" fontId="5" fillId="0" borderId="31" xfId="0" applyFont="1" applyFill="1" applyBorder="1" applyAlignment="1">
      <alignment horizontal="center" wrapText="1"/>
    </xf>
    <xf numFmtId="1" fontId="5" fillId="0" borderId="31" xfId="1870" applyNumberFormat="1" applyFont="1" applyFill="1" applyBorder="1" applyAlignment="1">
      <alignment horizontal="center" vertical="center" wrapText="1"/>
    </xf>
    <xf numFmtId="0" fontId="3" fillId="0" borderId="0" xfId="0" applyFont="1" applyFill="1" applyAlignment="1">
      <alignment vertical="center"/>
    </xf>
    <xf numFmtId="0" fontId="13" fillId="0" borderId="31" xfId="9" applyFont="1" applyFill="1" applyBorder="1" applyAlignment="1">
      <alignment horizontal="center" vertical="center" wrapText="1"/>
    </xf>
    <xf numFmtId="0" fontId="13" fillId="0" borderId="31" xfId="9" applyFont="1" applyFill="1" applyBorder="1" applyAlignment="1">
      <alignment horizontal="center" vertical="top" wrapText="1"/>
    </xf>
    <xf numFmtId="44" fontId="5" fillId="0" borderId="31" xfId="6" applyFont="1" applyFill="1" applyBorder="1" applyAlignment="1">
      <alignment horizontal="right" vertical="center" wrapText="1"/>
    </xf>
    <xf numFmtId="44" fontId="5" fillId="0" borderId="31" xfId="6" applyFont="1" applyFill="1" applyBorder="1" applyAlignment="1">
      <alignment vertical="center" wrapText="1"/>
    </xf>
    <xf numFmtId="44" fontId="5" fillId="0" borderId="31" xfId="6" applyNumberFormat="1" applyFont="1" applyFill="1" applyBorder="1" applyAlignment="1">
      <alignment horizontal="right" vertical="center" wrapText="1"/>
    </xf>
    <xf numFmtId="0" fontId="3" fillId="0" borderId="31" xfId="0" applyFont="1" applyFill="1" applyBorder="1" applyAlignment="1">
      <alignment horizontal="center" vertical="center" wrapText="1"/>
    </xf>
    <xf numFmtId="44" fontId="33" fillId="0" borderId="31" xfId="60" applyNumberFormat="1" applyFont="1" applyFill="1" applyBorder="1" applyAlignment="1">
      <alignment horizontal="center" vertical="center"/>
    </xf>
    <xf numFmtId="0" fontId="33" fillId="0" borderId="31" xfId="0" applyFont="1" applyFill="1" applyBorder="1" applyAlignment="1">
      <alignment horizontal="left" vertical="center" wrapText="1"/>
    </xf>
    <xf numFmtId="44" fontId="40" fillId="0" borderId="31" xfId="60" applyNumberFormat="1" applyFont="1" applyFill="1" applyBorder="1" applyAlignment="1">
      <alignment horizontal="center" vertical="center" wrapText="1"/>
    </xf>
    <xf numFmtId="43" fontId="5" fillId="0" borderId="31" xfId="0" applyNumberFormat="1" applyFont="1" applyFill="1" applyBorder="1" applyAlignment="1">
      <alignment horizontal="center" vertical="center" wrapText="1"/>
    </xf>
    <xf numFmtId="165" fontId="5" fillId="0" borderId="31" xfId="1870" applyNumberFormat="1" applyFont="1" applyFill="1" applyBorder="1" applyAlignment="1">
      <alignment horizontal="center" vertical="center" wrapText="1"/>
    </xf>
    <xf numFmtId="9" fontId="13" fillId="0" borderId="31" xfId="192" applyFont="1" applyFill="1" applyBorder="1" applyAlignment="1">
      <alignment horizontal="center" vertical="center" wrapText="1"/>
    </xf>
    <xf numFmtId="10" fontId="5" fillId="0" borderId="31" xfId="3" applyNumberFormat="1" applyFont="1" applyFill="1" applyBorder="1" applyAlignment="1">
      <alignment horizontal="center" vertical="center" wrapText="1"/>
    </xf>
    <xf numFmtId="44" fontId="5" fillId="0" borderId="31" xfId="4" applyFont="1" applyFill="1" applyBorder="1" applyAlignment="1">
      <alignment horizontal="center" vertical="center" wrapText="1"/>
    </xf>
    <xf numFmtId="44" fontId="5" fillId="0" borderId="31" xfId="4" applyNumberFormat="1" applyFont="1" applyFill="1" applyBorder="1" applyAlignment="1">
      <alignment horizontal="center" vertical="center" wrapText="1"/>
    </xf>
    <xf numFmtId="14" fontId="41" fillId="0" borderId="31" xfId="0" applyNumberFormat="1" applyFont="1" applyFill="1" applyBorder="1" applyAlignment="1">
      <alignment horizontal="center" vertical="center" wrapText="1"/>
    </xf>
    <xf numFmtId="43" fontId="41" fillId="0" borderId="31" xfId="1" applyNumberFormat="1" applyFont="1" applyFill="1" applyBorder="1" applyAlignment="1">
      <alignment vertical="center" wrapText="1"/>
    </xf>
    <xf numFmtId="43" fontId="37" fillId="0" borderId="31" xfId="0" applyNumberFormat="1" applyFont="1" applyFill="1" applyBorder="1" applyAlignment="1">
      <alignment horizontal="center" vertical="center" wrapText="1"/>
    </xf>
    <xf numFmtId="43" fontId="37" fillId="0" borderId="31" xfId="0" applyNumberFormat="1" applyFont="1" applyFill="1" applyBorder="1" applyAlignment="1">
      <alignment horizontal="right" vertical="center" wrapText="1"/>
    </xf>
    <xf numFmtId="165" fontId="7" fillId="0" borderId="31" xfId="2" applyFont="1" applyFill="1" applyBorder="1" applyAlignment="1">
      <alignment horizontal="center" vertical="center" wrapText="1"/>
    </xf>
    <xf numFmtId="165" fontId="5" fillId="0" borderId="31" xfId="2" applyFont="1" applyFill="1" applyBorder="1" applyAlignment="1">
      <alignment horizontal="center" vertical="center" wrapText="1"/>
    </xf>
    <xf numFmtId="43" fontId="39" fillId="0" borderId="31" xfId="54" applyNumberFormat="1" applyFont="1" applyFill="1" applyBorder="1" applyAlignment="1">
      <alignment horizontal="center" vertical="center" wrapText="1"/>
    </xf>
    <xf numFmtId="44" fontId="5" fillId="0" borderId="31" xfId="6" applyNumberFormat="1" applyFont="1" applyFill="1" applyBorder="1" applyAlignment="1">
      <alignment vertical="center" wrapText="1"/>
    </xf>
    <xf numFmtId="0" fontId="34" fillId="0" borderId="31"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31" xfId="0" applyFont="1" applyFill="1" applyBorder="1" applyAlignment="1">
      <alignment horizontal="center" vertical="center" wrapText="1"/>
    </xf>
    <xf numFmtId="15" fontId="9" fillId="0" borderId="31" xfId="0" applyNumberFormat="1" applyFont="1" applyFill="1" applyBorder="1" applyAlignment="1">
      <alignment horizontal="center" vertical="center"/>
    </xf>
    <xf numFmtId="44" fontId="5" fillId="0" borderId="31" xfId="3" applyNumberFormat="1" applyFont="1" applyFill="1" applyBorder="1" applyAlignment="1">
      <alignment vertical="center" wrapText="1"/>
    </xf>
    <xf numFmtId="9" fontId="5" fillId="0" borderId="31" xfId="192" applyFont="1" applyFill="1" applyBorder="1" applyAlignment="1">
      <alignment vertical="center" wrapText="1"/>
    </xf>
    <xf numFmtId="15" fontId="5" fillId="0" borderId="31" xfId="0" applyNumberFormat="1" applyFont="1" applyFill="1" applyBorder="1" applyAlignment="1">
      <alignment horizontal="center" vertical="center"/>
    </xf>
    <xf numFmtId="43" fontId="5" fillId="0" borderId="31" xfId="0" applyNumberFormat="1" applyFont="1" applyFill="1" applyBorder="1" applyAlignment="1">
      <alignment horizontal="left" vertical="center" wrapText="1"/>
    </xf>
    <xf numFmtId="0" fontId="7" fillId="0" borderId="31" xfId="0" applyFont="1" applyFill="1" applyBorder="1" applyAlignment="1">
      <alignment horizontal="center" vertical="center" wrapText="1"/>
    </xf>
    <xf numFmtId="0" fontId="3" fillId="27" borderId="0" xfId="0" applyFont="1" applyFill="1" applyAlignment="1">
      <alignment vertical="center"/>
    </xf>
    <xf numFmtId="0" fontId="3" fillId="26" borderId="0" xfId="0" applyFont="1" applyFill="1" applyAlignment="1">
      <alignment vertical="center"/>
    </xf>
    <xf numFmtId="43" fontId="43" fillId="0" borderId="31" xfId="1" applyFont="1" applyFill="1" applyBorder="1"/>
    <xf numFmtId="43" fontId="3" fillId="2" borderId="0" xfId="0" applyNumberFormat="1" applyFont="1" applyFill="1" applyAlignment="1">
      <alignment vertical="center"/>
    </xf>
    <xf numFmtId="0" fontId="5" fillId="0" borderId="0" xfId="0"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xf>
    <xf numFmtId="4" fontId="0" fillId="0" borderId="0" xfId="0" applyNumberFormat="1"/>
    <xf numFmtId="43" fontId="0" fillId="0" borderId="0" xfId="1" applyFont="1"/>
    <xf numFmtId="0" fontId="0" fillId="0" borderId="0" xfId="0" applyNumberFormat="1"/>
    <xf numFmtId="0" fontId="0" fillId="0" borderId="0" xfId="0" applyAlignment="1">
      <alignment wrapText="1"/>
    </xf>
    <xf numFmtId="43" fontId="0" fillId="0" borderId="0" xfId="0" applyNumberFormat="1"/>
    <xf numFmtId="0" fontId="0" fillId="0" borderId="0" xfId="0" pivotButton="1" applyAlignment="1">
      <alignment wrapText="1"/>
    </xf>
    <xf numFmtId="43" fontId="0" fillId="0" borderId="0" xfId="1" applyFont="1" applyAlignment="1">
      <alignment wrapText="1"/>
    </xf>
    <xf numFmtId="44" fontId="5" fillId="0" borderId="0" xfId="3" applyNumberFormat="1" applyFont="1" applyFill="1" applyBorder="1" applyAlignment="1">
      <alignment horizontal="center" vertical="center" wrapText="1"/>
    </xf>
    <xf numFmtId="0" fontId="3" fillId="0" borderId="0" xfId="0" applyFont="1" applyAlignment="1">
      <alignment vertical="top" wrapText="1"/>
    </xf>
    <xf numFmtId="0" fontId="3" fillId="0" borderId="31" xfId="0" applyFont="1" applyFill="1" applyBorder="1" applyAlignment="1">
      <alignment vertical="top" wrapText="1"/>
    </xf>
    <xf numFmtId="43" fontId="46" fillId="0" borderId="31" xfId="1" applyFont="1" applyFill="1" applyBorder="1"/>
    <xf numFmtId="0" fontId="47" fillId="0" borderId="31" xfId="0" applyFont="1" applyFill="1" applyBorder="1" applyAlignment="1">
      <alignment horizontal="center" vertical="center"/>
    </xf>
    <xf numFmtId="44" fontId="8" fillId="0" borderId="31" xfId="60" applyFont="1" applyFill="1" applyBorder="1" applyAlignment="1">
      <alignment horizontal="center" vertical="center" wrapText="1"/>
    </xf>
    <xf numFmtId="44" fontId="8" fillId="0" borderId="31" xfId="1870" applyFont="1" applyFill="1" applyBorder="1" applyAlignment="1">
      <alignment horizontal="center" vertical="center" wrapText="1"/>
    </xf>
    <xf numFmtId="43" fontId="5" fillId="0" borderId="31" xfId="0" applyNumberFormat="1" applyFont="1" applyFill="1" applyBorder="1" applyAlignment="1">
      <alignment horizontal="left" vertical="top" wrapText="1"/>
    </xf>
    <xf numFmtId="44" fontId="5" fillId="0" borderId="31" xfId="1870" applyNumberFormat="1" applyFont="1" applyFill="1" applyBorder="1" applyAlignment="1">
      <alignment vertical="center" wrapText="1"/>
    </xf>
    <xf numFmtId="44" fontId="5" fillId="0" borderId="31" xfId="1870" applyFont="1" applyFill="1" applyBorder="1" applyAlignment="1">
      <alignment vertical="center" wrapText="1"/>
    </xf>
    <xf numFmtId="0" fontId="48" fillId="0" borderId="31" xfId="0" applyFont="1" applyFill="1" applyBorder="1" applyAlignment="1">
      <alignment horizontal="center" vertical="center" wrapText="1"/>
    </xf>
    <xf numFmtId="0" fontId="33" fillId="0" borderId="31" xfId="0" applyFont="1" applyFill="1" applyBorder="1" applyAlignment="1">
      <alignment horizontal="center" vertical="center" wrapText="1"/>
    </xf>
    <xf numFmtId="43" fontId="5" fillId="0" borderId="31" xfId="0" applyNumberFormat="1" applyFont="1" applyFill="1" applyBorder="1" applyAlignment="1">
      <alignment vertical="center" wrapText="1"/>
    </xf>
    <xf numFmtId="166" fontId="5" fillId="0" borderId="31" xfId="0" applyNumberFormat="1" applyFont="1" applyFill="1" applyBorder="1" applyAlignment="1">
      <alignment horizontal="center" vertical="top" wrapText="1"/>
    </xf>
    <xf numFmtId="44" fontId="8" fillId="0" borderId="31" xfId="3" applyNumberFormat="1" applyFont="1" applyFill="1" applyBorder="1" applyAlignment="1">
      <alignment horizontal="center" vertical="center" wrapText="1"/>
    </xf>
    <xf numFmtId="9" fontId="8" fillId="0" borderId="31" xfId="192" applyFont="1" applyFill="1" applyBorder="1" applyAlignment="1">
      <alignment horizontal="center" vertical="center" wrapText="1"/>
    </xf>
    <xf numFmtId="2" fontId="3" fillId="0" borderId="0" xfId="1" applyNumberFormat="1" applyFont="1" applyFill="1" applyBorder="1" applyAlignment="1">
      <alignment horizontal="left" vertical="center" wrapText="1"/>
    </xf>
    <xf numFmtId="44" fontId="3" fillId="0" borderId="0" xfId="1" applyNumberFormat="1" applyFont="1" applyFill="1" applyBorder="1" applyAlignment="1">
      <alignment horizontal="left" vertical="center" wrapText="1"/>
    </xf>
    <xf numFmtId="165" fontId="3" fillId="0" borderId="0" xfId="2" applyFont="1" applyFill="1" applyBorder="1" applyAlignment="1">
      <alignment horizontal="left" vertical="center" wrapText="1"/>
    </xf>
    <xf numFmtId="9" fontId="3" fillId="0" borderId="0" xfId="192" applyFont="1" applyFill="1" applyBorder="1" applyAlignment="1">
      <alignment horizontal="left" vertical="center" wrapText="1"/>
    </xf>
    <xf numFmtId="165" fontId="3" fillId="0" borderId="0" xfId="2" applyFont="1" applyFill="1" applyBorder="1" applyAlignment="1">
      <alignment horizontal="center" vertical="center" wrapText="1"/>
    </xf>
    <xf numFmtId="9" fontId="3" fillId="0" borderId="0" xfId="192"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top"/>
    </xf>
    <xf numFmtId="0" fontId="3" fillId="0" borderId="0" xfId="0" applyFont="1" applyFill="1" applyAlignment="1">
      <alignment vertical="top"/>
    </xf>
    <xf numFmtId="14" fontId="3" fillId="0" borderId="0" xfId="0" applyNumberFormat="1" applyFont="1" applyFill="1" applyAlignment="1">
      <alignment horizontal="center" vertical="center"/>
    </xf>
    <xf numFmtId="14" fontId="3" fillId="0" borderId="0" xfId="0" applyNumberFormat="1" applyFont="1" applyFill="1" applyAlignment="1">
      <alignment vertical="center"/>
    </xf>
    <xf numFmtId="2" fontId="3" fillId="0" borderId="0" xfId="1" applyNumberFormat="1" applyFont="1" applyFill="1" applyAlignment="1">
      <alignment vertical="center"/>
    </xf>
    <xf numFmtId="44" fontId="3" fillId="0" borderId="0" xfId="1" applyNumberFormat="1" applyFont="1" applyFill="1" applyAlignment="1">
      <alignment vertical="center"/>
    </xf>
    <xf numFmtId="9" fontId="3" fillId="0" borderId="0" xfId="192" applyFont="1" applyFill="1" applyAlignment="1">
      <alignment vertical="center"/>
    </xf>
    <xf numFmtId="44" fontId="3" fillId="0" borderId="0" xfId="192" applyNumberFormat="1" applyFont="1" applyFill="1" applyAlignment="1">
      <alignment vertical="center"/>
    </xf>
    <xf numFmtId="0" fontId="5" fillId="0" borderId="31" xfId="6" applyNumberFormat="1" applyFont="1" applyFill="1" applyBorder="1" applyAlignment="1">
      <alignment horizontal="center" vertical="center"/>
    </xf>
    <xf numFmtId="15" fontId="8" fillId="0" borderId="31" xfId="0" applyNumberFormat="1" applyFont="1" applyFill="1" applyBorder="1" applyAlignment="1">
      <alignment horizontal="center" vertical="center"/>
    </xf>
    <xf numFmtId="0" fontId="5" fillId="0" borderId="31" xfId="0" applyFont="1" applyFill="1" applyBorder="1" applyAlignment="1">
      <alignment wrapText="1"/>
    </xf>
    <xf numFmtId="9" fontId="46" fillId="0" borderId="31" xfId="192" applyFont="1" applyFill="1" applyBorder="1" applyAlignment="1">
      <alignment horizontal="center" vertical="center"/>
    </xf>
    <xf numFmtId="9" fontId="46" fillId="0" borderId="31" xfId="192" applyFont="1" applyFill="1" applyBorder="1" applyAlignment="1">
      <alignment horizontal="center" vertical="center" wrapText="1"/>
    </xf>
    <xf numFmtId="0" fontId="49" fillId="0" borderId="31" xfId="0" applyNumberFormat="1" applyFont="1" applyFill="1" applyBorder="1" applyAlignment="1">
      <alignment horizontal="center" vertical="center"/>
    </xf>
    <xf numFmtId="0" fontId="38" fillId="0" borderId="31" xfId="0" applyFont="1" applyFill="1" applyBorder="1" applyAlignment="1">
      <alignment horizontal="center" vertical="center" wrapText="1"/>
    </xf>
    <xf numFmtId="0" fontId="49" fillId="0" borderId="31" xfId="0" applyFont="1" applyFill="1" applyBorder="1" applyAlignment="1">
      <alignment horizontal="center" vertical="center" wrapText="1"/>
    </xf>
    <xf numFmtId="44" fontId="7" fillId="0" borderId="31" xfId="60" applyFont="1" applyFill="1" applyBorder="1" applyAlignment="1">
      <alignment horizontal="center" vertical="center" wrapText="1"/>
    </xf>
    <xf numFmtId="14" fontId="5" fillId="0" borderId="31" xfId="0" applyNumberFormat="1" applyFont="1" applyFill="1" applyBorder="1" applyAlignment="1">
      <alignment horizontal="center" vertical="center"/>
    </xf>
    <xf numFmtId="44" fontId="7" fillId="0" borderId="31" xfId="60" applyNumberFormat="1" applyFont="1" applyFill="1" applyBorder="1" applyAlignment="1">
      <alignment horizontal="center" vertical="center" wrapText="1"/>
    </xf>
    <xf numFmtId="16" fontId="49" fillId="0" borderId="31" xfId="0" applyNumberFormat="1" applyFont="1" applyFill="1" applyBorder="1" applyAlignment="1">
      <alignment horizontal="left" vertical="center" wrapText="1"/>
    </xf>
    <xf numFmtId="15" fontId="9" fillId="0" borderId="31" xfId="0" applyNumberFormat="1" applyFont="1" applyFill="1" applyBorder="1" applyAlignment="1">
      <alignment horizontal="center" vertical="center" wrapText="1"/>
    </xf>
    <xf numFmtId="44" fontId="9" fillId="0" borderId="31" xfId="60" applyNumberFormat="1" applyFont="1" applyFill="1" applyBorder="1" applyAlignment="1">
      <alignment horizontal="left" vertical="center"/>
    </xf>
    <xf numFmtId="166" fontId="5" fillId="0" borderId="31" xfId="10" applyFont="1" applyFill="1" applyBorder="1" applyAlignment="1">
      <alignment horizontal="center" vertical="top" wrapText="1"/>
    </xf>
    <xf numFmtId="166" fontId="5" fillId="0" borderId="31" xfId="10" applyFont="1" applyFill="1" applyBorder="1" applyAlignment="1">
      <alignment horizontal="center" vertical="center" wrapText="1"/>
    </xf>
    <xf numFmtId="0" fontId="33" fillId="0" borderId="31" xfId="0" applyFont="1" applyFill="1" applyBorder="1" applyAlignment="1">
      <alignment horizontal="left" vertical="center"/>
    </xf>
    <xf numFmtId="0" fontId="49" fillId="0" borderId="31" xfId="0" applyFont="1" applyFill="1" applyBorder="1" applyAlignment="1">
      <alignment vertical="center" wrapText="1"/>
    </xf>
    <xf numFmtId="0" fontId="7" fillId="0" borderId="31" xfId="0" applyFont="1" applyFill="1" applyBorder="1" applyAlignment="1">
      <alignment horizontal="center" vertical="center"/>
    </xf>
    <xf numFmtId="49" fontId="5" fillId="0" borderId="31" xfId="0" applyNumberFormat="1" applyFont="1" applyFill="1" applyBorder="1" applyAlignment="1">
      <alignment horizontal="center" vertical="center"/>
    </xf>
    <xf numFmtId="9" fontId="42" fillId="0" borderId="31"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0" fontId="49" fillId="0" borderId="31" xfId="0" applyFont="1" applyFill="1" applyBorder="1" applyAlignment="1">
      <alignment horizontal="left" vertical="center" wrapText="1"/>
    </xf>
    <xf numFmtId="0" fontId="37" fillId="0" borderId="31" xfId="0" applyFont="1" applyFill="1" applyBorder="1" applyAlignment="1">
      <alignment horizontal="center" vertical="center"/>
    </xf>
    <xf numFmtId="44" fontId="7" fillId="0" borderId="31" xfId="0" applyNumberFormat="1" applyFont="1" applyFill="1" applyBorder="1" applyAlignment="1">
      <alignment horizontal="center" vertical="center" wrapText="1"/>
    </xf>
    <xf numFmtId="44" fontId="7" fillId="0" borderId="31" xfId="3" applyNumberFormat="1" applyFont="1" applyFill="1" applyBorder="1" applyAlignment="1">
      <alignment horizontal="center" vertical="center" wrapText="1"/>
    </xf>
    <xf numFmtId="0" fontId="4" fillId="0" borderId="31" xfId="0" applyFont="1" applyFill="1" applyBorder="1" applyAlignment="1">
      <alignment horizontal="center" vertical="center"/>
    </xf>
    <xf numFmtId="15" fontId="7" fillId="0" borderId="31" xfId="0" applyNumberFormat="1" applyFont="1" applyFill="1" applyBorder="1" applyAlignment="1">
      <alignment horizontal="center" vertical="center" wrapText="1"/>
    </xf>
    <xf numFmtId="0" fontId="7" fillId="0" borderId="31" xfId="0" applyFont="1" applyFill="1" applyBorder="1" applyAlignment="1">
      <alignment horizontal="center" vertical="top" wrapText="1"/>
    </xf>
    <xf numFmtId="166" fontId="7" fillId="0" borderId="31" xfId="0" applyNumberFormat="1" applyFont="1" applyFill="1" applyBorder="1" applyAlignment="1">
      <alignment horizontal="center" vertical="center" wrapText="1"/>
    </xf>
    <xf numFmtId="0" fontId="33" fillId="0" borderId="31" xfId="0" applyFont="1" applyFill="1" applyBorder="1" applyAlignment="1">
      <alignment horizontal="center" vertical="center"/>
    </xf>
    <xf numFmtId="14" fontId="9" fillId="0" borderId="31" xfId="0" applyNumberFormat="1" applyFont="1" applyFill="1" applyBorder="1" applyAlignment="1">
      <alignment horizontal="center" vertical="center"/>
    </xf>
    <xf numFmtId="44" fontId="37" fillId="0" borderId="31" xfId="1870" applyFont="1" applyFill="1" applyBorder="1" applyAlignment="1">
      <alignment vertical="center"/>
    </xf>
    <xf numFmtId="43" fontId="49" fillId="0" borderId="31" xfId="0" applyNumberFormat="1" applyFont="1" applyFill="1" applyBorder="1" applyAlignment="1">
      <alignment horizontal="center" vertical="center"/>
    </xf>
    <xf numFmtId="1" fontId="49" fillId="0" borderId="31" xfId="0" applyNumberFormat="1" applyFont="1" applyFill="1" applyBorder="1" applyAlignment="1">
      <alignment horizontal="center" vertical="center"/>
    </xf>
    <xf numFmtId="0" fontId="38" fillId="0" borderId="31" xfId="0" applyFont="1" applyFill="1" applyBorder="1" applyAlignment="1">
      <alignment horizontal="left" vertical="center"/>
    </xf>
    <xf numFmtId="0" fontId="38" fillId="0" borderId="31" xfId="0" applyFont="1" applyFill="1" applyBorder="1" applyAlignment="1">
      <alignment horizontal="center" vertical="center"/>
    </xf>
    <xf numFmtId="44" fontId="38" fillId="0" borderId="31" xfId="60" applyNumberFormat="1" applyFont="1" applyFill="1" applyBorder="1" applyAlignment="1">
      <alignment horizontal="center" vertical="center"/>
    </xf>
    <xf numFmtId="43" fontId="38" fillId="0" borderId="31" xfId="54" applyNumberFormat="1" applyFont="1" applyFill="1" applyBorder="1" applyAlignment="1">
      <alignment horizontal="center" vertical="center"/>
    </xf>
    <xf numFmtId="0" fontId="38" fillId="0" borderId="31" xfId="0" applyFont="1" applyFill="1" applyBorder="1" applyAlignment="1">
      <alignment vertical="center" wrapText="1"/>
    </xf>
    <xf numFmtId="0" fontId="33" fillId="0" borderId="31" xfId="0" applyFont="1" applyFill="1" applyBorder="1" applyAlignment="1">
      <alignment vertical="center" wrapText="1"/>
    </xf>
    <xf numFmtId="14" fontId="9" fillId="0" borderId="31" xfId="0" applyNumberFormat="1" applyFont="1" applyFill="1" applyBorder="1" applyAlignment="1">
      <alignment vertical="center"/>
    </xf>
    <xf numFmtId="165" fontId="9" fillId="0" borderId="31" xfId="2" applyFont="1" applyFill="1" applyBorder="1" applyAlignment="1">
      <alignment vertical="center"/>
    </xf>
    <xf numFmtId="0" fontId="42" fillId="0" borderId="31" xfId="0" applyFont="1" applyFill="1" applyBorder="1" applyAlignment="1">
      <alignment horizontal="left" vertical="center" wrapText="1"/>
    </xf>
    <xf numFmtId="0" fontId="42" fillId="0" borderId="31" xfId="0" applyFont="1" applyFill="1" applyBorder="1" applyAlignment="1">
      <alignment vertical="center" wrapText="1"/>
    </xf>
    <xf numFmtId="0" fontId="37" fillId="0" borderId="31" xfId="0" applyFont="1" applyFill="1" applyBorder="1" applyAlignment="1">
      <alignment horizontal="center" vertical="center" wrapText="1"/>
    </xf>
    <xf numFmtId="0" fontId="5" fillId="0" borderId="0" xfId="0" applyFont="1" applyFill="1" applyBorder="1" applyAlignment="1">
      <alignment horizontal="center" vertical="top" wrapText="1"/>
    </xf>
    <xf numFmtId="43" fontId="5" fillId="0" borderId="0" xfId="0" applyNumberFormat="1" applyFont="1" applyFill="1" applyBorder="1" applyAlignment="1">
      <alignment horizontal="center" vertical="center"/>
    </xf>
    <xf numFmtId="0" fontId="7" fillId="29" borderId="37" xfId="0" applyFont="1" applyFill="1" applyBorder="1" applyAlignment="1">
      <alignment horizontal="center" vertical="center" wrapText="1"/>
    </xf>
    <xf numFmtId="49" fontId="51" fillId="0" borderId="0" xfId="0" applyNumberFormat="1" applyFont="1" applyAlignment="1">
      <alignment horizontal="center" wrapText="1"/>
    </xf>
    <xf numFmtId="49" fontId="6" fillId="0" borderId="0" xfId="0" applyNumberFormat="1" applyFont="1" applyAlignment="1">
      <alignment horizontal="center" wrapText="1"/>
    </xf>
    <xf numFmtId="0" fontId="7" fillId="29" borderId="36" xfId="0" applyFont="1" applyFill="1" applyBorder="1" applyAlignment="1">
      <alignment horizontal="center" vertical="center" wrapText="1"/>
    </xf>
    <xf numFmtId="0" fontId="7" fillId="29" borderId="0" xfId="0" applyFont="1" applyFill="1" applyBorder="1" applyAlignment="1">
      <alignment horizontal="center" vertical="center" wrapText="1"/>
    </xf>
    <xf numFmtId="0" fontId="7" fillId="29" borderId="39" xfId="0" applyFont="1" applyFill="1" applyBorder="1" applyAlignment="1">
      <alignment horizontal="center" vertical="center" wrapText="1"/>
    </xf>
    <xf numFmtId="0" fontId="7" fillId="29" borderId="38" xfId="0" applyFont="1" applyFill="1" applyBorder="1" applyAlignment="1">
      <alignment horizontal="center" vertical="center" wrapText="1"/>
    </xf>
    <xf numFmtId="0" fontId="7" fillId="0" borderId="37" xfId="0" applyFont="1" applyFill="1" applyBorder="1" applyAlignment="1">
      <alignment horizontal="center" vertical="center" wrapText="1"/>
    </xf>
    <xf numFmtId="43" fontId="44" fillId="28" borderId="36" xfId="1" applyFont="1" applyFill="1" applyBorder="1"/>
    <xf numFmtId="0" fontId="3" fillId="0" borderId="0" xfId="0" applyFont="1" applyFill="1" applyBorder="1" applyAlignment="1">
      <alignment horizontal="center" vertical="top"/>
    </xf>
    <xf numFmtId="44" fontId="4" fillId="0" borderId="41" xfId="1" applyNumberFormat="1" applyFont="1" applyFill="1" applyBorder="1" applyAlignment="1">
      <alignment horizontal="center" vertical="center" wrapText="1"/>
    </xf>
    <xf numFmtId="43" fontId="12" fillId="0" borderId="41" xfId="1" applyFont="1" applyFill="1" applyBorder="1" applyAlignment="1">
      <alignment vertical="center"/>
    </xf>
    <xf numFmtId="165" fontId="12" fillId="0" borderId="41" xfId="2" applyFont="1" applyFill="1" applyBorder="1" applyAlignment="1">
      <alignment vertical="center"/>
    </xf>
    <xf numFmtId="44" fontId="5" fillId="0" borderId="41" xfId="3" applyNumberFormat="1"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1" xfId="0" applyFont="1" applyFill="1" applyBorder="1" applyAlignment="1">
      <alignment horizontal="center" vertical="center"/>
    </xf>
    <xf numFmtId="0" fontId="3" fillId="0" borderId="42" xfId="0" applyFont="1" applyFill="1" applyBorder="1" applyAlignment="1">
      <alignment vertical="center"/>
    </xf>
    <xf numFmtId="166" fontId="7" fillId="0" borderId="31" xfId="3" applyFont="1" applyFill="1" applyBorder="1" applyAlignment="1">
      <alignment horizontal="left" vertical="center" wrapText="1"/>
    </xf>
    <xf numFmtId="166" fontId="7" fillId="0" borderId="31" xfId="3" applyFont="1" applyFill="1" applyBorder="1" applyAlignment="1">
      <alignment horizontal="left" vertical="top" wrapText="1"/>
    </xf>
    <xf numFmtId="43" fontId="7" fillId="0" borderId="31" xfId="1" applyFont="1" applyFill="1" applyBorder="1" applyAlignment="1">
      <alignment vertical="center" wrapText="1"/>
    </xf>
    <xf numFmtId="167" fontId="7" fillId="0" borderId="31" xfId="57" applyNumberFormat="1" applyFont="1" applyFill="1" applyBorder="1" applyAlignment="1">
      <alignment vertical="center" wrapText="1"/>
    </xf>
    <xf numFmtId="167" fontId="31" fillId="0" borderId="31" xfId="57" applyNumberFormat="1" applyFont="1" applyFill="1" applyBorder="1" applyAlignment="1">
      <alignment vertical="center" wrapText="1"/>
    </xf>
    <xf numFmtId="167" fontId="5" fillId="0" borderId="31" xfId="57" applyNumberFormat="1" applyFont="1" applyFill="1" applyBorder="1" applyAlignment="1">
      <alignment horizontal="center" vertical="center" wrapText="1"/>
    </xf>
    <xf numFmtId="167" fontId="7" fillId="0" borderId="31" xfId="57" applyNumberFormat="1" applyFont="1" applyFill="1" applyBorder="1" applyAlignment="1">
      <alignment horizontal="center" vertical="center" wrapText="1"/>
    </xf>
    <xf numFmtId="1" fontId="5" fillId="0" borderId="31" xfId="57" applyNumberFormat="1" applyFont="1" applyFill="1" applyBorder="1" applyAlignment="1">
      <alignment horizontal="center" vertical="center" wrapText="1"/>
    </xf>
    <xf numFmtId="14" fontId="9" fillId="0" borderId="31" xfId="192" applyNumberFormat="1" applyFont="1" applyFill="1" applyBorder="1" applyAlignment="1">
      <alignment horizontal="center" vertical="center" wrapText="1"/>
    </xf>
    <xf numFmtId="44" fontId="9" fillId="0" borderId="31" xfId="60" applyNumberFormat="1" applyFont="1" applyFill="1" applyBorder="1" applyAlignment="1">
      <alignment horizontal="center" vertical="center" wrapText="1"/>
    </xf>
    <xf numFmtId="44" fontId="9" fillId="0" borderId="31" xfId="1870" applyNumberFormat="1" applyFont="1" applyFill="1" applyBorder="1" applyAlignment="1">
      <alignment horizontal="left" vertical="center"/>
    </xf>
    <xf numFmtId="14" fontId="49" fillId="0" borderId="31" xfId="0" applyNumberFormat="1" applyFont="1" applyFill="1" applyBorder="1" applyAlignment="1">
      <alignment horizontal="center" vertical="center"/>
    </xf>
    <xf numFmtId="44" fontId="38" fillId="0" borderId="31" xfId="60" applyNumberFormat="1" applyFont="1" applyFill="1" applyBorder="1" applyAlignment="1">
      <alignment horizontal="left" vertical="center"/>
    </xf>
    <xf numFmtId="0" fontId="38" fillId="0" borderId="31" xfId="0" applyFont="1" applyFill="1" applyBorder="1" applyAlignment="1">
      <alignment horizontal="left" vertical="center" wrapText="1"/>
    </xf>
    <xf numFmtId="43" fontId="39" fillId="0" borderId="31" xfId="54" applyNumberFormat="1" applyFont="1" applyFill="1" applyBorder="1" applyAlignment="1">
      <alignment vertical="center"/>
    </xf>
    <xf numFmtId="43" fontId="5" fillId="0" borderId="31" xfId="1" applyFont="1" applyFill="1" applyBorder="1" applyAlignment="1">
      <alignment horizontal="center" vertical="center" wrapText="1"/>
    </xf>
    <xf numFmtId="44" fontId="9" fillId="0" borderId="31" xfId="0" applyNumberFormat="1" applyFont="1" applyFill="1" applyBorder="1" applyAlignment="1">
      <alignment horizontal="center" vertical="center" wrapText="1"/>
    </xf>
    <xf numFmtId="44" fontId="9" fillId="0" borderId="31" xfId="0" applyNumberFormat="1" applyFont="1" applyFill="1" applyBorder="1" applyAlignment="1">
      <alignment horizontal="center" vertical="center"/>
    </xf>
    <xf numFmtId="0" fontId="8" fillId="0" borderId="31" xfId="0" applyFont="1" applyFill="1" applyBorder="1" applyAlignment="1">
      <alignment vertical="center" wrapText="1"/>
    </xf>
    <xf numFmtId="44" fontId="40" fillId="0" borderId="31" xfId="60" applyNumberFormat="1" applyFont="1" applyFill="1" applyBorder="1" applyAlignment="1">
      <alignment horizontal="left" vertical="center"/>
    </xf>
    <xf numFmtId="44" fontId="34" fillId="0" borderId="31" xfId="1" applyNumberFormat="1" applyFont="1" applyFill="1" applyBorder="1" applyAlignment="1">
      <alignment horizontal="center" vertical="center" wrapText="1"/>
    </xf>
    <xf numFmtId="0" fontId="50" fillId="0" borderId="31" xfId="0" applyFont="1" applyFill="1" applyBorder="1" applyAlignment="1">
      <alignment horizontal="center" vertical="center" wrapText="1"/>
    </xf>
    <xf numFmtId="0" fontId="42" fillId="0" borderId="31" xfId="0" applyFont="1" applyFill="1" applyBorder="1" applyAlignment="1">
      <alignment vertical="center"/>
    </xf>
    <xf numFmtId="9" fontId="42" fillId="0" borderId="31" xfId="0" applyNumberFormat="1" applyFont="1" applyFill="1" applyBorder="1" applyAlignment="1">
      <alignment vertical="center"/>
    </xf>
    <xf numFmtId="44" fontId="33" fillId="0" borderId="31" xfId="60" applyNumberFormat="1" applyFont="1" applyFill="1" applyBorder="1" applyAlignment="1">
      <alignment horizontal="center" vertical="center" wrapText="1"/>
    </xf>
    <xf numFmtId="0" fontId="4" fillId="0" borderId="31" xfId="0" applyFont="1" applyFill="1" applyBorder="1" applyAlignment="1">
      <alignment vertical="center"/>
    </xf>
    <xf numFmtId="44" fontId="37" fillId="0" borderId="31" xfId="1870" applyFont="1" applyFill="1" applyBorder="1" applyAlignment="1">
      <alignment horizontal="right" vertical="center"/>
    </xf>
    <xf numFmtId="44" fontId="33" fillId="0" borderId="31" xfId="60" applyNumberFormat="1" applyFont="1" applyFill="1" applyBorder="1" applyAlignment="1">
      <alignment vertical="center"/>
    </xf>
    <xf numFmtId="166" fontId="5" fillId="0" borderId="31" xfId="3" applyFont="1" applyFill="1" applyBorder="1" applyAlignment="1">
      <alignment horizontal="left" vertical="center" wrapText="1"/>
    </xf>
    <xf numFmtId="15" fontId="3" fillId="0" borderId="31" xfId="0" applyNumberFormat="1" applyFont="1" applyFill="1" applyBorder="1" applyAlignment="1">
      <alignment horizontal="center" vertical="center"/>
    </xf>
    <xf numFmtId="43" fontId="42" fillId="0" borderId="31" xfId="1" applyNumberFormat="1" applyFont="1" applyFill="1" applyBorder="1" applyAlignment="1">
      <alignment vertical="center"/>
    </xf>
    <xf numFmtId="43" fontId="3" fillId="0" borderId="31" xfId="0" applyNumberFormat="1" applyFont="1" applyFill="1" applyBorder="1" applyAlignment="1">
      <alignment vertical="center"/>
    </xf>
    <xf numFmtId="0" fontId="35" fillId="0" borderId="31" xfId="0" applyFont="1" applyFill="1" applyBorder="1" applyAlignment="1">
      <alignment vertical="center"/>
    </xf>
    <xf numFmtId="0" fontId="32" fillId="0" borderId="31" xfId="0" applyFont="1" applyFill="1" applyBorder="1" applyAlignment="1">
      <alignment vertical="center"/>
    </xf>
    <xf numFmtId="4" fontId="5" fillId="0" borderId="31" xfId="0" applyNumberFormat="1" applyFont="1" applyFill="1" applyBorder="1" applyAlignment="1">
      <alignment horizontal="center" vertical="center"/>
    </xf>
    <xf numFmtId="166" fontId="5" fillId="0" borderId="31" xfId="3" applyFont="1" applyFill="1" applyBorder="1" applyAlignment="1">
      <alignment horizontal="left" vertical="top"/>
    </xf>
    <xf numFmtId="166" fontId="5" fillId="0" borderId="31" xfId="0" applyNumberFormat="1" applyFont="1" applyFill="1" applyBorder="1" applyAlignment="1">
      <alignment horizontal="center" vertical="center"/>
    </xf>
    <xf numFmtId="44" fontId="5" fillId="0" borderId="31" xfId="3" applyNumberFormat="1" applyFont="1" applyFill="1" applyBorder="1" applyAlignment="1">
      <alignment horizontal="center" vertical="center"/>
    </xf>
    <xf numFmtId="9" fontId="5" fillId="0" borderId="31" xfId="192" applyFont="1" applyFill="1" applyBorder="1" applyAlignment="1">
      <alignment horizontal="center" vertical="center"/>
    </xf>
    <xf numFmtId="43" fontId="46" fillId="0" borderId="31" xfId="1" applyFont="1" applyFill="1" applyBorder="1" applyAlignment="1"/>
    <xf numFmtId="9" fontId="5" fillId="0" borderId="31" xfId="3" applyNumberFormat="1" applyFont="1" applyFill="1" applyBorder="1" applyAlignment="1">
      <alignment horizontal="center" vertical="center"/>
    </xf>
    <xf numFmtId="167" fontId="5" fillId="0" borderId="31" xfId="57" applyNumberFormat="1" applyFont="1" applyFill="1" applyBorder="1" applyAlignment="1">
      <alignment horizontal="center" vertical="center"/>
    </xf>
    <xf numFmtId="44" fontId="7" fillId="0" borderId="31" xfId="1870" applyFont="1" applyFill="1" applyBorder="1" applyAlignment="1">
      <alignment horizontal="center" vertical="center"/>
    </xf>
    <xf numFmtId="9" fontId="7" fillId="0" borderId="31" xfId="192" applyFont="1" applyFill="1" applyBorder="1" applyAlignment="1">
      <alignment horizontal="center" vertical="center"/>
    </xf>
    <xf numFmtId="43" fontId="43" fillId="0" borderId="31" xfId="1" applyFont="1" applyFill="1" applyBorder="1" applyAlignment="1"/>
    <xf numFmtId="49" fontId="7" fillId="29" borderId="36" xfId="0" applyNumberFormat="1" applyFont="1" applyFill="1" applyBorder="1" applyAlignment="1">
      <alignment horizontal="center" vertical="center" wrapText="1"/>
    </xf>
    <xf numFmtId="0" fontId="45" fillId="0" borderId="43" xfId="0" applyFont="1" applyBorder="1" applyAlignment="1">
      <alignment horizontal="left"/>
    </xf>
    <xf numFmtId="0" fontId="45" fillId="30" borderId="43" xfId="0" applyFont="1" applyFill="1" applyBorder="1"/>
    <xf numFmtId="0" fontId="45" fillId="0" borderId="0" xfId="0" applyFont="1" applyAlignment="1">
      <alignment horizontal="left"/>
    </xf>
    <xf numFmtId="0" fontId="45" fillId="0" borderId="0" xfId="0" applyFont="1" applyBorder="1" applyAlignment="1">
      <alignment horizontal="left"/>
    </xf>
    <xf numFmtId="171" fontId="0" fillId="0" borderId="0" xfId="1" applyNumberFormat="1" applyFont="1"/>
    <xf numFmtId="171" fontId="0" fillId="0" borderId="0" xfId="0" applyNumberFormat="1"/>
    <xf numFmtId="171" fontId="45" fillId="30" borderId="43" xfId="0" applyNumberFormat="1" applyFont="1" applyFill="1" applyBorder="1"/>
    <xf numFmtId="0" fontId="45" fillId="30" borderId="0" xfId="0" applyFont="1" applyFill="1" applyBorder="1"/>
    <xf numFmtId="172" fontId="0" fillId="0" borderId="0" xfId="192" applyNumberFormat="1" applyFont="1"/>
    <xf numFmtId="0" fontId="0" fillId="0" borderId="31" xfId="0" applyBorder="1"/>
    <xf numFmtId="0" fontId="0" fillId="0" borderId="47" xfId="0" applyBorder="1"/>
    <xf numFmtId="9" fontId="0" fillId="0" borderId="48" xfId="192" applyFont="1" applyBorder="1"/>
    <xf numFmtId="0" fontId="45" fillId="0" borderId="44" xfId="0" applyFont="1" applyBorder="1" applyAlignment="1">
      <alignment horizontal="center" vertical="center"/>
    </xf>
    <xf numFmtId="0" fontId="45" fillId="0" borderId="45" xfId="0" applyFont="1" applyBorder="1" applyAlignment="1">
      <alignment horizontal="center" vertical="center"/>
    </xf>
    <xf numFmtId="0" fontId="45" fillId="0" borderId="46" xfId="0" applyFont="1" applyBorder="1" applyAlignment="1">
      <alignment horizontal="center" vertical="center"/>
    </xf>
    <xf numFmtId="0" fontId="0" fillId="0" borderId="49" xfId="0" applyBorder="1"/>
    <xf numFmtId="0" fontId="0" fillId="0" borderId="36" xfId="0" applyBorder="1"/>
    <xf numFmtId="9" fontId="0" fillId="0" borderId="50" xfId="192" applyFont="1" applyBorder="1"/>
    <xf numFmtId="0" fontId="0" fillId="0" borderId="51" xfId="0" applyBorder="1"/>
    <xf numFmtId="0" fontId="0" fillId="0" borderId="52" xfId="0" applyBorder="1"/>
    <xf numFmtId="10" fontId="0" fillId="0" borderId="48" xfId="192" applyNumberFormat="1" applyFont="1" applyBorder="1"/>
    <xf numFmtId="172" fontId="0" fillId="0" borderId="53" xfId="192" applyNumberFormat="1" applyFont="1" applyBorder="1"/>
    <xf numFmtId="9" fontId="0" fillId="0" borderId="31" xfId="192" applyFont="1" applyBorder="1"/>
    <xf numFmtId="0" fontId="52" fillId="0" borderId="54" xfId="0" applyFont="1" applyBorder="1"/>
    <xf numFmtId="0" fontId="52" fillId="0" borderId="44" xfId="0" applyFont="1" applyBorder="1"/>
    <xf numFmtId="0" fontId="52" fillId="0" borderId="45" xfId="0" applyFont="1" applyBorder="1"/>
    <xf numFmtId="0" fontId="52" fillId="0" borderId="46" xfId="0" applyFont="1" applyBorder="1"/>
    <xf numFmtId="0" fontId="0" fillId="0" borderId="57" xfId="0" applyBorder="1"/>
    <xf numFmtId="0" fontId="0" fillId="0" borderId="58" xfId="0" applyBorder="1"/>
    <xf numFmtId="10" fontId="0" fillId="0" borderId="59" xfId="192" applyNumberFormat="1" applyFont="1" applyBorder="1"/>
    <xf numFmtId="10" fontId="52" fillId="0" borderId="56" xfId="192" applyNumberFormat="1" applyFont="1" applyBorder="1"/>
    <xf numFmtId="43" fontId="52" fillId="0" borderId="55" xfId="1" applyFont="1" applyBorder="1"/>
    <xf numFmtId="166" fontId="5" fillId="0" borderId="31" xfId="3" applyFont="1" applyFill="1" applyBorder="1" applyAlignment="1">
      <alignment horizontal="center" vertical="center" wrapText="1"/>
    </xf>
    <xf numFmtId="166" fontId="5" fillId="27" borderId="31" xfId="3" applyFont="1" applyFill="1" applyBorder="1" applyAlignment="1">
      <alignment horizontal="center" vertical="center" wrapText="1"/>
    </xf>
    <xf numFmtId="1" fontId="5" fillId="0" borderId="31" xfId="0" quotePrefix="1" applyNumberFormat="1" applyFont="1" applyFill="1" applyBorder="1" applyAlignment="1">
      <alignment horizontal="center" vertical="center" wrapText="1"/>
    </xf>
    <xf numFmtId="9" fontId="53" fillId="2" borderId="31" xfId="0" applyNumberFormat="1" applyFont="1" applyFill="1" applyBorder="1" applyAlignment="1">
      <alignment vertical="center"/>
    </xf>
    <xf numFmtId="0" fontId="5" fillId="0" borderId="31" xfId="0" quotePrefix="1" applyFont="1" applyFill="1" applyBorder="1" applyAlignment="1">
      <alignment horizontal="center" vertical="center" wrapText="1"/>
    </xf>
    <xf numFmtId="9" fontId="5" fillId="0" borderId="31" xfId="1870" applyNumberFormat="1" applyFont="1" applyFill="1" applyBorder="1" applyAlignment="1">
      <alignment horizontal="center" vertical="center" wrapText="1"/>
    </xf>
    <xf numFmtId="0" fontId="5" fillId="27" borderId="31" xfId="0" applyFont="1" applyFill="1" applyBorder="1" applyAlignment="1">
      <alignment horizontal="center" vertical="center"/>
    </xf>
    <xf numFmtId="44" fontId="5" fillId="0" borderId="36" xfId="3" applyNumberFormat="1" applyFont="1" applyFill="1" applyBorder="1" applyAlignment="1">
      <alignment horizontal="center" vertical="center" wrapText="1"/>
    </xf>
    <xf numFmtId="43" fontId="12" fillId="0" borderId="40" xfId="1" applyFont="1" applyFill="1" applyBorder="1" applyAlignment="1">
      <alignment vertical="center"/>
    </xf>
    <xf numFmtId="44" fontId="4" fillId="0" borderId="60" xfId="1" applyNumberFormat="1" applyFont="1" applyFill="1" applyBorder="1" applyAlignment="1">
      <alignment horizontal="center" vertical="center" wrapText="1"/>
    </xf>
    <xf numFmtId="0" fontId="5" fillId="25" borderId="31" xfId="0" applyFont="1" applyFill="1" applyBorder="1" applyAlignment="1">
      <alignment horizontal="center" vertical="center" wrapText="1"/>
    </xf>
    <xf numFmtId="9" fontId="5" fillId="25" borderId="31" xfId="192" applyFont="1" applyFill="1" applyBorder="1" applyAlignment="1">
      <alignment horizontal="center" vertical="center" wrapText="1"/>
    </xf>
    <xf numFmtId="0" fontId="3" fillId="25" borderId="31" xfId="0" applyFont="1" applyFill="1" applyBorder="1" applyAlignment="1">
      <alignment horizontal="center" vertical="center"/>
    </xf>
    <xf numFmtId="0" fontId="3" fillId="25" borderId="31" xfId="0" applyFont="1" applyFill="1" applyBorder="1" applyAlignment="1">
      <alignment vertical="center"/>
    </xf>
    <xf numFmtId="43" fontId="43" fillId="25" borderId="31" xfId="1" applyFont="1" applyFill="1" applyBorder="1"/>
    <xf numFmtId="43" fontId="3" fillId="25" borderId="31" xfId="0" applyNumberFormat="1" applyFont="1" applyFill="1" applyBorder="1" applyAlignment="1">
      <alignment vertical="center"/>
    </xf>
    <xf numFmtId="166" fontId="5" fillId="0" borderId="31" xfId="3" applyFont="1" applyFill="1" applyBorder="1" applyAlignment="1">
      <alignment horizontal="left" vertical="center" wrapText="1"/>
    </xf>
    <xf numFmtId="166" fontId="5" fillId="0" borderId="31" xfId="3" applyFont="1" applyFill="1" applyBorder="1" applyAlignment="1">
      <alignment horizontal="center" vertical="center" wrapText="1"/>
    </xf>
    <xf numFmtId="0" fontId="5" fillId="26" borderId="31" xfId="0" applyFont="1" applyFill="1" applyBorder="1" applyAlignment="1">
      <alignment horizontal="center" vertical="center"/>
    </xf>
    <xf numFmtId="9" fontId="53" fillId="0" borderId="31" xfId="0" applyNumberFormat="1" applyFont="1" applyFill="1" applyBorder="1" applyAlignment="1">
      <alignment vertical="center"/>
    </xf>
    <xf numFmtId="0" fontId="3" fillId="0" borderId="0" xfId="0" applyFont="1" applyFill="1" applyAlignment="1">
      <alignment vertical="top" wrapText="1"/>
    </xf>
    <xf numFmtId="49" fontId="51" fillId="0" borderId="0" xfId="0" applyNumberFormat="1" applyFont="1" applyFill="1" applyAlignment="1">
      <alignment horizontal="center" wrapText="1"/>
    </xf>
    <xf numFmtId="43" fontId="3" fillId="0" borderId="0" xfId="1" applyFont="1" applyFill="1" applyAlignment="1">
      <alignment vertical="center"/>
    </xf>
    <xf numFmtId="10" fontId="3" fillId="0" borderId="0" xfId="192" applyNumberFormat="1" applyFont="1" applyFill="1" applyAlignment="1">
      <alignment vertical="center"/>
    </xf>
    <xf numFmtId="0" fontId="3" fillId="0" borderId="0" xfId="0" applyFont="1" applyFill="1" applyAlignment="1">
      <alignment horizontal="left" vertical="center"/>
    </xf>
    <xf numFmtId="44" fontId="3" fillId="0" borderId="0" xfId="0" applyNumberFormat="1" applyFont="1" applyFill="1" applyAlignment="1">
      <alignment horizontal="center" vertical="center"/>
    </xf>
    <xf numFmtId="0" fontId="0" fillId="0" borderId="0" xfId="0" applyFill="1"/>
    <xf numFmtId="49" fontId="6" fillId="0" borderId="0" xfId="0" applyNumberFormat="1" applyFont="1" applyFill="1" applyAlignment="1">
      <alignment horizontal="center" wrapText="1"/>
    </xf>
    <xf numFmtId="0" fontId="0" fillId="0" borderId="0" xfId="0" applyFill="1" applyAlignment="1">
      <alignment wrapText="1"/>
    </xf>
    <xf numFmtId="0" fontId="5" fillId="25" borderId="31" xfId="0" applyFont="1" applyFill="1" applyBorder="1" applyAlignment="1">
      <alignment horizontal="center" vertical="center"/>
    </xf>
    <xf numFmtId="0" fontId="5" fillId="25" borderId="31" xfId="0" applyFont="1" applyFill="1" applyBorder="1" applyAlignment="1">
      <alignment horizontal="center" vertical="top" wrapText="1"/>
    </xf>
    <xf numFmtId="43" fontId="5" fillId="25" borderId="31" xfId="0" applyNumberFormat="1" applyFont="1" applyFill="1" applyBorder="1" applyAlignment="1">
      <alignment horizontal="center" vertical="center"/>
    </xf>
    <xf numFmtId="166" fontId="5" fillId="25" borderId="31" xfId="3" applyFont="1" applyFill="1" applyBorder="1" applyAlignment="1">
      <alignment horizontal="left" vertical="center" wrapText="1"/>
    </xf>
    <xf numFmtId="0" fontId="5" fillId="25" borderId="31" xfId="0" applyNumberFormat="1" applyFont="1" applyFill="1" applyBorder="1" applyAlignment="1">
      <alignment horizontal="center" vertical="center"/>
    </xf>
    <xf numFmtId="43" fontId="5" fillId="25" borderId="31" xfId="8" applyNumberFormat="1" applyFont="1" applyFill="1" applyBorder="1" applyAlignment="1">
      <alignment horizontal="center" vertical="center" wrapText="1"/>
    </xf>
    <xf numFmtId="166" fontId="5" fillId="25" borderId="31" xfId="3" applyFont="1" applyFill="1" applyBorder="1" applyAlignment="1">
      <alignment horizontal="left" vertical="top" wrapText="1"/>
    </xf>
    <xf numFmtId="166" fontId="5" fillId="25" borderId="31" xfId="0" applyNumberFormat="1" applyFont="1" applyFill="1" applyBorder="1" applyAlignment="1">
      <alignment horizontal="center" vertical="center" wrapText="1"/>
    </xf>
    <xf numFmtId="44" fontId="5" fillId="25" borderId="31" xfId="1870" applyFont="1" applyFill="1" applyBorder="1" applyAlignment="1">
      <alignment horizontal="center" vertical="center" wrapText="1"/>
    </xf>
    <xf numFmtId="44" fontId="5" fillId="25" borderId="31" xfId="3" applyNumberFormat="1" applyFont="1" applyFill="1" applyBorder="1" applyAlignment="1">
      <alignment horizontal="center" vertical="center" wrapText="1"/>
    </xf>
    <xf numFmtId="15" fontId="5" fillId="25" borderId="31" xfId="0" applyNumberFormat="1" applyFont="1" applyFill="1" applyBorder="1" applyAlignment="1">
      <alignment horizontal="center" vertical="center" wrapText="1"/>
    </xf>
    <xf numFmtId="167" fontId="5" fillId="25" borderId="31" xfId="57" applyNumberFormat="1" applyFont="1" applyFill="1" applyBorder="1" applyAlignment="1">
      <alignment horizontal="center" vertical="center" wrapText="1"/>
    </xf>
    <xf numFmtId="0" fontId="47" fillId="25" borderId="31" xfId="0" applyFont="1" applyFill="1" applyBorder="1" applyAlignment="1">
      <alignment horizontal="center" vertical="center"/>
    </xf>
    <xf numFmtId="44" fontId="5" fillId="25" borderId="31" xfId="0" applyNumberFormat="1" applyFont="1" applyFill="1" applyBorder="1" applyAlignment="1">
      <alignment horizontal="center" vertical="center" wrapText="1"/>
    </xf>
    <xf numFmtId="44" fontId="33" fillId="25" borderId="31" xfId="60" applyNumberFormat="1" applyFont="1" applyFill="1" applyBorder="1" applyAlignment="1">
      <alignment horizontal="center" vertical="center"/>
    </xf>
    <xf numFmtId="44" fontId="7" fillId="25" borderId="31" xfId="1870" applyFont="1" applyFill="1" applyBorder="1" applyAlignment="1">
      <alignment horizontal="center" vertical="center" wrapText="1"/>
    </xf>
    <xf numFmtId="9" fontId="5" fillId="25" borderId="31" xfId="0" applyNumberFormat="1" applyFont="1" applyFill="1" applyBorder="1" applyAlignment="1">
      <alignment horizontal="center" vertical="center" wrapText="1"/>
    </xf>
    <xf numFmtId="0" fontId="5" fillId="25" borderId="31" xfId="0" applyFont="1" applyFill="1" applyBorder="1" applyAlignment="1">
      <alignment horizontal="left" vertical="top" wrapText="1"/>
    </xf>
    <xf numFmtId="0" fontId="3" fillId="25" borderId="0" xfId="0" applyFont="1" applyFill="1" applyBorder="1" applyAlignment="1">
      <alignment vertical="center"/>
    </xf>
    <xf numFmtId="166" fontId="5" fillId="26" borderId="31" xfId="3" applyFont="1" applyFill="1" applyBorder="1" applyAlignment="1">
      <alignment horizontal="left" vertical="top" wrapText="1"/>
    </xf>
    <xf numFmtId="0" fontId="5" fillId="26" borderId="31" xfId="0" applyFont="1" applyFill="1" applyBorder="1" applyAlignment="1">
      <alignment horizontal="center" vertical="center" wrapText="1"/>
    </xf>
    <xf numFmtId="166" fontId="5" fillId="26" borderId="31" xfId="0" applyNumberFormat="1" applyFont="1" applyFill="1" applyBorder="1" applyAlignment="1">
      <alignment horizontal="center" vertical="center" wrapText="1"/>
    </xf>
    <xf numFmtId="44" fontId="5" fillId="26" borderId="31" xfId="3" applyNumberFormat="1" applyFont="1" applyFill="1" applyBorder="1" applyAlignment="1">
      <alignment horizontal="center" vertical="center" wrapText="1"/>
    </xf>
    <xf numFmtId="9" fontId="5" fillId="26" borderId="31" xfId="192" applyFont="1" applyFill="1" applyBorder="1" applyAlignment="1">
      <alignment horizontal="center" vertical="center" wrapText="1"/>
    </xf>
    <xf numFmtId="0" fontId="5" fillId="26" borderId="31" xfId="0" applyFont="1" applyFill="1" applyBorder="1" applyAlignment="1">
      <alignment horizontal="left" vertical="top" wrapText="1"/>
    </xf>
    <xf numFmtId="0" fontId="3" fillId="26" borderId="31" xfId="0" applyFont="1" applyFill="1" applyBorder="1" applyAlignment="1">
      <alignment horizontal="center" vertical="center"/>
    </xf>
    <xf numFmtId="15" fontId="5" fillId="26" borderId="31" xfId="0" applyNumberFormat="1" applyFont="1" applyFill="1" applyBorder="1" applyAlignment="1">
      <alignment horizontal="center" vertical="center" wrapText="1"/>
    </xf>
    <xf numFmtId="0" fontId="3" fillId="26" borderId="31" xfId="0" applyFont="1" applyFill="1" applyBorder="1" applyAlignment="1">
      <alignment vertical="center"/>
    </xf>
    <xf numFmtId="43" fontId="3" fillId="26" borderId="31" xfId="0" applyNumberFormat="1" applyFont="1" applyFill="1" applyBorder="1" applyAlignment="1">
      <alignment vertical="center"/>
    </xf>
    <xf numFmtId="0" fontId="3" fillId="26" borderId="0" xfId="0" applyFont="1" applyFill="1" applyBorder="1" applyAlignment="1">
      <alignment vertical="center"/>
    </xf>
    <xf numFmtId="44" fontId="5" fillId="26" borderId="31" xfId="1870" applyNumberFormat="1" applyFont="1" applyFill="1" applyBorder="1" applyAlignment="1">
      <alignment horizontal="center" vertical="center" wrapText="1"/>
    </xf>
    <xf numFmtId="44" fontId="5" fillId="26" borderId="31" xfId="1870" applyFont="1" applyFill="1" applyBorder="1" applyAlignment="1">
      <alignment horizontal="center" vertical="center" wrapText="1"/>
    </xf>
    <xf numFmtId="166" fontId="5" fillId="26" borderId="31" xfId="3" applyFont="1" applyFill="1" applyBorder="1" applyAlignment="1">
      <alignment vertical="top" wrapText="1"/>
    </xf>
    <xf numFmtId="44" fontId="5" fillId="26" borderId="31" xfId="1870" applyNumberFormat="1" applyFont="1" applyFill="1" applyBorder="1" applyAlignment="1">
      <alignment vertical="center" wrapText="1"/>
    </xf>
    <xf numFmtId="44" fontId="5" fillId="26" borderId="31" xfId="1870" applyFont="1" applyFill="1" applyBorder="1" applyAlignment="1">
      <alignment vertical="center" wrapText="1"/>
    </xf>
    <xf numFmtId="43" fontId="46" fillId="26" borderId="31" xfId="1" applyFont="1" applyFill="1" applyBorder="1"/>
    <xf numFmtId="0" fontId="5" fillId="26" borderId="31" xfId="0" applyFont="1" applyFill="1" applyBorder="1" applyAlignment="1">
      <alignment horizontal="center" vertical="top" wrapText="1"/>
    </xf>
    <xf numFmtId="0" fontId="3" fillId="26" borderId="31" xfId="0" applyFont="1" applyFill="1" applyBorder="1" applyAlignment="1">
      <alignment horizontal="center" vertical="center" wrapText="1"/>
    </xf>
    <xf numFmtId="166" fontId="5" fillId="25" borderId="31" xfId="3" applyFont="1" applyFill="1" applyBorder="1" applyAlignment="1">
      <alignment horizontal="center" vertical="center" wrapText="1"/>
    </xf>
    <xf numFmtId="0" fontId="5" fillId="25" borderId="31" xfId="0" applyFont="1" applyFill="1" applyBorder="1" applyAlignment="1">
      <alignment horizontal="left" vertical="center" wrapText="1"/>
    </xf>
    <xf numFmtId="9" fontId="13" fillId="25" borderId="31" xfId="192" applyFont="1" applyFill="1" applyBorder="1" applyAlignment="1">
      <alignment horizontal="center" vertical="center" wrapText="1"/>
    </xf>
    <xf numFmtId="0" fontId="7" fillId="25" borderId="31" xfId="0" applyFont="1" applyFill="1" applyBorder="1" applyAlignment="1">
      <alignment horizontal="center" vertical="center" wrapText="1"/>
    </xf>
    <xf numFmtId="0" fontId="4" fillId="25" borderId="31" xfId="0" applyFont="1" applyFill="1" applyBorder="1" applyAlignment="1">
      <alignment horizontal="center" vertical="center"/>
    </xf>
    <xf numFmtId="0" fontId="4" fillId="25" borderId="31" xfId="0" applyFont="1" applyFill="1" applyBorder="1" applyAlignment="1">
      <alignment vertical="center"/>
    </xf>
    <xf numFmtId="0" fontId="32" fillId="25" borderId="31" xfId="0" applyFont="1" applyFill="1" applyBorder="1" applyAlignment="1">
      <alignment vertical="center"/>
    </xf>
    <xf numFmtId="0" fontId="32" fillId="25" borderId="0" xfId="0" applyFont="1" applyFill="1" applyAlignment="1">
      <alignment vertical="center"/>
    </xf>
    <xf numFmtId="166" fontId="5" fillId="0" borderId="36" xfId="3" applyFont="1" applyFill="1" applyBorder="1" applyAlignment="1">
      <alignment horizontal="left" vertical="center" wrapText="1"/>
    </xf>
    <xf numFmtId="166" fontId="5" fillId="0" borderId="37" xfId="3" applyFont="1" applyFill="1" applyBorder="1" applyAlignment="1">
      <alignment horizontal="center" vertical="center" wrapText="1"/>
    </xf>
    <xf numFmtId="166" fontId="5" fillId="0" borderId="1" xfId="3" applyFont="1" applyFill="1" applyBorder="1" applyAlignment="1">
      <alignment horizontal="left" vertical="center" wrapText="1"/>
    </xf>
    <xf numFmtId="166" fontId="5" fillId="0" borderId="36" xfId="0" applyNumberFormat="1" applyFont="1" applyFill="1" applyBorder="1" applyAlignment="1">
      <alignment horizontal="center" vertical="center" wrapText="1"/>
    </xf>
    <xf numFmtId="166" fontId="5" fillId="0" borderId="37"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6" fontId="5" fillId="27" borderId="36" xfId="3" applyFont="1" applyFill="1" applyBorder="1" applyAlignment="1">
      <alignment horizontal="center" vertical="center" wrapText="1"/>
    </xf>
    <xf numFmtId="166" fontId="5" fillId="27" borderId="37" xfId="3" applyFont="1" applyFill="1" applyBorder="1" applyAlignment="1">
      <alignment horizontal="center" vertical="center" wrapText="1"/>
    </xf>
    <xf numFmtId="166" fontId="5" fillId="27" borderId="1" xfId="3" applyFont="1" applyFill="1" applyBorder="1" applyAlignment="1">
      <alignment horizontal="center"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1" xfId="0" applyFont="1" applyFill="1" applyBorder="1" applyAlignment="1">
      <alignment horizontal="left" vertical="center" wrapText="1"/>
    </xf>
    <xf numFmtId="166" fontId="5" fillId="0" borderId="31" xfId="3" applyFont="1" applyFill="1" applyBorder="1" applyAlignment="1">
      <alignment horizontal="left" vertical="center" wrapText="1"/>
    </xf>
    <xf numFmtId="166" fontId="5" fillId="0" borderId="31" xfId="3" applyFont="1" applyFill="1" applyBorder="1" applyAlignment="1">
      <alignment horizontal="left" wrapText="1"/>
    </xf>
    <xf numFmtId="166" fontId="5" fillId="0" borderId="36" xfId="3" applyFont="1" applyFill="1" applyBorder="1" applyAlignment="1">
      <alignment horizontal="left" vertical="top" wrapText="1"/>
    </xf>
    <xf numFmtId="166" fontId="5" fillId="0" borderId="1" xfId="3" applyFont="1" applyFill="1" applyBorder="1" applyAlignment="1">
      <alignment horizontal="left" vertical="top" wrapText="1"/>
    </xf>
    <xf numFmtId="166" fontId="5" fillId="0" borderId="31" xfId="3" applyFont="1" applyFill="1" applyBorder="1" applyAlignment="1">
      <alignment horizontal="center" vertical="center" wrapText="1"/>
    </xf>
    <xf numFmtId="166" fontId="5" fillId="26" borderId="36" xfId="3" applyFont="1" applyFill="1" applyBorder="1" applyAlignment="1">
      <alignment horizontal="center" vertical="center" wrapText="1"/>
    </xf>
    <xf numFmtId="166" fontId="5" fillId="26" borderId="37" xfId="3" applyFont="1" applyFill="1" applyBorder="1" applyAlignment="1">
      <alignment horizontal="center" vertical="center" wrapText="1"/>
    </xf>
    <xf numFmtId="166" fontId="5" fillId="26" borderId="1" xfId="3" applyFont="1" applyFill="1" applyBorder="1" applyAlignment="1">
      <alignment horizontal="center" vertical="center" wrapText="1"/>
    </xf>
    <xf numFmtId="0" fontId="5" fillId="0" borderId="36" xfId="0" applyFont="1" applyFill="1" applyBorder="1" applyAlignment="1">
      <alignment vertical="center" wrapText="1"/>
    </xf>
    <xf numFmtId="0" fontId="5" fillId="0" borderId="1" xfId="0" applyFont="1" applyFill="1" applyBorder="1" applyAlignment="1">
      <alignment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7" xfId="0" applyFont="1" applyFill="1" applyBorder="1" applyAlignment="1">
      <alignment vertical="center" wrapText="1"/>
    </xf>
    <xf numFmtId="0" fontId="5" fillId="2" borderId="31" xfId="0" applyFont="1" applyFill="1" applyBorder="1" applyAlignment="1">
      <alignment horizontal="center" vertical="center"/>
    </xf>
    <xf numFmtId="166" fontId="5" fillId="2" borderId="31" xfId="3" applyFont="1" applyFill="1" applyBorder="1" applyAlignment="1">
      <alignment horizontal="center" vertical="center" wrapText="1"/>
    </xf>
    <xf numFmtId="0" fontId="5" fillId="2" borderId="31" xfId="0" applyFont="1" applyFill="1" applyBorder="1" applyAlignment="1">
      <alignment horizontal="left" vertical="center" wrapText="1"/>
    </xf>
    <xf numFmtId="166" fontId="5" fillId="2" borderId="31" xfId="3" applyFont="1" applyFill="1" applyBorder="1" applyAlignment="1">
      <alignment horizontal="left" vertical="top" wrapText="1"/>
    </xf>
    <xf numFmtId="0" fontId="5" fillId="2" borderId="31" xfId="0" applyFont="1" applyFill="1" applyBorder="1" applyAlignment="1">
      <alignment horizontal="center" vertical="center" wrapText="1"/>
    </xf>
    <xf numFmtId="166" fontId="5" fillId="2" borderId="31" xfId="0" applyNumberFormat="1" applyFont="1" applyFill="1" applyBorder="1" applyAlignment="1">
      <alignment horizontal="center" vertical="center" wrapText="1"/>
    </xf>
    <xf numFmtId="44" fontId="5" fillId="2" borderId="31" xfId="3" applyNumberFormat="1" applyFont="1" applyFill="1" applyBorder="1" applyAlignment="1">
      <alignment horizontal="center" vertical="center" wrapText="1"/>
    </xf>
    <xf numFmtId="9" fontId="5" fillId="2" borderId="31" xfId="192" applyFont="1" applyFill="1" applyBorder="1" applyAlignment="1">
      <alignment horizontal="center" vertical="center" wrapText="1"/>
    </xf>
    <xf numFmtId="9" fontId="13" fillId="2" borderId="31" xfId="192" applyFont="1" applyFill="1" applyBorder="1" applyAlignment="1">
      <alignment horizontal="center" vertical="center" wrapText="1"/>
    </xf>
    <xf numFmtId="0" fontId="7" fillId="2" borderId="31" xfId="0" applyFont="1" applyFill="1" applyBorder="1" applyAlignment="1">
      <alignment horizontal="center" vertical="center" wrapText="1"/>
    </xf>
    <xf numFmtId="0" fontId="4" fillId="2" borderId="31" xfId="0" applyFont="1" applyFill="1" applyBorder="1" applyAlignment="1">
      <alignment horizontal="center" vertical="center"/>
    </xf>
    <xf numFmtId="0" fontId="4" fillId="2" borderId="31" xfId="0" applyFont="1" applyFill="1" applyBorder="1" applyAlignment="1">
      <alignment vertical="center"/>
    </xf>
    <xf numFmtId="0" fontId="32" fillId="2" borderId="31" xfId="0" applyFont="1" applyFill="1" applyBorder="1" applyAlignment="1">
      <alignment vertical="center"/>
    </xf>
    <xf numFmtId="43" fontId="3" fillId="2" borderId="31" xfId="0" applyNumberFormat="1" applyFont="1" applyFill="1" applyBorder="1" applyAlignment="1">
      <alignment vertical="center"/>
    </xf>
  </cellXfs>
  <cellStyles count="1871">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alculation 2 2" xfId="86"/>
    <cellStyle name="Calculation 2 2 2" xfId="112"/>
    <cellStyle name="Calculation 2 2 2 2" xfId="149"/>
    <cellStyle name="Calculation 2 2 2 2 2" xfId="271"/>
    <cellStyle name="Calculation 2 2 2 2 3" xfId="721"/>
    <cellStyle name="Calculation 2 2 2 2 4" xfId="1390"/>
    <cellStyle name="Calculation 2 2 2 2 5" xfId="234"/>
    <cellStyle name="Calculation 2 2 2 2 5 2" xfId="1482"/>
    <cellStyle name="Calculation 2 2 2 3" xfId="186"/>
    <cellStyle name="Calculation 2 2 2 3 10" xfId="712"/>
    <cellStyle name="Calculation 2 2 2 3 11" xfId="746"/>
    <cellStyle name="Calculation 2 2 2 3 12" xfId="782"/>
    <cellStyle name="Calculation 2 2 2 3 13" xfId="831"/>
    <cellStyle name="Calculation 2 2 2 3 14" xfId="864"/>
    <cellStyle name="Calculation 2 2 2 3 15" xfId="924"/>
    <cellStyle name="Calculation 2 2 2 3 16" xfId="950"/>
    <cellStyle name="Calculation 2 2 2 3 17" xfId="981"/>
    <cellStyle name="Calculation 2 2 2 3 18" xfId="932"/>
    <cellStyle name="Calculation 2 2 2 3 19" xfId="1041"/>
    <cellStyle name="Calculation 2 2 2 3 2" xfId="304"/>
    <cellStyle name="Calculation 2 2 2 3 2 2" xfId="1438"/>
    <cellStyle name="Calculation 2 2 2 3 20" xfId="1079"/>
    <cellStyle name="Calculation 2 2 2 3 21" xfId="1120"/>
    <cellStyle name="Calculation 2 2 2 3 22" xfId="1153"/>
    <cellStyle name="Calculation 2 2 2 3 23" xfId="1185"/>
    <cellStyle name="Calculation 2 2 2 3 24" xfId="1216"/>
    <cellStyle name="Calculation 2 2 2 3 25" xfId="1288"/>
    <cellStyle name="Calculation 2 2 2 3 26" xfId="1327"/>
    <cellStyle name="Calculation 2 2 2 3 27" xfId="1360"/>
    <cellStyle name="Calculation 2 2 2 3 28" xfId="1369"/>
    <cellStyle name="Calculation 2 2 2 3 29" xfId="1422"/>
    <cellStyle name="Calculation 2 2 2 3 3" xfId="387"/>
    <cellStyle name="Calculation 2 2 2 3 4" xfId="336"/>
    <cellStyle name="Calculation 2 2 2 3 5" xfId="513"/>
    <cellStyle name="Calculation 2 2 2 3 6" xfId="546"/>
    <cellStyle name="Calculation 2 2 2 3 7" xfId="607"/>
    <cellStyle name="Calculation 2 2 2 3 8" xfId="640"/>
    <cellStyle name="Calculation 2 2 2 3 9" xfId="451"/>
    <cellStyle name="Calculation 2 2 2 4" xfId="208"/>
    <cellStyle name="Calculation 2 2 2 4 2" xfId="1466"/>
    <cellStyle name="Calculation 2 2 3" xfId="131"/>
    <cellStyle name="Calculation 2 2 3 2" xfId="265"/>
    <cellStyle name="Calculation 2 2 3 3" xfId="685"/>
    <cellStyle name="Calculation 2 2 3 4" xfId="687"/>
    <cellStyle name="Calculation 2 2 4" xfId="168"/>
    <cellStyle name="Calculation 2 2 4 10" xfId="694"/>
    <cellStyle name="Calculation 2 2 4 11" xfId="728"/>
    <cellStyle name="Calculation 2 2 4 12" xfId="764"/>
    <cellStyle name="Calculation 2 2 4 13" xfId="813"/>
    <cellStyle name="Calculation 2 2 4 14" xfId="846"/>
    <cellStyle name="Calculation 2 2 4 15" xfId="906"/>
    <cellStyle name="Calculation 2 2 4 16" xfId="890"/>
    <cellStyle name="Calculation 2 2 4 17" xfId="963"/>
    <cellStyle name="Calculation 2 2 4 18" xfId="646"/>
    <cellStyle name="Calculation 2 2 4 19" xfId="1023"/>
    <cellStyle name="Calculation 2 2 4 2" xfId="286"/>
    <cellStyle name="Calculation 2 2 4 2 2" xfId="1432"/>
    <cellStyle name="Calculation 2 2 4 20" xfId="1061"/>
    <cellStyle name="Calculation 2 2 4 21" xfId="1102"/>
    <cellStyle name="Calculation 2 2 4 22" xfId="1135"/>
    <cellStyle name="Calculation 2 2 4 23" xfId="1167"/>
    <cellStyle name="Calculation 2 2 4 24" xfId="1198"/>
    <cellStyle name="Calculation 2 2 4 25" xfId="1270"/>
    <cellStyle name="Calculation 2 2 4 26" xfId="1309"/>
    <cellStyle name="Calculation 2 2 4 27" xfId="1342"/>
    <cellStyle name="Calculation 2 2 4 28" xfId="1088"/>
    <cellStyle name="Calculation 2 2 4 29" xfId="1404"/>
    <cellStyle name="Calculation 2 2 4 3" xfId="369"/>
    <cellStyle name="Calculation 2 2 4 30" xfId="252"/>
    <cellStyle name="Calculation 2 2 4 4" xfId="401"/>
    <cellStyle name="Calculation 2 2 4 5" xfId="495"/>
    <cellStyle name="Calculation 2 2 4 6" xfId="528"/>
    <cellStyle name="Calculation 2 2 4 7" xfId="589"/>
    <cellStyle name="Calculation 2 2 4 8" xfId="622"/>
    <cellStyle name="Calculation 2 2 4 9" xfId="450"/>
    <cellStyle name="Calculation 2 3" xfId="74"/>
    <cellStyle name="Calculation 2 3 2" xfId="106"/>
    <cellStyle name="Calculation 2 3 2 2" xfId="143"/>
    <cellStyle name="Calculation 2 3 2 2 2" xfId="316"/>
    <cellStyle name="Calculation 2 3 2 2 3" xfId="682"/>
    <cellStyle name="Calculation 2 3 2 2 4" xfId="1232"/>
    <cellStyle name="Calculation 2 3 2 2 5" xfId="228"/>
    <cellStyle name="Calculation 2 3 2 2 5 2" xfId="1478"/>
    <cellStyle name="Calculation 2 3 2 3" xfId="180"/>
    <cellStyle name="Calculation 2 3 2 3 10" xfId="706"/>
    <cellStyle name="Calculation 2 3 2 3 11" xfId="740"/>
    <cellStyle name="Calculation 2 3 2 3 12" xfId="776"/>
    <cellStyle name="Calculation 2 3 2 3 13" xfId="825"/>
    <cellStyle name="Calculation 2 3 2 3 14" xfId="858"/>
    <cellStyle name="Calculation 2 3 2 3 15" xfId="918"/>
    <cellStyle name="Calculation 2 3 2 3 16" xfId="944"/>
    <cellStyle name="Calculation 2 3 2 3 17" xfId="975"/>
    <cellStyle name="Calculation 2 3 2 3 18" xfId="888"/>
    <cellStyle name="Calculation 2 3 2 3 19" xfId="1035"/>
    <cellStyle name="Calculation 2 3 2 3 2" xfId="298"/>
    <cellStyle name="Calculation 2 3 2 3 2 2" xfId="1436"/>
    <cellStyle name="Calculation 2 3 2 3 20" xfId="1073"/>
    <cellStyle name="Calculation 2 3 2 3 21" xfId="1114"/>
    <cellStyle name="Calculation 2 3 2 3 22" xfId="1147"/>
    <cellStyle name="Calculation 2 3 2 3 23" xfId="1179"/>
    <cellStyle name="Calculation 2 3 2 3 24" xfId="1210"/>
    <cellStyle name="Calculation 2 3 2 3 25" xfId="1282"/>
    <cellStyle name="Calculation 2 3 2 3 26" xfId="1321"/>
    <cellStyle name="Calculation 2 3 2 3 27" xfId="1354"/>
    <cellStyle name="Calculation 2 3 2 3 28" xfId="1378"/>
    <cellStyle name="Calculation 2 3 2 3 29" xfId="1416"/>
    <cellStyle name="Calculation 2 3 2 3 3" xfId="381"/>
    <cellStyle name="Calculation 2 3 2 3 4" xfId="345"/>
    <cellStyle name="Calculation 2 3 2 3 5" xfId="507"/>
    <cellStyle name="Calculation 2 3 2 3 6" xfId="540"/>
    <cellStyle name="Calculation 2 3 2 3 7" xfId="601"/>
    <cellStyle name="Calculation 2 3 2 3 8" xfId="634"/>
    <cellStyle name="Calculation 2 3 2 3 9" xfId="436"/>
    <cellStyle name="Calculation 2 3 2 4" xfId="204"/>
    <cellStyle name="Calculation 2 3 2 4 2" xfId="1462"/>
    <cellStyle name="Calculation 2 3 3" xfId="125"/>
    <cellStyle name="Calculation 2 3 3 2" xfId="407"/>
    <cellStyle name="Calculation 2 3 3 3" xfId="521"/>
    <cellStyle name="Calculation 2 3 3 4" xfId="1374"/>
    <cellStyle name="Calculation 2 3 4" xfId="162"/>
    <cellStyle name="Calculation 2 3 4 10" xfId="688"/>
    <cellStyle name="Calculation 2 3 4 11" xfId="722"/>
    <cellStyle name="Calculation 2 3 4 12" xfId="758"/>
    <cellStyle name="Calculation 2 3 4 13" xfId="807"/>
    <cellStyle name="Calculation 2 3 4 14" xfId="840"/>
    <cellStyle name="Calculation 2 3 4 15" xfId="900"/>
    <cellStyle name="Calculation 2 3 4 16" xfId="666"/>
    <cellStyle name="Calculation 2 3 4 17" xfId="957"/>
    <cellStyle name="Calculation 2 3 4 18" xfId="994"/>
    <cellStyle name="Calculation 2 3 4 19" xfId="1017"/>
    <cellStyle name="Calculation 2 3 4 2" xfId="280"/>
    <cellStyle name="Calculation 2 3 4 2 2" xfId="1430"/>
    <cellStyle name="Calculation 2 3 4 20" xfId="1055"/>
    <cellStyle name="Calculation 2 3 4 21" xfId="1096"/>
    <cellStyle name="Calculation 2 3 4 22" xfId="1129"/>
    <cellStyle name="Calculation 2 3 4 23" xfId="1161"/>
    <cellStyle name="Calculation 2 3 4 24" xfId="1192"/>
    <cellStyle name="Calculation 2 3 4 25" xfId="1264"/>
    <cellStyle name="Calculation 2 3 4 26" xfId="1303"/>
    <cellStyle name="Calculation 2 3 4 27" xfId="1336"/>
    <cellStyle name="Calculation 2 3 4 28" xfId="1005"/>
    <cellStyle name="Calculation 2 3 4 29" xfId="1398"/>
    <cellStyle name="Calculation 2 3 4 3" xfId="363"/>
    <cellStyle name="Calculation 2 3 4 30" xfId="246"/>
    <cellStyle name="Calculation 2 3 4 4" xfId="398"/>
    <cellStyle name="Calculation 2 3 4 5" xfId="489"/>
    <cellStyle name="Calculation 2 3 4 6" xfId="522"/>
    <cellStyle name="Calculation 2 3 4 7" xfId="583"/>
    <cellStyle name="Calculation 2 3 4 8" xfId="616"/>
    <cellStyle name="Calculation 2 3 4 9" xfId="681"/>
    <cellStyle name="Calculation 2 4" xfId="99"/>
    <cellStyle name="Calculation 2 4 2" xfId="137"/>
    <cellStyle name="Calculation 2 4 2 2" xfId="318"/>
    <cellStyle name="Calculation 2 4 2 3" xfId="465"/>
    <cellStyle name="Calculation 2 4 2 4" xfId="1085"/>
    <cellStyle name="Calculation 2 4 2 5" xfId="222"/>
    <cellStyle name="Calculation 2 4 2 5 2" xfId="1474"/>
    <cellStyle name="Calculation 2 4 3" xfId="174"/>
    <cellStyle name="Calculation 2 4 3 10" xfId="700"/>
    <cellStyle name="Calculation 2 4 3 11" xfId="734"/>
    <cellStyle name="Calculation 2 4 3 12" xfId="770"/>
    <cellStyle name="Calculation 2 4 3 13" xfId="819"/>
    <cellStyle name="Calculation 2 4 3 14" xfId="852"/>
    <cellStyle name="Calculation 2 4 3 15" xfId="912"/>
    <cellStyle name="Calculation 2 4 3 16" xfId="798"/>
    <cellStyle name="Calculation 2 4 3 17" xfId="969"/>
    <cellStyle name="Calculation 2 4 3 18" xfId="956"/>
    <cellStyle name="Calculation 2 4 3 19" xfId="1029"/>
    <cellStyle name="Calculation 2 4 3 2" xfId="292"/>
    <cellStyle name="Calculation 2 4 3 2 2" xfId="1434"/>
    <cellStyle name="Calculation 2 4 3 20" xfId="1067"/>
    <cellStyle name="Calculation 2 4 3 21" xfId="1108"/>
    <cellStyle name="Calculation 2 4 3 22" xfId="1141"/>
    <cellStyle name="Calculation 2 4 3 23" xfId="1173"/>
    <cellStyle name="Calculation 2 4 3 24" xfId="1204"/>
    <cellStyle name="Calculation 2 4 3 25" xfId="1276"/>
    <cellStyle name="Calculation 2 4 3 26" xfId="1315"/>
    <cellStyle name="Calculation 2 4 3 27" xfId="1348"/>
    <cellStyle name="Calculation 2 4 3 28" xfId="1227"/>
    <cellStyle name="Calculation 2 4 3 29" xfId="1410"/>
    <cellStyle name="Calculation 2 4 3 3" xfId="375"/>
    <cellStyle name="Calculation 2 4 3 4" xfId="335"/>
    <cellStyle name="Calculation 2 4 3 5" xfId="501"/>
    <cellStyle name="Calculation 2 4 3 6" xfId="534"/>
    <cellStyle name="Calculation 2 4 3 7" xfId="595"/>
    <cellStyle name="Calculation 2 4 3 8" xfId="628"/>
    <cellStyle name="Calculation 2 4 3 9" xfId="430"/>
    <cellStyle name="Calculation 2 4 4" xfId="200"/>
    <cellStyle name="Calculation 2 4 4 2" xfId="1458"/>
    <cellStyle name="Calculation 2 5" xfId="119"/>
    <cellStyle name="Calculation 2 5 2" xfId="410"/>
    <cellStyle name="Calculation 2 5 3" xfId="649"/>
    <cellStyle name="Calculation 2 5 4" xfId="995"/>
    <cellStyle name="Calculation 2 5 5" xfId="212"/>
    <cellStyle name="Calculation 2 5 5 2" xfId="1470"/>
    <cellStyle name="Calculation 2 6" xfId="156"/>
    <cellStyle name="Calculation 2 6 10" xfId="428"/>
    <cellStyle name="Calculation 2 6 11" xfId="419"/>
    <cellStyle name="Calculation 2 6 12" xfId="678"/>
    <cellStyle name="Calculation 2 6 13" xfId="801"/>
    <cellStyle name="Calculation 2 6 14" xfId="614"/>
    <cellStyle name="Calculation 2 6 15" xfId="894"/>
    <cellStyle name="Calculation 2 6 16" xfId="889"/>
    <cellStyle name="Calculation 2 6 17" xfId="755"/>
    <cellStyle name="Calculation 2 6 18" xfId="992"/>
    <cellStyle name="Calculation 2 6 19" xfId="1011"/>
    <cellStyle name="Calculation 2 6 2" xfId="274"/>
    <cellStyle name="Calculation 2 6 2 2" xfId="1428"/>
    <cellStyle name="Calculation 2 6 20" xfId="1049"/>
    <cellStyle name="Calculation 2 6 21" xfId="1090"/>
    <cellStyle name="Calculation 2 6 22" xfId="891"/>
    <cellStyle name="Calculation 2 6 23" xfId="1002"/>
    <cellStyle name="Calculation 2 6 24" xfId="1003"/>
    <cellStyle name="Calculation 2 6 25" xfId="1258"/>
    <cellStyle name="Calculation 2 6 26" xfId="1297"/>
    <cellStyle name="Calculation 2 6 27" xfId="1251"/>
    <cellStyle name="Calculation 2 6 28" xfId="1230"/>
    <cellStyle name="Calculation 2 6 29" xfId="1333"/>
    <cellStyle name="Calculation 2 6 3" xfId="357"/>
    <cellStyle name="Calculation 2 6 30" xfId="240"/>
    <cellStyle name="Calculation 2 6 4" xfId="311"/>
    <cellStyle name="Calculation 2 6 5" xfId="483"/>
    <cellStyle name="Calculation 2 6 6" xfId="426"/>
    <cellStyle name="Calculation 2 6 7" xfId="577"/>
    <cellStyle name="Calculation 2 6 8" xfId="434"/>
    <cellStyle name="Calculation 2 6 9" xfId="677"/>
    <cellStyle name="Check Cell 2" xfId="38"/>
    <cellStyle name="Comma" xfId="8"/>
    <cellStyle name="Currency" xfId="58"/>
    <cellStyle name="Explanatory Text 2" xfId="39"/>
    <cellStyle name="Good 2" xfId="40"/>
    <cellStyle name="Heading 1 2" xfId="41"/>
    <cellStyle name="Heading 2 2" xfId="42"/>
    <cellStyle name="Heading 3 2" xfId="43"/>
    <cellStyle name="Heading 3 2 2" xfId="100"/>
    <cellStyle name="Heading 4 2" xfId="44"/>
    <cellStyle name="Hipervínculo 2" xfId="195"/>
    <cellStyle name="Hipervínculo 6" xfId="196"/>
    <cellStyle name="Input 2" xfId="45"/>
    <cellStyle name="Input 2 2" xfId="87"/>
    <cellStyle name="Input 2 2 2" xfId="113"/>
    <cellStyle name="Input 2 2 2 2" xfId="150"/>
    <cellStyle name="Input 2 2 2 2 2" xfId="351"/>
    <cellStyle name="Input 2 2 2 2 3" xfId="416"/>
    <cellStyle name="Input 2 2 2 2 4" xfId="1008"/>
    <cellStyle name="Input 2 2 2 2 5" xfId="235"/>
    <cellStyle name="Input 2 2 2 2 5 2" xfId="1483"/>
    <cellStyle name="Input 2 2 2 3" xfId="187"/>
    <cellStyle name="Input 2 2 2 3 10" xfId="713"/>
    <cellStyle name="Input 2 2 2 3 11" xfId="747"/>
    <cellStyle name="Input 2 2 2 3 12" xfId="783"/>
    <cellStyle name="Input 2 2 2 3 13" xfId="832"/>
    <cellStyle name="Input 2 2 2 3 14" xfId="865"/>
    <cellStyle name="Input 2 2 2 3 15" xfId="925"/>
    <cellStyle name="Input 2 2 2 3 16" xfId="951"/>
    <cellStyle name="Input 2 2 2 3 17" xfId="982"/>
    <cellStyle name="Input 2 2 2 3 18" xfId="415"/>
    <cellStyle name="Input 2 2 2 3 19" xfId="1042"/>
    <cellStyle name="Input 2 2 2 3 2" xfId="305"/>
    <cellStyle name="Input 2 2 2 3 2 2" xfId="1439"/>
    <cellStyle name="Input 2 2 2 3 20" xfId="1080"/>
    <cellStyle name="Input 2 2 2 3 21" xfId="1121"/>
    <cellStyle name="Input 2 2 2 3 22" xfId="1154"/>
    <cellStyle name="Input 2 2 2 3 23" xfId="1186"/>
    <cellStyle name="Input 2 2 2 3 24" xfId="1217"/>
    <cellStyle name="Input 2 2 2 3 25" xfId="1289"/>
    <cellStyle name="Input 2 2 2 3 26" xfId="1328"/>
    <cellStyle name="Input 2 2 2 3 27" xfId="1361"/>
    <cellStyle name="Input 2 2 2 3 28" xfId="1381"/>
    <cellStyle name="Input 2 2 2 3 29" xfId="1423"/>
    <cellStyle name="Input 2 2 2 3 3" xfId="388"/>
    <cellStyle name="Input 2 2 2 3 4" xfId="355"/>
    <cellStyle name="Input 2 2 2 3 5" xfId="514"/>
    <cellStyle name="Input 2 2 2 3 6" xfId="547"/>
    <cellStyle name="Input 2 2 2 3 7" xfId="608"/>
    <cellStyle name="Input 2 2 2 3 8" xfId="641"/>
    <cellStyle name="Input 2 2 2 3 9" xfId="471"/>
    <cellStyle name="Input 2 2 2 4" xfId="209"/>
    <cellStyle name="Input 2 2 2 4 2" xfId="1467"/>
    <cellStyle name="Input 2 2 3" xfId="132"/>
    <cellStyle name="Input 2 2 3 2" xfId="342"/>
    <cellStyle name="Input 2 2 3 3" xfId="663"/>
    <cellStyle name="Input 2 2 3 4" xfId="1225"/>
    <cellStyle name="Input 2 2 4" xfId="169"/>
    <cellStyle name="Input 2 2 4 10" xfId="695"/>
    <cellStyle name="Input 2 2 4 11" xfId="729"/>
    <cellStyle name="Input 2 2 4 12" xfId="765"/>
    <cellStyle name="Input 2 2 4 13" xfId="814"/>
    <cellStyle name="Input 2 2 4 14" xfId="847"/>
    <cellStyle name="Input 2 2 4 15" xfId="907"/>
    <cellStyle name="Input 2 2 4 16" xfId="877"/>
    <cellStyle name="Input 2 2 4 17" xfId="964"/>
    <cellStyle name="Input 2 2 4 18" xfId="461"/>
    <cellStyle name="Input 2 2 4 19" xfId="1024"/>
    <cellStyle name="Input 2 2 4 2" xfId="287"/>
    <cellStyle name="Input 2 2 4 2 2" xfId="1433"/>
    <cellStyle name="Input 2 2 4 20" xfId="1062"/>
    <cellStyle name="Input 2 2 4 21" xfId="1103"/>
    <cellStyle name="Input 2 2 4 22" xfId="1136"/>
    <cellStyle name="Input 2 2 4 23" xfId="1168"/>
    <cellStyle name="Input 2 2 4 24" xfId="1199"/>
    <cellStyle name="Input 2 2 4 25" xfId="1271"/>
    <cellStyle name="Input 2 2 4 26" xfId="1310"/>
    <cellStyle name="Input 2 2 4 27" xfId="1343"/>
    <cellStyle name="Input 2 2 4 28" xfId="1370"/>
    <cellStyle name="Input 2 2 4 29" xfId="1405"/>
    <cellStyle name="Input 2 2 4 3" xfId="370"/>
    <cellStyle name="Input 2 2 4 30" xfId="253"/>
    <cellStyle name="Input 2 2 4 4" xfId="268"/>
    <cellStyle name="Input 2 2 4 5" xfId="496"/>
    <cellStyle name="Input 2 2 4 6" xfId="529"/>
    <cellStyle name="Input 2 2 4 7" xfId="590"/>
    <cellStyle name="Input 2 2 4 8" xfId="623"/>
    <cellStyle name="Input 2 2 4 9" xfId="462"/>
    <cellStyle name="Input 2 3" xfId="76"/>
    <cellStyle name="Input 2 3 2" xfId="107"/>
    <cellStyle name="Input 2 3 2 2" xfId="144"/>
    <cellStyle name="Input 2 3 2 2 2" xfId="325"/>
    <cellStyle name="Input 2 3 2 2 3" xfId="671"/>
    <cellStyle name="Input 2 3 2 2 4" xfId="1127"/>
    <cellStyle name="Input 2 3 2 2 5" xfId="229"/>
    <cellStyle name="Input 2 3 2 2 5 2" xfId="1479"/>
    <cellStyle name="Input 2 3 2 3" xfId="181"/>
    <cellStyle name="Input 2 3 2 3 10" xfId="707"/>
    <cellStyle name="Input 2 3 2 3 11" xfId="741"/>
    <cellStyle name="Input 2 3 2 3 12" xfId="777"/>
    <cellStyle name="Input 2 3 2 3 13" xfId="826"/>
    <cellStyle name="Input 2 3 2 3 14" xfId="859"/>
    <cellStyle name="Input 2 3 2 3 15" xfId="919"/>
    <cellStyle name="Input 2 3 2 3 16" xfId="945"/>
    <cellStyle name="Input 2 3 2 3 17" xfId="976"/>
    <cellStyle name="Input 2 3 2 3 18" xfId="559"/>
    <cellStyle name="Input 2 3 2 3 19" xfId="1036"/>
    <cellStyle name="Input 2 3 2 3 2" xfId="299"/>
    <cellStyle name="Input 2 3 2 3 2 2" xfId="1437"/>
    <cellStyle name="Input 2 3 2 3 20" xfId="1074"/>
    <cellStyle name="Input 2 3 2 3 21" xfId="1115"/>
    <cellStyle name="Input 2 3 2 3 22" xfId="1148"/>
    <cellStyle name="Input 2 3 2 3 23" xfId="1180"/>
    <cellStyle name="Input 2 3 2 3 24" xfId="1211"/>
    <cellStyle name="Input 2 3 2 3 25" xfId="1283"/>
    <cellStyle name="Input 2 3 2 3 26" xfId="1322"/>
    <cellStyle name="Input 2 3 2 3 27" xfId="1355"/>
    <cellStyle name="Input 2 3 2 3 28" xfId="1048"/>
    <cellStyle name="Input 2 3 2 3 29" xfId="1417"/>
    <cellStyle name="Input 2 3 2 3 3" xfId="382"/>
    <cellStyle name="Input 2 3 2 3 4" xfId="329"/>
    <cellStyle name="Input 2 3 2 3 5" xfId="508"/>
    <cellStyle name="Input 2 3 2 3 6" xfId="541"/>
    <cellStyle name="Input 2 3 2 3 7" xfId="602"/>
    <cellStyle name="Input 2 3 2 3 8" xfId="635"/>
    <cellStyle name="Input 2 3 2 3 9" xfId="469"/>
    <cellStyle name="Input 2 3 2 4" xfId="205"/>
    <cellStyle name="Input 2 3 2 4 2" xfId="1463"/>
    <cellStyle name="Input 2 3 3" xfId="126"/>
    <cellStyle name="Input 2 3 3 2" xfId="334"/>
    <cellStyle name="Input 2 3 3 3" xfId="793"/>
    <cellStyle name="Input 2 3 3 4" xfId="1087"/>
    <cellStyle name="Input 2 3 4" xfId="163"/>
    <cellStyle name="Input 2 3 4 10" xfId="689"/>
    <cellStyle name="Input 2 3 4 11" xfId="723"/>
    <cellStyle name="Input 2 3 4 12" xfId="759"/>
    <cellStyle name="Input 2 3 4 13" xfId="808"/>
    <cellStyle name="Input 2 3 4 14" xfId="841"/>
    <cellStyle name="Input 2 3 4 15" xfId="901"/>
    <cellStyle name="Input 2 3 4 16" xfId="881"/>
    <cellStyle name="Input 2 3 4 17" xfId="958"/>
    <cellStyle name="Input 2 3 4 18" xfId="871"/>
    <cellStyle name="Input 2 3 4 19" xfId="1018"/>
    <cellStyle name="Input 2 3 4 2" xfId="281"/>
    <cellStyle name="Input 2 3 4 2 2" xfId="1431"/>
    <cellStyle name="Input 2 3 4 20" xfId="1056"/>
    <cellStyle name="Input 2 3 4 21" xfId="1097"/>
    <cellStyle name="Input 2 3 4 22" xfId="1130"/>
    <cellStyle name="Input 2 3 4 23" xfId="1162"/>
    <cellStyle name="Input 2 3 4 24" xfId="1193"/>
    <cellStyle name="Input 2 3 4 25" xfId="1265"/>
    <cellStyle name="Input 2 3 4 26" xfId="1304"/>
    <cellStyle name="Input 2 3 4 27" xfId="1337"/>
    <cellStyle name="Input 2 3 4 28" xfId="1367"/>
    <cellStyle name="Input 2 3 4 29" xfId="1399"/>
    <cellStyle name="Input 2 3 4 3" xfId="364"/>
    <cellStyle name="Input 2 3 4 30" xfId="247"/>
    <cellStyle name="Input 2 3 4 4" xfId="266"/>
    <cellStyle name="Input 2 3 4 5" xfId="490"/>
    <cellStyle name="Input 2 3 4 6" xfId="523"/>
    <cellStyle name="Input 2 3 4 7" xfId="584"/>
    <cellStyle name="Input 2 3 4 8" xfId="617"/>
    <cellStyle name="Input 2 3 4 9" xfId="657"/>
    <cellStyle name="Input 2 4" xfId="101"/>
    <cellStyle name="Input 2 4 2" xfId="138"/>
    <cellStyle name="Input 2 4 2 2" xfId="264"/>
    <cellStyle name="Input 2 4 2 3" xfId="655"/>
    <cellStyle name="Input 2 4 2 4" xfId="1377"/>
    <cellStyle name="Input 2 4 2 5" xfId="223"/>
    <cellStyle name="Input 2 4 2 5 2" xfId="1475"/>
    <cellStyle name="Input 2 4 3" xfId="175"/>
    <cellStyle name="Input 2 4 3 10" xfId="701"/>
    <cellStyle name="Input 2 4 3 11" xfId="735"/>
    <cellStyle name="Input 2 4 3 12" xfId="771"/>
    <cellStyle name="Input 2 4 3 13" xfId="820"/>
    <cellStyle name="Input 2 4 3 14" xfId="853"/>
    <cellStyle name="Input 2 4 3 15" xfId="913"/>
    <cellStyle name="Input 2 4 3 16" xfId="882"/>
    <cellStyle name="Input 2 4 3 17" xfId="970"/>
    <cellStyle name="Input 2 4 3 18" xfId="674"/>
    <cellStyle name="Input 2 4 3 19" xfId="1030"/>
    <cellStyle name="Input 2 4 3 2" xfId="293"/>
    <cellStyle name="Input 2 4 3 2 2" xfId="1435"/>
    <cellStyle name="Input 2 4 3 20" xfId="1068"/>
    <cellStyle name="Input 2 4 3 21" xfId="1109"/>
    <cellStyle name="Input 2 4 3 22" xfId="1142"/>
    <cellStyle name="Input 2 4 3 23" xfId="1174"/>
    <cellStyle name="Input 2 4 3 24" xfId="1205"/>
    <cellStyle name="Input 2 4 3 25" xfId="1277"/>
    <cellStyle name="Input 2 4 3 26" xfId="1316"/>
    <cellStyle name="Input 2 4 3 27" xfId="1349"/>
    <cellStyle name="Input 2 4 3 28" xfId="1380"/>
    <cellStyle name="Input 2 4 3 29" xfId="1411"/>
    <cellStyle name="Input 2 4 3 3" xfId="376"/>
    <cellStyle name="Input 2 4 3 4" xfId="354"/>
    <cellStyle name="Input 2 4 3 5" xfId="502"/>
    <cellStyle name="Input 2 4 3 6" xfId="535"/>
    <cellStyle name="Input 2 4 3 7" xfId="596"/>
    <cellStyle name="Input 2 4 3 8" xfId="629"/>
    <cellStyle name="Input 2 4 3 9" xfId="468"/>
    <cellStyle name="Input 2 4 4" xfId="201"/>
    <cellStyle name="Input 2 4 4 2" xfId="1459"/>
    <cellStyle name="Input 2 5" xfId="120"/>
    <cellStyle name="Input 2 5 2" xfId="413"/>
    <cellStyle name="Input 2 5 3" xfId="651"/>
    <cellStyle name="Input 2 5 4" xfId="1224"/>
    <cellStyle name="Input 2 5 5" xfId="213"/>
    <cellStyle name="Input 2 5 5 2" xfId="1471"/>
    <cellStyle name="Input 2 6" xfId="157"/>
    <cellStyle name="Input 2 6 10" xfId="563"/>
    <cellStyle name="Input 2 6 11" xfId="444"/>
    <cellStyle name="Input 2 6 12" xfId="653"/>
    <cellStyle name="Input 2 6 13" xfId="802"/>
    <cellStyle name="Input 2 6 14" xfId="573"/>
    <cellStyle name="Input 2 6 15" xfId="895"/>
    <cellStyle name="Input 2 6 16" xfId="876"/>
    <cellStyle name="Input 2 6 17" xfId="668"/>
    <cellStyle name="Input 2 6 18" xfId="667"/>
    <cellStyle name="Input 2 6 19" xfId="1012"/>
    <cellStyle name="Input 2 6 2" xfId="275"/>
    <cellStyle name="Input 2 6 2 2" xfId="1429"/>
    <cellStyle name="Input 2 6 20" xfId="1050"/>
    <cellStyle name="Input 2 6 21" xfId="1091"/>
    <cellStyle name="Input 2 6 22" xfId="996"/>
    <cellStyle name="Input 2 6 23" xfId="935"/>
    <cellStyle name="Input 2 6 24" xfId="998"/>
    <cellStyle name="Input 2 6 25" xfId="1259"/>
    <cellStyle name="Input 2 6 26" xfId="1298"/>
    <cellStyle name="Input 2 6 27" xfId="1241"/>
    <cellStyle name="Input 2 6 28" xfId="647"/>
    <cellStyle name="Input 2 6 29" xfId="1366"/>
    <cellStyle name="Input 2 6 3" xfId="358"/>
    <cellStyle name="Input 2 6 30" xfId="241"/>
    <cellStyle name="Input 2 6 4" xfId="397"/>
    <cellStyle name="Input 2 6 5" xfId="484"/>
    <cellStyle name="Input 2 6 6" xfId="425"/>
    <cellStyle name="Input 2 6 7" xfId="578"/>
    <cellStyle name="Input 2 6 8" xfId="427"/>
    <cellStyle name="Input 2 6 9" xfId="652"/>
    <cellStyle name="Linked Cell 2" xfId="46"/>
    <cellStyle name="Millares" xfId="1" builtinId="3"/>
    <cellStyle name="Millares 12" xfId="197"/>
    <cellStyle name="Millares 2" xfId="193"/>
    <cellStyle name="Millares 2 3" xfId="54"/>
    <cellStyle name="Millares 2 3 15" xfId="56"/>
    <cellStyle name="Millares 3" xfId="61"/>
    <cellStyle name="Moneda" xfId="2" builtinId="4"/>
    <cellStyle name="Moneda 17" xfId="1870"/>
    <cellStyle name="Moneda 2" xfId="4"/>
    <cellStyle name="Moneda 2 2" xfId="60"/>
    <cellStyle name="Moneda 3" xfId="6"/>
    <cellStyle name="Moneda 4" xfId="194"/>
    <cellStyle name="Moneda 5" xfId="198"/>
    <cellStyle name="Neutral 2" xfId="47"/>
    <cellStyle name="Normal" xfId="0" builtinId="0"/>
    <cellStyle name="Normal 10" xfId="3"/>
    <cellStyle name="Normal 10 2" xfId="9"/>
    <cellStyle name="Normal 10 3" xfId="199"/>
    <cellStyle name="Normal 11" xfId="82"/>
    <cellStyle name="Normal 12" xfId="94"/>
    <cellStyle name="Normal 13" xfId="84"/>
    <cellStyle name="Normal 14" xfId="95"/>
    <cellStyle name="Normal 15" xfId="63"/>
    <cellStyle name="Normal 16" xfId="96"/>
    <cellStyle name="Normal 17" xfId="77"/>
    <cellStyle name="Normal 18" xfId="66"/>
    <cellStyle name="Normal 19" xfId="73"/>
    <cellStyle name="Normal 2" xfId="7"/>
    <cellStyle name="Normal 2 2" xfId="57"/>
    <cellStyle name="Normal 2 3" xfId="48"/>
    <cellStyle name="Normal 20" xfId="68"/>
    <cellStyle name="Normal 21" xfId="71"/>
    <cellStyle name="Normal 22" xfId="70"/>
    <cellStyle name="Normal 23" xfId="93"/>
    <cellStyle name="Normal 24" xfId="75"/>
    <cellStyle name="Normal 25" xfId="67"/>
    <cellStyle name="Normal 26" xfId="72"/>
    <cellStyle name="Normal 27" xfId="69"/>
    <cellStyle name="Normal 28" xfId="98"/>
    <cellStyle name="Normal 29" xfId="97"/>
    <cellStyle name="Normal 3" xfId="11"/>
    <cellStyle name="Normal 3 100" xfId="55"/>
    <cellStyle name="Normal 30" xfId="10"/>
    <cellStyle name="Normal 31" xfId="118"/>
    <cellStyle name="Normal 32" xfId="155"/>
    <cellStyle name="Normal 4" xfId="5"/>
    <cellStyle name="Normal 4 2" xfId="64"/>
    <cellStyle name="Normal 5" xfId="85"/>
    <cellStyle name="Normal 6" xfId="90"/>
    <cellStyle name="Normal 7" xfId="62"/>
    <cellStyle name="Normal 8" xfId="81"/>
    <cellStyle name="Normal 9" xfId="65"/>
    <cellStyle name="Note 2" xfId="49"/>
    <cellStyle name="Note 2 2" xfId="59"/>
    <cellStyle name="Note 2 2 2" xfId="92"/>
    <cellStyle name="Note 2 2 2 2" xfId="117"/>
    <cellStyle name="Note 2 2 2 2 2" xfId="154"/>
    <cellStyle name="Note 2 2 2 2 2 2" xfId="403"/>
    <cellStyle name="Note 2 2 2 2 2 2 2" xfId="1542"/>
    <cellStyle name="Note 2 2 2 2 2 3" xfId="664"/>
    <cellStyle name="Note 2 2 2 2 2 3 2" xfId="1627"/>
    <cellStyle name="Note 2 2 2 2 2 4" xfId="1395"/>
    <cellStyle name="Note 2 2 2 2 2 4 2" xfId="1859"/>
    <cellStyle name="Note 2 2 2 2 2 5" xfId="239"/>
    <cellStyle name="Note 2 2 2 2 2 5 2" xfId="1485"/>
    <cellStyle name="Note 2 2 2 2 2 6" xfId="1451"/>
    <cellStyle name="Note 2 2 2 2 3" xfId="191"/>
    <cellStyle name="Note 2 2 2 2 3 10" xfId="717"/>
    <cellStyle name="Note 2 2 2 2 3 10 2" xfId="1640"/>
    <cellStyle name="Note 2 2 2 2 3 11" xfId="751"/>
    <cellStyle name="Note 2 2 2 2 3 11 2" xfId="1651"/>
    <cellStyle name="Note 2 2 2 2 3 12" xfId="787"/>
    <cellStyle name="Note 2 2 2 2 3 12 2" xfId="1664"/>
    <cellStyle name="Note 2 2 2 2 3 13" xfId="836"/>
    <cellStyle name="Note 2 2 2 2 3 13 2" xfId="1679"/>
    <cellStyle name="Note 2 2 2 2 3 14" xfId="869"/>
    <cellStyle name="Note 2 2 2 2 3 14 2" xfId="1691"/>
    <cellStyle name="Note 2 2 2 2 3 15" xfId="929"/>
    <cellStyle name="Note 2 2 2 2 3 15 2" xfId="1708"/>
    <cellStyle name="Note 2 2 2 2 3 16" xfId="955"/>
    <cellStyle name="Note 2 2 2 2 3 16 2" xfId="1717"/>
    <cellStyle name="Note 2 2 2 2 3 17" xfId="986"/>
    <cellStyle name="Note 2 2 2 2 3 17 2" xfId="1727"/>
    <cellStyle name="Note 2 2 2 2 3 18" xfId="987"/>
    <cellStyle name="Note 2 2 2 2 3 18 2" xfId="1728"/>
    <cellStyle name="Note 2 2 2 2 3 19" xfId="1046"/>
    <cellStyle name="Note 2 2 2 2 3 19 2" xfId="1750"/>
    <cellStyle name="Note 2 2 2 2 3 2" xfId="309"/>
    <cellStyle name="Note 2 2 2 2 3 2 2" xfId="1511"/>
    <cellStyle name="Note 2 2 2 2 3 20" xfId="1084"/>
    <cellStyle name="Note 2 2 2 2 3 20 2" xfId="1762"/>
    <cellStyle name="Note 2 2 2 2 3 21" xfId="1125"/>
    <cellStyle name="Note 2 2 2 2 3 21 2" xfId="1775"/>
    <cellStyle name="Note 2 2 2 2 3 22" xfId="1158"/>
    <cellStyle name="Note 2 2 2 2 3 22 2" xfId="1785"/>
    <cellStyle name="Note 2 2 2 2 3 23" xfId="1190"/>
    <cellStyle name="Note 2 2 2 2 3 23 2" xfId="1796"/>
    <cellStyle name="Note 2 2 2 2 3 24" xfId="1221"/>
    <cellStyle name="Note 2 2 2 2 3 24 2" xfId="1806"/>
    <cellStyle name="Note 2 2 2 2 3 25" xfId="1293"/>
    <cellStyle name="Note 2 2 2 2 3 25 2" xfId="1827"/>
    <cellStyle name="Note 2 2 2 2 3 26" xfId="1332"/>
    <cellStyle name="Note 2 2 2 2 3 26 2" xfId="1841"/>
    <cellStyle name="Note 2 2 2 2 3 27" xfId="1365"/>
    <cellStyle name="Note 2 2 2 2 3 27 2" xfId="1852"/>
    <cellStyle name="Note 2 2 2 2 3 28" xfId="1386"/>
    <cellStyle name="Note 2 2 2 2 3 28 2" xfId="1856"/>
    <cellStyle name="Note 2 2 2 2 3 29" xfId="1427"/>
    <cellStyle name="Note 2 2 2 2 3 29 2" xfId="1869"/>
    <cellStyle name="Note 2 2 2 2 3 3" xfId="392"/>
    <cellStyle name="Note 2 2 2 2 3 3 2" xfId="1539"/>
    <cellStyle name="Note 2 2 2 2 3 30" xfId="263"/>
    <cellStyle name="Note 2 2 2 2 3 30 2" xfId="1497"/>
    <cellStyle name="Note 2 2 2 2 3 4" xfId="353"/>
    <cellStyle name="Note 2 2 2 2 3 4 2" xfId="1527"/>
    <cellStyle name="Note 2 2 2 2 3 5" xfId="518"/>
    <cellStyle name="Note 2 2 2 2 3 5 2" xfId="1581"/>
    <cellStyle name="Note 2 2 2 2 3 6" xfId="551"/>
    <cellStyle name="Note 2 2 2 2 3 6 2" xfId="1591"/>
    <cellStyle name="Note 2 2 2 2 3 7" xfId="612"/>
    <cellStyle name="Note 2 2 2 2 3 7 2" xfId="1613"/>
    <cellStyle name="Note 2 2 2 2 3 8" xfId="645"/>
    <cellStyle name="Note 2 2 2 2 3 8 2" xfId="1625"/>
    <cellStyle name="Note 2 2 2 2 3 9" xfId="615"/>
    <cellStyle name="Note 2 2 2 2 3 9 2" xfId="1615"/>
    <cellStyle name="Note 2 2 2 2 4" xfId="211"/>
    <cellStyle name="Note 2 2 2 2 4 2" xfId="1469"/>
    <cellStyle name="Note 2 2 2 3" xfId="136"/>
    <cellStyle name="Note 2 2 2 3 2" xfId="409"/>
    <cellStyle name="Note 2 2 2 3 2 2" xfId="1544"/>
    <cellStyle name="Note 2 2 2 3 3" xfId="448"/>
    <cellStyle name="Note 2 2 2 3 3 2" xfId="1557"/>
    <cellStyle name="Note 2 2 2 3 4" xfId="1231"/>
    <cellStyle name="Note 2 2 2 3 4 2" xfId="1811"/>
    <cellStyle name="Note 2 2 2 3 5" xfId="1445"/>
    <cellStyle name="Note 2 2 2 4" xfId="173"/>
    <cellStyle name="Note 2 2 2 4 10" xfId="699"/>
    <cellStyle name="Note 2 2 2 4 10 2" xfId="1634"/>
    <cellStyle name="Note 2 2 2 4 11" xfId="733"/>
    <cellStyle name="Note 2 2 2 4 11 2" xfId="1645"/>
    <cellStyle name="Note 2 2 2 4 12" xfId="769"/>
    <cellStyle name="Note 2 2 2 4 12 2" xfId="1658"/>
    <cellStyle name="Note 2 2 2 4 13" xfId="818"/>
    <cellStyle name="Note 2 2 2 4 13 2" xfId="1673"/>
    <cellStyle name="Note 2 2 2 4 14" xfId="851"/>
    <cellStyle name="Note 2 2 2 4 14 2" xfId="1685"/>
    <cellStyle name="Note 2 2 2 4 15" xfId="911"/>
    <cellStyle name="Note 2 2 2 4 15 2" xfId="1702"/>
    <cellStyle name="Note 2 2 2 4 16" xfId="874"/>
    <cellStyle name="Note 2 2 2 4 16 2" xfId="1695"/>
    <cellStyle name="Note 2 2 2 4 17" xfId="968"/>
    <cellStyle name="Note 2 2 2 4 17 2" xfId="1721"/>
    <cellStyle name="Note 2 2 2 4 18" xfId="938"/>
    <cellStyle name="Note 2 2 2 4 18 2" xfId="1711"/>
    <cellStyle name="Note 2 2 2 4 19" xfId="1028"/>
    <cellStyle name="Note 2 2 2 4 19 2" xfId="1744"/>
    <cellStyle name="Note 2 2 2 4 2" xfId="291"/>
    <cellStyle name="Note 2 2 2 4 2 2" xfId="1505"/>
    <cellStyle name="Note 2 2 2 4 20" xfId="1066"/>
    <cellStyle name="Note 2 2 2 4 20 2" xfId="1756"/>
    <cellStyle name="Note 2 2 2 4 21" xfId="1107"/>
    <cellStyle name="Note 2 2 2 4 21 2" xfId="1769"/>
    <cellStyle name="Note 2 2 2 4 22" xfId="1140"/>
    <cellStyle name="Note 2 2 2 4 22 2" xfId="1779"/>
    <cellStyle name="Note 2 2 2 4 23" xfId="1172"/>
    <cellStyle name="Note 2 2 2 4 23 2" xfId="1790"/>
    <cellStyle name="Note 2 2 2 4 24" xfId="1203"/>
    <cellStyle name="Note 2 2 2 4 24 2" xfId="1800"/>
    <cellStyle name="Note 2 2 2 4 25" xfId="1275"/>
    <cellStyle name="Note 2 2 2 4 25 2" xfId="1821"/>
    <cellStyle name="Note 2 2 2 4 26" xfId="1314"/>
    <cellStyle name="Note 2 2 2 4 26 2" xfId="1835"/>
    <cellStyle name="Note 2 2 2 4 27" xfId="1347"/>
    <cellStyle name="Note 2 2 2 4 27 2" xfId="1846"/>
    <cellStyle name="Note 2 2 2 4 28" xfId="1385"/>
    <cellStyle name="Note 2 2 2 4 28 2" xfId="1855"/>
    <cellStyle name="Note 2 2 2 4 29" xfId="1409"/>
    <cellStyle name="Note 2 2 2 4 29 2" xfId="1863"/>
    <cellStyle name="Note 2 2 2 4 3" xfId="374"/>
    <cellStyle name="Note 2 2 2 4 3 2" xfId="1533"/>
    <cellStyle name="Note 2 2 2 4 30" xfId="257"/>
    <cellStyle name="Note 2 2 2 4 30 2" xfId="1491"/>
    <cellStyle name="Note 2 2 2 4 31" xfId="1457"/>
    <cellStyle name="Note 2 2 2 4 4" xfId="326"/>
    <cellStyle name="Note 2 2 2 4 4 2" xfId="1517"/>
    <cellStyle name="Note 2 2 2 4 5" xfId="500"/>
    <cellStyle name="Note 2 2 2 4 5 2" xfId="1575"/>
    <cellStyle name="Note 2 2 2 4 6" xfId="533"/>
    <cellStyle name="Note 2 2 2 4 6 2" xfId="1585"/>
    <cellStyle name="Note 2 2 2 4 7" xfId="594"/>
    <cellStyle name="Note 2 2 2 4 7 2" xfId="1607"/>
    <cellStyle name="Note 2 2 2 4 8" xfId="627"/>
    <cellStyle name="Note 2 2 2 4 8 2" xfId="1619"/>
    <cellStyle name="Note 2 2 2 4 9" xfId="432"/>
    <cellStyle name="Note 2 2 2 4 9 2" xfId="1550"/>
    <cellStyle name="Note 2 2 3" xfId="83"/>
    <cellStyle name="Note 2 2 3 2" xfId="111"/>
    <cellStyle name="Note 2 2 3 2 2" xfId="148"/>
    <cellStyle name="Note 2 2 3 2 2 2" xfId="317"/>
    <cellStyle name="Note 2 2 3 2 2 2 2" xfId="1513"/>
    <cellStyle name="Note 2 2 3 2 2 3" xfId="480"/>
    <cellStyle name="Note 2 2 3 2 2 3 2" xfId="1569"/>
    <cellStyle name="Note 2 2 3 2 2 4" xfId="931"/>
    <cellStyle name="Note 2 2 3 2 2 4 2" xfId="1709"/>
    <cellStyle name="Note 2 2 3 2 2 5" xfId="233"/>
    <cellStyle name="Note 2 2 3 2 2 5 2" xfId="1481"/>
    <cellStyle name="Note 2 2 3 2 2 6" xfId="1449"/>
    <cellStyle name="Note 2 2 3 2 3" xfId="185"/>
    <cellStyle name="Note 2 2 3 2 3 10" xfId="711"/>
    <cellStyle name="Note 2 2 3 2 3 10 2" xfId="1638"/>
    <cellStyle name="Note 2 2 3 2 3 11" xfId="745"/>
    <cellStyle name="Note 2 2 3 2 3 11 2" xfId="1649"/>
    <cellStyle name="Note 2 2 3 2 3 12" xfId="781"/>
    <cellStyle name="Note 2 2 3 2 3 12 2" xfId="1662"/>
    <cellStyle name="Note 2 2 3 2 3 13" xfId="830"/>
    <cellStyle name="Note 2 2 3 2 3 13 2" xfId="1677"/>
    <cellStyle name="Note 2 2 3 2 3 14" xfId="863"/>
    <cellStyle name="Note 2 2 3 2 3 14 2" xfId="1689"/>
    <cellStyle name="Note 2 2 3 2 3 15" xfId="923"/>
    <cellStyle name="Note 2 2 3 2 3 15 2" xfId="1706"/>
    <cellStyle name="Note 2 2 3 2 3 16" xfId="949"/>
    <cellStyle name="Note 2 2 3 2 3 16 2" xfId="1715"/>
    <cellStyle name="Note 2 2 3 2 3 17" xfId="980"/>
    <cellStyle name="Note 2 2 3 2 3 17 2" xfId="1725"/>
    <cellStyle name="Note 2 2 3 2 3 18" xfId="870"/>
    <cellStyle name="Note 2 2 3 2 3 18 2" xfId="1692"/>
    <cellStyle name="Note 2 2 3 2 3 19" xfId="1040"/>
    <cellStyle name="Note 2 2 3 2 3 19 2" xfId="1748"/>
    <cellStyle name="Note 2 2 3 2 3 2" xfId="303"/>
    <cellStyle name="Note 2 2 3 2 3 2 2" xfId="1509"/>
    <cellStyle name="Note 2 2 3 2 3 20" xfId="1078"/>
    <cellStyle name="Note 2 2 3 2 3 20 2" xfId="1760"/>
    <cellStyle name="Note 2 2 3 2 3 21" xfId="1119"/>
    <cellStyle name="Note 2 2 3 2 3 21 2" xfId="1773"/>
    <cellStyle name="Note 2 2 3 2 3 22" xfId="1152"/>
    <cellStyle name="Note 2 2 3 2 3 22 2" xfId="1783"/>
    <cellStyle name="Note 2 2 3 2 3 23" xfId="1184"/>
    <cellStyle name="Note 2 2 3 2 3 23 2" xfId="1794"/>
    <cellStyle name="Note 2 2 3 2 3 24" xfId="1215"/>
    <cellStyle name="Note 2 2 3 2 3 24 2" xfId="1804"/>
    <cellStyle name="Note 2 2 3 2 3 25" xfId="1287"/>
    <cellStyle name="Note 2 2 3 2 3 25 2" xfId="1825"/>
    <cellStyle name="Note 2 2 3 2 3 26" xfId="1326"/>
    <cellStyle name="Note 2 2 3 2 3 26 2" xfId="1839"/>
    <cellStyle name="Note 2 2 3 2 3 27" xfId="1359"/>
    <cellStyle name="Note 2 2 3 2 3 27 2" xfId="1850"/>
    <cellStyle name="Note 2 2 3 2 3 28" xfId="1389"/>
    <cellStyle name="Note 2 2 3 2 3 28 2" xfId="1857"/>
    <cellStyle name="Note 2 2 3 2 3 29" xfId="1421"/>
    <cellStyle name="Note 2 2 3 2 3 29 2" xfId="1867"/>
    <cellStyle name="Note 2 2 3 2 3 3" xfId="386"/>
    <cellStyle name="Note 2 2 3 2 3 3 2" xfId="1537"/>
    <cellStyle name="Note 2 2 3 2 3 30" xfId="261"/>
    <cellStyle name="Note 2 2 3 2 3 30 2" xfId="1495"/>
    <cellStyle name="Note 2 2 3 2 3 4" xfId="327"/>
    <cellStyle name="Note 2 2 3 2 3 4 2" xfId="1518"/>
    <cellStyle name="Note 2 2 3 2 3 5" xfId="512"/>
    <cellStyle name="Note 2 2 3 2 3 5 2" xfId="1579"/>
    <cellStyle name="Note 2 2 3 2 3 6" xfId="545"/>
    <cellStyle name="Note 2 2 3 2 3 6 2" xfId="1589"/>
    <cellStyle name="Note 2 2 3 2 3 7" xfId="606"/>
    <cellStyle name="Note 2 2 3 2 3 7 2" xfId="1611"/>
    <cellStyle name="Note 2 2 3 2 3 8" xfId="639"/>
    <cellStyle name="Note 2 2 3 2 3 8 2" xfId="1623"/>
    <cellStyle name="Note 2 2 3 2 3 9" xfId="441"/>
    <cellStyle name="Note 2 2 3 2 3 9 2" xfId="1554"/>
    <cellStyle name="Note 2 2 3 2 4" xfId="207"/>
    <cellStyle name="Note 2 2 3 2 4 2" xfId="1465"/>
    <cellStyle name="Note 2 2 3 3" xfId="130"/>
    <cellStyle name="Note 2 2 3 3 2" xfId="408"/>
    <cellStyle name="Note 2 2 3 3 2 2" xfId="1543"/>
    <cellStyle name="Note 2 2 3 3 3" xfId="756"/>
    <cellStyle name="Note 2 2 3 3 3 2" xfId="1653"/>
    <cellStyle name="Note 2 2 3 3 4" xfId="1223"/>
    <cellStyle name="Note 2 2 3 3 4 2" xfId="1808"/>
    <cellStyle name="Note 2 2 3 3 5" xfId="1443"/>
    <cellStyle name="Note 2 2 3 4" xfId="167"/>
    <cellStyle name="Note 2 2 3 4 10" xfId="693"/>
    <cellStyle name="Note 2 2 3 4 10 2" xfId="1632"/>
    <cellStyle name="Note 2 2 3 4 11" xfId="727"/>
    <cellStyle name="Note 2 2 3 4 11 2" xfId="1643"/>
    <cellStyle name="Note 2 2 3 4 12" xfId="763"/>
    <cellStyle name="Note 2 2 3 4 12 2" xfId="1656"/>
    <cellStyle name="Note 2 2 3 4 13" xfId="812"/>
    <cellStyle name="Note 2 2 3 4 13 2" xfId="1671"/>
    <cellStyle name="Note 2 2 3 4 14" xfId="845"/>
    <cellStyle name="Note 2 2 3 4 14 2" xfId="1683"/>
    <cellStyle name="Note 2 2 3 4 15" xfId="905"/>
    <cellStyle name="Note 2 2 3 4 15 2" xfId="1700"/>
    <cellStyle name="Note 2 2 3 4 16" xfId="799"/>
    <cellStyle name="Note 2 2 3 4 16 2" xfId="1667"/>
    <cellStyle name="Note 2 2 3 4 17" xfId="962"/>
    <cellStyle name="Note 2 2 3 4 17 2" xfId="1719"/>
    <cellStyle name="Note 2 2 3 4 18" xfId="752"/>
    <cellStyle name="Note 2 2 3 4 18 2" xfId="1652"/>
    <cellStyle name="Note 2 2 3 4 19" xfId="1022"/>
    <cellStyle name="Note 2 2 3 4 19 2" xfId="1742"/>
    <cellStyle name="Note 2 2 3 4 2" xfId="285"/>
    <cellStyle name="Note 2 2 3 4 2 2" xfId="1503"/>
    <cellStyle name="Note 2 2 3 4 20" xfId="1060"/>
    <cellStyle name="Note 2 2 3 4 20 2" xfId="1754"/>
    <cellStyle name="Note 2 2 3 4 21" xfId="1101"/>
    <cellStyle name="Note 2 2 3 4 21 2" xfId="1767"/>
    <cellStyle name="Note 2 2 3 4 22" xfId="1134"/>
    <cellStyle name="Note 2 2 3 4 22 2" xfId="1777"/>
    <cellStyle name="Note 2 2 3 4 23" xfId="1166"/>
    <cellStyle name="Note 2 2 3 4 23 2" xfId="1788"/>
    <cellStyle name="Note 2 2 3 4 24" xfId="1197"/>
    <cellStyle name="Note 2 2 3 4 24 2" xfId="1798"/>
    <cellStyle name="Note 2 2 3 4 25" xfId="1269"/>
    <cellStyle name="Note 2 2 3 4 25 2" xfId="1819"/>
    <cellStyle name="Note 2 2 3 4 26" xfId="1308"/>
    <cellStyle name="Note 2 2 3 4 26 2" xfId="1833"/>
    <cellStyle name="Note 2 2 3 4 27" xfId="1341"/>
    <cellStyle name="Note 2 2 3 4 27 2" xfId="1844"/>
    <cellStyle name="Note 2 2 3 4 28" xfId="1294"/>
    <cellStyle name="Note 2 2 3 4 28 2" xfId="1828"/>
    <cellStyle name="Note 2 2 3 4 29" xfId="1403"/>
    <cellStyle name="Note 2 2 3 4 29 2" xfId="1861"/>
    <cellStyle name="Note 2 2 3 4 3" xfId="368"/>
    <cellStyle name="Note 2 2 3 4 3 2" xfId="1531"/>
    <cellStyle name="Note 2 2 3 4 30" xfId="251"/>
    <cellStyle name="Note 2 2 3 4 30 2" xfId="1489"/>
    <cellStyle name="Note 2 2 3 4 31" xfId="1455"/>
    <cellStyle name="Note 2 2 3 4 4" xfId="321"/>
    <cellStyle name="Note 2 2 3 4 4 2" xfId="1515"/>
    <cellStyle name="Note 2 2 3 4 5" xfId="494"/>
    <cellStyle name="Note 2 2 3 4 5 2" xfId="1573"/>
    <cellStyle name="Note 2 2 3 4 6" xfId="527"/>
    <cellStyle name="Note 2 2 3 4 6 2" xfId="1583"/>
    <cellStyle name="Note 2 2 3 4 7" xfId="588"/>
    <cellStyle name="Note 2 2 3 4 7 2" xfId="1605"/>
    <cellStyle name="Note 2 2 3 4 8" xfId="621"/>
    <cellStyle name="Note 2 2 3 4 8 2" xfId="1617"/>
    <cellStyle name="Note 2 2 3 4 9" xfId="474"/>
    <cellStyle name="Note 2 2 3 4 9 2" xfId="1565"/>
    <cellStyle name="Note 2 2 4" xfId="105"/>
    <cellStyle name="Note 2 2 4 2" xfId="142"/>
    <cellStyle name="Note 2 2 4 2 2" xfId="411"/>
    <cellStyle name="Note 2 2 4 2 2 2" xfId="1545"/>
    <cellStyle name="Note 2 2 4 2 3" xfId="458"/>
    <cellStyle name="Note 2 2 4 2 3 2" xfId="1561"/>
    <cellStyle name="Note 2 2 4 2 4" xfId="1250"/>
    <cellStyle name="Note 2 2 4 2 4 2" xfId="1815"/>
    <cellStyle name="Note 2 2 4 2 5" xfId="227"/>
    <cellStyle name="Note 2 2 4 2 5 2" xfId="1477"/>
    <cellStyle name="Note 2 2 4 2 6" xfId="1447"/>
    <cellStyle name="Note 2 2 4 3" xfId="179"/>
    <cellStyle name="Note 2 2 4 3 10" xfId="705"/>
    <cellStyle name="Note 2 2 4 3 10 2" xfId="1636"/>
    <cellStyle name="Note 2 2 4 3 11" xfId="739"/>
    <cellStyle name="Note 2 2 4 3 11 2" xfId="1647"/>
    <cellStyle name="Note 2 2 4 3 12" xfId="775"/>
    <cellStyle name="Note 2 2 4 3 12 2" xfId="1660"/>
    <cellStyle name="Note 2 2 4 3 13" xfId="824"/>
    <cellStyle name="Note 2 2 4 3 13 2" xfId="1675"/>
    <cellStyle name="Note 2 2 4 3 14" xfId="857"/>
    <cellStyle name="Note 2 2 4 3 14 2" xfId="1687"/>
    <cellStyle name="Note 2 2 4 3 15" xfId="917"/>
    <cellStyle name="Note 2 2 4 3 15 2" xfId="1704"/>
    <cellStyle name="Note 2 2 4 3 16" xfId="943"/>
    <cellStyle name="Note 2 2 4 3 16 2" xfId="1713"/>
    <cellStyle name="Note 2 2 4 3 17" xfId="974"/>
    <cellStyle name="Note 2 2 4 3 17 2" xfId="1723"/>
    <cellStyle name="Note 2 2 4 3 18" xfId="568"/>
    <cellStyle name="Note 2 2 4 3 18 2" xfId="1598"/>
    <cellStyle name="Note 2 2 4 3 19" xfId="1034"/>
    <cellStyle name="Note 2 2 4 3 19 2" xfId="1746"/>
    <cellStyle name="Note 2 2 4 3 2" xfId="297"/>
    <cellStyle name="Note 2 2 4 3 2 2" xfId="1507"/>
    <cellStyle name="Note 2 2 4 3 20" xfId="1072"/>
    <cellStyle name="Note 2 2 4 3 20 2" xfId="1758"/>
    <cellStyle name="Note 2 2 4 3 21" xfId="1113"/>
    <cellStyle name="Note 2 2 4 3 21 2" xfId="1771"/>
    <cellStyle name="Note 2 2 4 3 22" xfId="1146"/>
    <cellStyle name="Note 2 2 4 3 22 2" xfId="1781"/>
    <cellStyle name="Note 2 2 4 3 23" xfId="1178"/>
    <cellStyle name="Note 2 2 4 3 23 2" xfId="1792"/>
    <cellStyle name="Note 2 2 4 3 24" xfId="1209"/>
    <cellStyle name="Note 2 2 4 3 24 2" xfId="1802"/>
    <cellStyle name="Note 2 2 4 3 25" xfId="1281"/>
    <cellStyle name="Note 2 2 4 3 25 2" xfId="1823"/>
    <cellStyle name="Note 2 2 4 3 26" xfId="1320"/>
    <cellStyle name="Note 2 2 4 3 26 2" xfId="1837"/>
    <cellStyle name="Note 2 2 4 3 27" xfId="1353"/>
    <cellStyle name="Note 2 2 4 3 27 2" xfId="1848"/>
    <cellStyle name="Note 2 2 4 3 28" xfId="1296"/>
    <cellStyle name="Note 2 2 4 3 28 2" xfId="1829"/>
    <cellStyle name="Note 2 2 4 3 29" xfId="1415"/>
    <cellStyle name="Note 2 2 4 3 29 2" xfId="1865"/>
    <cellStyle name="Note 2 2 4 3 3" xfId="380"/>
    <cellStyle name="Note 2 2 4 3 3 2" xfId="1535"/>
    <cellStyle name="Note 2 2 4 3 30" xfId="259"/>
    <cellStyle name="Note 2 2 4 3 30 2" xfId="1493"/>
    <cellStyle name="Note 2 2 4 3 4" xfId="352"/>
    <cellStyle name="Note 2 2 4 3 4 2" xfId="1526"/>
    <cellStyle name="Note 2 2 4 3 5" xfId="506"/>
    <cellStyle name="Note 2 2 4 3 5 2" xfId="1577"/>
    <cellStyle name="Note 2 2 4 3 6" xfId="539"/>
    <cellStyle name="Note 2 2 4 3 6 2" xfId="1587"/>
    <cellStyle name="Note 2 2 4 3 7" xfId="600"/>
    <cellStyle name="Note 2 2 4 3 7 2" xfId="1609"/>
    <cellStyle name="Note 2 2 4 3 8" xfId="633"/>
    <cellStyle name="Note 2 2 4 3 8 2" xfId="1621"/>
    <cellStyle name="Note 2 2 4 3 9" xfId="456"/>
    <cellStyle name="Note 2 2 4 3 9 2" xfId="1560"/>
    <cellStyle name="Note 2 2 4 4" xfId="203"/>
    <cellStyle name="Note 2 2 4 4 2" xfId="1461"/>
    <cellStyle name="Note 2 2 5" xfId="124"/>
    <cellStyle name="Note 2 2 5 2" xfId="402"/>
    <cellStyle name="Note 2 2 5 2 2" xfId="1541"/>
    <cellStyle name="Note 2 2 5 3" xfId="656"/>
    <cellStyle name="Note 2 2 5 3 2" xfId="1626"/>
    <cellStyle name="Note 2 2 5 4" xfId="1000"/>
    <cellStyle name="Note 2 2 5 4 2" xfId="1734"/>
    <cellStyle name="Note 2 2 5 5" xfId="217"/>
    <cellStyle name="Note 2 2 5 5 2" xfId="1473"/>
    <cellStyle name="Note 2 2 5 6" xfId="1441"/>
    <cellStyle name="Note 2 2 6" xfId="161"/>
    <cellStyle name="Note 2 2 6 10" xfId="555"/>
    <cellStyle name="Note 2 2 6 10 2" xfId="1593"/>
    <cellStyle name="Note 2 2 6 11" xfId="676"/>
    <cellStyle name="Note 2 2 6 11 2" xfId="1629"/>
    <cellStyle name="Note 2 2 6 12" xfId="472"/>
    <cellStyle name="Note 2 2 6 12 2" xfId="1564"/>
    <cellStyle name="Note 2 2 6 13" xfId="806"/>
    <cellStyle name="Note 2 2 6 13 2" xfId="1669"/>
    <cellStyle name="Note 2 2 6 14" xfId="414"/>
    <cellStyle name="Note 2 2 6 14 2" xfId="1546"/>
    <cellStyle name="Note 2 2 6 15" xfId="899"/>
    <cellStyle name="Note 2 2 6 15 2" xfId="1698"/>
    <cellStyle name="Note 2 2 6 16" xfId="873"/>
    <cellStyle name="Note 2 2 6 16 2" xfId="1694"/>
    <cellStyle name="Note 2 2 6 17" xfId="934"/>
    <cellStyle name="Note 2 2 6 17 2" xfId="1710"/>
    <cellStyle name="Note 2 2 6 18" xfId="875"/>
    <cellStyle name="Note 2 2 6 18 2" xfId="1696"/>
    <cellStyle name="Note 2 2 6 19" xfId="1016"/>
    <cellStyle name="Note 2 2 6 19 2" xfId="1740"/>
    <cellStyle name="Note 2 2 6 2" xfId="279"/>
    <cellStyle name="Note 2 2 6 2 2" xfId="1501"/>
    <cellStyle name="Note 2 2 6 20" xfId="1054"/>
    <cellStyle name="Note 2 2 6 20 2" xfId="1752"/>
    <cellStyle name="Note 2 2 6 21" xfId="1095"/>
    <cellStyle name="Note 2 2 6 21 2" xfId="1765"/>
    <cellStyle name="Note 2 2 6 22" xfId="999"/>
    <cellStyle name="Note 2 2 6 22 2" xfId="1733"/>
    <cellStyle name="Note 2 2 6 23" xfId="872"/>
    <cellStyle name="Note 2 2 6 23 2" xfId="1693"/>
    <cellStyle name="Note 2 2 6 24" xfId="997"/>
    <cellStyle name="Note 2 2 6 24 2" xfId="1732"/>
    <cellStyle name="Note 2 2 6 25" xfId="1263"/>
    <cellStyle name="Note 2 2 6 25 2" xfId="1817"/>
    <cellStyle name="Note 2 2 6 26" xfId="1302"/>
    <cellStyle name="Note 2 2 6 26 2" xfId="1831"/>
    <cellStyle name="Note 2 2 6 27" xfId="989"/>
    <cellStyle name="Note 2 2 6 27 2" xfId="1730"/>
    <cellStyle name="Note 2 2 6 28" xfId="1160"/>
    <cellStyle name="Note 2 2 6 28 2" xfId="1786"/>
    <cellStyle name="Note 2 2 6 29" xfId="1233"/>
    <cellStyle name="Note 2 2 6 29 2" xfId="1812"/>
    <cellStyle name="Note 2 2 6 3" xfId="362"/>
    <cellStyle name="Note 2 2 6 3 2" xfId="1529"/>
    <cellStyle name="Note 2 2 6 30" xfId="245"/>
    <cellStyle name="Note 2 2 6 30 2" xfId="1487"/>
    <cellStyle name="Note 2 2 6 31" xfId="1453"/>
    <cellStyle name="Note 2 2 6 4" xfId="339"/>
    <cellStyle name="Note 2 2 6 4 2" xfId="1522"/>
    <cellStyle name="Note 2 2 6 5" xfId="488"/>
    <cellStyle name="Note 2 2 6 5 2" xfId="1571"/>
    <cellStyle name="Note 2 2 6 6" xfId="421"/>
    <cellStyle name="Note 2 2 6 6 2" xfId="1547"/>
    <cellStyle name="Note 2 2 6 7" xfId="582"/>
    <cellStyle name="Note 2 2 6 7 2" xfId="1603"/>
    <cellStyle name="Note 2 2 6 8" xfId="446"/>
    <cellStyle name="Note 2 2 6 8 2" xfId="1555"/>
    <cellStyle name="Note 2 2 6 9" xfId="569"/>
    <cellStyle name="Note 2 2 6 9 2" xfId="1599"/>
    <cellStyle name="Note 2 3" xfId="88"/>
    <cellStyle name="Note 2 3 2" xfId="114"/>
    <cellStyle name="Note 2 3 2 2" xfId="151"/>
    <cellStyle name="Note 2 3 2 2 2" xfId="269"/>
    <cellStyle name="Note 2 3 2 2 2 2" xfId="1499"/>
    <cellStyle name="Note 2 3 2 2 3" xfId="558"/>
    <cellStyle name="Note 2 3 2 2 3 2" xfId="1595"/>
    <cellStyle name="Note 2 3 2 2 4" xfId="837"/>
    <cellStyle name="Note 2 3 2 2 4 2" xfId="1680"/>
    <cellStyle name="Note 2 3 2 2 5" xfId="236"/>
    <cellStyle name="Note 2 3 2 2 5 2" xfId="1484"/>
    <cellStyle name="Note 2 3 2 2 6" xfId="1450"/>
    <cellStyle name="Note 2 3 2 3" xfId="188"/>
    <cellStyle name="Note 2 3 2 3 10" xfId="714"/>
    <cellStyle name="Note 2 3 2 3 10 2" xfId="1639"/>
    <cellStyle name="Note 2 3 2 3 11" xfId="748"/>
    <cellStyle name="Note 2 3 2 3 11 2" xfId="1650"/>
    <cellStyle name="Note 2 3 2 3 12" xfId="784"/>
    <cellStyle name="Note 2 3 2 3 12 2" xfId="1663"/>
    <cellStyle name="Note 2 3 2 3 13" xfId="833"/>
    <cellStyle name="Note 2 3 2 3 13 2" xfId="1678"/>
    <cellStyle name="Note 2 3 2 3 14" xfId="866"/>
    <cellStyle name="Note 2 3 2 3 14 2" xfId="1690"/>
    <cellStyle name="Note 2 3 2 3 15" xfId="926"/>
    <cellStyle name="Note 2 3 2 3 15 2" xfId="1707"/>
    <cellStyle name="Note 2 3 2 3 16" xfId="952"/>
    <cellStyle name="Note 2 3 2 3 16 2" xfId="1716"/>
    <cellStyle name="Note 2 3 2 3 17" xfId="983"/>
    <cellStyle name="Note 2 3 2 3 17 2" xfId="1726"/>
    <cellStyle name="Note 2 3 2 3 18" xfId="431"/>
    <cellStyle name="Note 2 3 2 3 18 2" xfId="1549"/>
    <cellStyle name="Note 2 3 2 3 19" xfId="1043"/>
    <cellStyle name="Note 2 3 2 3 19 2" xfId="1749"/>
    <cellStyle name="Note 2 3 2 3 2" xfId="306"/>
    <cellStyle name="Note 2 3 2 3 2 2" xfId="1510"/>
    <cellStyle name="Note 2 3 2 3 20" xfId="1081"/>
    <cellStyle name="Note 2 3 2 3 20 2" xfId="1761"/>
    <cellStyle name="Note 2 3 2 3 21" xfId="1122"/>
    <cellStyle name="Note 2 3 2 3 21 2" xfId="1774"/>
    <cellStyle name="Note 2 3 2 3 22" xfId="1155"/>
    <cellStyle name="Note 2 3 2 3 22 2" xfId="1784"/>
    <cellStyle name="Note 2 3 2 3 23" xfId="1187"/>
    <cellStyle name="Note 2 3 2 3 23 2" xfId="1795"/>
    <cellStyle name="Note 2 3 2 3 24" xfId="1218"/>
    <cellStyle name="Note 2 3 2 3 24 2" xfId="1805"/>
    <cellStyle name="Note 2 3 2 3 25" xfId="1290"/>
    <cellStyle name="Note 2 3 2 3 25 2" xfId="1826"/>
    <cellStyle name="Note 2 3 2 3 26" xfId="1329"/>
    <cellStyle name="Note 2 3 2 3 26 2" xfId="1840"/>
    <cellStyle name="Note 2 3 2 3 27" xfId="1362"/>
    <cellStyle name="Note 2 3 2 3 27 2" xfId="1851"/>
    <cellStyle name="Note 2 3 2 3 28" xfId="1334"/>
    <cellStyle name="Note 2 3 2 3 28 2" xfId="1842"/>
    <cellStyle name="Note 2 3 2 3 29" xfId="1424"/>
    <cellStyle name="Note 2 3 2 3 29 2" xfId="1868"/>
    <cellStyle name="Note 2 3 2 3 3" xfId="389"/>
    <cellStyle name="Note 2 3 2 3 3 2" xfId="1538"/>
    <cellStyle name="Note 2 3 2 3 30" xfId="262"/>
    <cellStyle name="Note 2 3 2 3 30 2" xfId="1496"/>
    <cellStyle name="Note 2 3 2 3 4" xfId="348"/>
    <cellStyle name="Note 2 3 2 3 4 2" xfId="1524"/>
    <cellStyle name="Note 2 3 2 3 5" xfId="515"/>
    <cellStyle name="Note 2 3 2 3 5 2" xfId="1580"/>
    <cellStyle name="Note 2 3 2 3 6" xfId="548"/>
    <cellStyle name="Note 2 3 2 3 6 2" xfId="1590"/>
    <cellStyle name="Note 2 3 2 3 7" xfId="609"/>
    <cellStyle name="Note 2 3 2 3 7 2" xfId="1612"/>
    <cellStyle name="Note 2 3 2 3 8" xfId="642"/>
    <cellStyle name="Note 2 3 2 3 8 2" xfId="1624"/>
    <cellStyle name="Note 2 3 2 3 9" xfId="439"/>
    <cellStyle name="Note 2 3 2 3 9 2" xfId="1553"/>
    <cellStyle name="Note 2 3 2 4" xfId="210"/>
    <cellStyle name="Note 2 3 2 4 2" xfId="1468"/>
    <cellStyle name="Note 2 3 3" xfId="133"/>
    <cellStyle name="Note 2 3 3 2" xfId="320"/>
    <cellStyle name="Note 2 3 3 2 2" xfId="1514"/>
    <cellStyle name="Note 2 3 3 3" xfId="797"/>
    <cellStyle name="Note 2 3 3 3 2" xfId="1666"/>
    <cellStyle name="Note 2 3 3 4" xfId="1368"/>
    <cellStyle name="Note 2 3 3 4 2" xfId="1853"/>
    <cellStyle name="Note 2 3 3 5" xfId="1444"/>
    <cellStyle name="Note 2 3 4" xfId="170"/>
    <cellStyle name="Note 2 3 4 10" xfId="696"/>
    <cellStyle name="Note 2 3 4 10 2" xfId="1633"/>
    <cellStyle name="Note 2 3 4 11" xfId="730"/>
    <cellStyle name="Note 2 3 4 11 2" xfId="1644"/>
    <cellStyle name="Note 2 3 4 12" xfId="766"/>
    <cellStyle name="Note 2 3 4 12 2" xfId="1657"/>
    <cellStyle name="Note 2 3 4 13" xfId="815"/>
    <cellStyle name="Note 2 3 4 13 2" xfId="1672"/>
    <cellStyle name="Note 2 3 4 14" xfId="848"/>
    <cellStyle name="Note 2 3 4 14 2" xfId="1684"/>
    <cellStyle name="Note 2 3 4 15" xfId="908"/>
    <cellStyle name="Note 2 3 4 15 2" xfId="1701"/>
    <cellStyle name="Note 2 3 4 16" xfId="838"/>
    <cellStyle name="Note 2 3 4 16 2" xfId="1681"/>
    <cellStyle name="Note 2 3 4 17" xfId="965"/>
    <cellStyle name="Note 2 3 4 17 2" xfId="1720"/>
    <cellStyle name="Note 2 3 4 18" xfId="574"/>
    <cellStyle name="Note 2 3 4 18 2" xfId="1600"/>
    <cellStyle name="Note 2 3 4 19" xfId="1025"/>
    <cellStyle name="Note 2 3 4 19 2" xfId="1743"/>
    <cellStyle name="Note 2 3 4 2" xfId="288"/>
    <cellStyle name="Note 2 3 4 2 2" xfId="1504"/>
    <cellStyle name="Note 2 3 4 20" xfId="1063"/>
    <cellStyle name="Note 2 3 4 20 2" xfId="1755"/>
    <cellStyle name="Note 2 3 4 21" xfId="1104"/>
    <cellStyle name="Note 2 3 4 21 2" xfId="1768"/>
    <cellStyle name="Note 2 3 4 22" xfId="1137"/>
    <cellStyle name="Note 2 3 4 22 2" xfId="1778"/>
    <cellStyle name="Note 2 3 4 23" xfId="1169"/>
    <cellStyle name="Note 2 3 4 23 2" xfId="1789"/>
    <cellStyle name="Note 2 3 4 24" xfId="1200"/>
    <cellStyle name="Note 2 3 4 24 2" xfId="1799"/>
    <cellStyle name="Note 2 3 4 25" xfId="1272"/>
    <cellStyle name="Note 2 3 4 25 2" xfId="1820"/>
    <cellStyle name="Note 2 3 4 26" xfId="1311"/>
    <cellStyle name="Note 2 3 4 26 2" xfId="1834"/>
    <cellStyle name="Note 2 3 4 27" xfId="1344"/>
    <cellStyle name="Note 2 3 4 27 2" xfId="1845"/>
    <cellStyle name="Note 2 3 4 28" xfId="1392"/>
    <cellStyle name="Note 2 3 4 28 2" xfId="1858"/>
    <cellStyle name="Note 2 3 4 29" xfId="1406"/>
    <cellStyle name="Note 2 3 4 29 2" xfId="1862"/>
    <cellStyle name="Note 2 3 4 3" xfId="371"/>
    <cellStyle name="Note 2 3 4 3 2" xfId="1532"/>
    <cellStyle name="Note 2 3 4 30" xfId="254"/>
    <cellStyle name="Note 2 3 4 30 2" xfId="1490"/>
    <cellStyle name="Note 2 3 4 31" xfId="1456"/>
    <cellStyle name="Note 2 3 4 4" xfId="393"/>
    <cellStyle name="Note 2 3 4 4 2" xfId="1540"/>
    <cellStyle name="Note 2 3 4 5" xfId="497"/>
    <cellStyle name="Note 2 3 4 5 2" xfId="1574"/>
    <cellStyle name="Note 2 3 4 6" xfId="530"/>
    <cellStyle name="Note 2 3 4 6 2" xfId="1584"/>
    <cellStyle name="Note 2 3 4 7" xfId="591"/>
    <cellStyle name="Note 2 3 4 7 2" xfId="1606"/>
    <cellStyle name="Note 2 3 4 8" xfId="624"/>
    <cellStyle name="Note 2 3 4 8 2" xfId="1618"/>
    <cellStyle name="Note 2 3 4 9" xfId="460"/>
    <cellStyle name="Note 2 3 4 9 2" xfId="1562"/>
    <cellStyle name="Note 2 4" xfId="78"/>
    <cellStyle name="Note 2 4 2" xfId="108"/>
    <cellStyle name="Note 2 4 2 2" xfId="145"/>
    <cellStyle name="Note 2 4 2 2 2" xfId="328"/>
    <cellStyle name="Note 2 4 2 2 2 2" xfId="1519"/>
    <cellStyle name="Note 2 4 2 2 3" xfId="479"/>
    <cellStyle name="Note 2 4 2 2 3 2" xfId="1568"/>
    <cellStyle name="Note 2 4 2 2 4" xfId="1376"/>
    <cellStyle name="Note 2 4 2 2 4 2" xfId="1854"/>
    <cellStyle name="Note 2 4 2 2 5" xfId="230"/>
    <cellStyle name="Note 2 4 2 2 5 2" xfId="1480"/>
    <cellStyle name="Note 2 4 2 2 6" xfId="1448"/>
    <cellStyle name="Note 2 4 2 3" xfId="182"/>
    <cellStyle name="Note 2 4 2 3 10" xfId="708"/>
    <cellStyle name="Note 2 4 2 3 10 2" xfId="1637"/>
    <cellStyle name="Note 2 4 2 3 11" xfId="742"/>
    <cellStyle name="Note 2 4 2 3 11 2" xfId="1648"/>
    <cellStyle name="Note 2 4 2 3 12" xfId="778"/>
    <cellStyle name="Note 2 4 2 3 12 2" xfId="1661"/>
    <cellStyle name="Note 2 4 2 3 13" xfId="827"/>
    <cellStyle name="Note 2 4 2 3 13 2" xfId="1676"/>
    <cellStyle name="Note 2 4 2 3 14" xfId="860"/>
    <cellStyle name="Note 2 4 2 3 14 2" xfId="1688"/>
    <cellStyle name="Note 2 4 2 3 15" xfId="920"/>
    <cellStyle name="Note 2 4 2 3 15 2" xfId="1705"/>
    <cellStyle name="Note 2 4 2 3 16" xfId="946"/>
    <cellStyle name="Note 2 4 2 3 16 2" xfId="1714"/>
    <cellStyle name="Note 2 4 2 3 17" xfId="977"/>
    <cellStyle name="Note 2 4 2 3 17 2" xfId="1724"/>
    <cellStyle name="Note 2 4 2 3 18" xfId="942"/>
    <cellStyle name="Note 2 4 2 3 18 2" xfId="1712"/>
    <cellStyle name="Note 2 4 2 3 19" xfId="1037"/>
    <cellStyle name="Note 2 4 2 3 19 2" xfId="1747"/>
    <cellStyle name="Note 2 4 2 3 2" xfId="300"/>
    <cellStyle name="Note 2 4 2 3 2 2" xfId="1508"/>
    <cellStyle name="Note 2 4 2 3 20" xfId="1075"/>
    <cellStyle name="Note 2 4 2 3 20 2" xfId="1759"/>
    <cellStyle name="Note 2 4 2 3 21" xfId="1116"/>
    <cellStyle name="Note 2 4 2 3 21 2" xfId="1772"/>
    <cellStyle name="Note 2 4 2 3 22" xfId="1149"/>
    <cellStyle name="Note 2 4 2 3 22 2" xfId="1782"/>
    <cellStyle name="Note 2 4 2 3 23" xfId="1181"/>
    <cellStyle name="Note 2 4 2 3 23 2" xfId="1793"/>
    <cellStyle name="Note 2 4 2 3 24" xfId="1212"/>
    <cellStyle name="Note 2 4 2 3 24 2" xfId="1803"/>
    <cellStyle name="Note 2 4 2 3 25" xfId="1284"/>
    <cellStyle name="Note 2 4 2 3 25 2" xfId="1824"/>
    <cellStyle name="Note 2 4 2 3 26" xfId="1323"/>
    <cellStyle name="Note 2 4 2 3 26 2" xfId="1838"/>
    <cellStyle name="Note 2 4 2 3 27" xfId="1356"/>
    <cellStyle name="Note 2 4 2 3 27 2" xfId="1849"/>
    <cellStyle name="Note 2 4 2 3 28" xfId="1001"/>
    <cellStyle name="Note 2 4 2 3 28 2" xfId="1735"/>
    <cellStyle name="Note 2 4 2 3 29" xfId="1418"/>
    <cellStyle name="Note 2 4 2 3 29 2" xfId="1866"/>
    <cellStyle name="Note 2 4 2 3 3" xfId="383"/>
    <cellStyle name="Note 2 4 2 3 3 2" xfId="1536"/>
    <cellStyle name="Note 2 4 2 3 30" xfId="260"/>
    <cellStyle name="Note 2 4 2 3 30 2" xfId="1494"/>
    <cellStyle name="Note 2 4 2 3 4" xfId="350"/>
    <cellStyle name="Note 2 4 2 3 4 2" xfId="1525"/>
    <cellStyle name="Note 2 4 2 3 5" xfId="509"/>
    <cellStyle name="Note 2 4 2 3 5 2" xfId="1578"/>
    <cellStyle name="Note 2 4 2 3 6" xfId="542"/>
    <cellStyle name="Note 2 4 2 3 6 2" xfId="1588"/>
    <cellStyle name="Note 2 4 2 3 7" xfId="603"/>
    <cellStyle name="Note 2 4 2 3 7 2" xfId="1610"/>
    <cellStyle name="Note 2 4 2 3 8" xfId="636"/>
    <cellStyle name="Note 2 4 2 3 8 2" xfId="1622"/>
    <cellStyle name="Note 2 4 2 3 9" xfId="447"/>
    <cellStyle name="Note 2 4 2 3 9 2" xfId="1556"/>
    <cellStyle name="Note 2 4 2 4" xfId="206"/>
    <cellStyle name="Note 2 4 2 4 2" xfId="1464"/>
    <cellStyle name="Note 2 4 3" xfId="127"/>
    <cellStyle name="Note 2 4 3 2" xfId="267"/>
    <cellStyle name="Note 2 4 3 2 2" xfId="1498"/>
    <cellStyle name="Note 2 4 3 3" xfId="670"/>
    <cellStyle name="Note 2 4 3 3 2" xfId="1628"/>
    <cellStyle name="Note 2 4 3 4" xfId="1226"/>
    <cellStyle name="Note 2 4 3 4 2" xfId="1809"/>
    <cellStyle name="Note 2 4 3 5" xfId="1442"/>
    <cellStyle name="Note 2 4 4" xfId="164"/>
    <cellStyle name="Note 2 4 4 10" xfId="690"/>
    <cellStyle name="Note 2 4 4 10 2" xfId="1631"/>
    <cellStyle name="Note 2 4 4 11" xfId="724"/>
    <cellStyle name="Note 2 4 4 11 2" xfId="1642"/>
    <cellStyle name="Note 2 4 4 12" xfId="760"/>
    <cellStyle name="Note 2 4 4 12 2" xfId="1655"/>
    <cellStyle name="Note 2 4 4 13" xfId="809"/>
    <cellStyle name="Note 2 4 4 13 2" xfId="1670"/>
    <cellStyle name="Note 2 4 4 14" xfId="842"/>
    <cellStyle name="Note 2 4 4 14 2" xfId="1682"/>
    <cellStyle name="Note 2 4 4 15" xfId="902"/>
    <cellStyle name="Note 2 4 4 15 2" xfId="1699"/>
    <cellStyle name="Note 2 4 4 16" xfId="477"/>
    <cellStyle name="Note 2 4 4 16 2" xfId="1566"/>
    <cellStyle name="Note 2 4 4 17" xfId="959"/>
    <cellStyle name="Note 2 4 4 17 2" xfId="1718"/>
    <cellStyle name="Note 2 4 4 18" xfId="575"/>
    <cellStyle name="Note 2 4 4 18 2" xfId="1601"/>
    <cellStyle name="Note 2 4 4 19" xfId="1019"/>
    <cellStyle name="Note 2 4 4 19 2" xfId="1741"/>
    <cellStyle name="Note 2 4 4 2" xfId="282"/>
    <cellStyle name="Note 2 4 4 2 2" xfId="1502"/>
    <cellStyle name="Note 2 4 4 20" xfId="1057"/>
    <cellStyle name="Note 2 4 4 20 2" xfId="1753"/>
    <cellStyle name="Note 2 4 4 21" xfId="1098"/>
    <cellStyle name="Note 2 4 4 21 2" xfId="1766"/>
    <cellStyle name="Note 2 4 4 22" xfId="1131"/>
    <cellStyle name="Note 2 4 4 22 2" xfId="1776"/>
    <cellStyle name="Note 2 4 4 23" xfId="1163"/>
    <cellStyle name="Note 2 4 4 23 2" xfId="1787"/>
    <cellStyle name="Note 2 4 4 24" xfId="1194"/>
    <cellStyle name="Note 2 4 4 24 2" xfId="1797"/>
    <cellStyle name="Note 2 4 4 25" xfId="1266"/>
    <cellStyle name="Note 2 4 4 25 2" xfId="1818"/>
    <cellStyle name="Note 2 4 4 26" xfId="1305"/>
    <cellStyle name="Note 2 4 4 26 2" xfId="1832"/>
    <cellStyle name="Note 2 4 4 27" xfId="1338"/>
    <cellStyle name="Note 2 4 4 27 2" xfId="1843"/>
    <cellStyle name="Note 2 4 4 28" xfId="1234"/>
    <cellStyle name="Note 2 4 4 28 2" xfId="1813"/>
    <cellStyle name="Note 2 4 4 29" xfId="1400"/>
    <cellStyle name="Note 2 4 4 29 2" xfId="1860"/>
    <cellStyle name="Note 2 4 4 3" xfId="365"/>
    <cellStyle name="Note 2 4 4 3 2" xfId="1530"/>
    <cellStyle name="Note 2 4 4 30" xfId="248"/>
    <cellStyle name="Note 2 4 4 30 2" xfId="1488"/>
    <cellStyle name="Note 2 4 4 31" xfId="1454"/>
    <cellStyle name="Note 2 4 4 4" xfId="322"/>
    <cellStyle name="Note 2 4 4 4 2" xfId="1516"/>
    <cellStyle name="Note 2 4 4 5" xfId="491"/>
    <cellStyle name="Note 2 4 4 5 2" xfId="1572"/>
    <cellStyle name="Note 2 4 4 6" xfId="524"/>
    <cellStyle name="Note 2 4 4 6 2" xfId="1582"/>
    <cellStyle name="Note 2 4 4 7" xfId="585"/>
    <cellStyle name="Note 2 4 4 7 2" xfId="1604"/>
    <cellStyle name="Note 2 4 4 8" xfId="618"/>
    <cellStyle name="Note 2 4 4 8 2" xfId="1616"/>
    <cellStyle name="Note 2 4 4 9" xfId="557"/>
    <cellStyle name="Note 2 4 4 9 2" xfId="1594"/>
    <cellStyle name="Note 2 5" xfId="102"/>
    <cellStyle name="Note 2 5 2" xfId="139"/>
    <cellStyle name="Note 2 5 2 2" xfId="330"/>
    <cellStyle name="Note 2 5 2 2 2" xfId="1520"/>
    <cellStyle name="Note 2 5 2 3" xfId="757"/>
    <cellStyle name="Note 2 5 2 3 2" xfId="1654"/>
    <cellStyle name="Note 2 5 2 4" xfId="1222"/>
    <cellStyle name="Note 2 5 2 4 2" xfId="1807"/>
    <cellStyle name="Note 2 5 2 5" xfId="224"/>
    <cellStyle name="Note 2 5 2 5 2" xfId="1476"/>
    <cellStyle name="Note 2 5 2 6" xfId="1446"/>
    <cellStyle name="Note 2 5 3" xfId="176"/>
    <cellStyle name="Note 2 5 3 10" xfId="702"/>
    <cellStyle name="Note 2 5 3 10 2" xfId="1635"/>
    <cellStyle name="Note 2 5 3 11" xfId="736"/>
    <cellStyle name="Note 2 5 3 11 2" xfId="1646"/>
    <cellStyle name="Note 2 5 3 12" xfId="772"/>
    <cellStyle name="Note 2 5 3 12 2" xfId="1659"/>
    <cellStyle name="Note 2 5 3 13" xfId="821"/>
    <cellStyle name="Note 2 5 3 13 2" xfId="1674"/>
    <cellStyle name="Note 2 5 3 14" xfId="854"/>
    <cellStyle name="Note 2 5 3 14 2" xfId="1686"/>
    <cellStyle name="Note 2 5 3 15" xfId="914"/>
    <cellStyle name="Note 2 5 3 15 2" xfId="1703"/>
    <cellStyle name="Note 2 5 3 16" xfId="794"/>
    <cellStyle name="Note 2 5 3 16 2" xfId="1665"/>
    <cellStyle name="Note 2 5 3 17" xfId="971"/>
    <cellStyle name="Note 2 5 3 17 2" xfId="1722"/>
    <cellStyle name="Note 2 5 3 18" xfId="613"/>
    <cellStyle name="Note 2 5 3 18 2" xfId="1614"/>
    <cellStyle name="Note 2 5 3 19" xfId="1031"/>
    <cellStyle name="Note 2 5 3 19 2" xfId="1745"/>
    <cellStyle name="Note 2 5 3 2" xfId="294"/>
    <cellStyle name="Note 2 5 3 2 2" xfId="1506"/>
    <cellStyle name="Note 2 5 3 20" xfId="1069"/>
    <cellStyle name="Note 2 5 3 20 2" xfId="1757"/>
    <cellStyle name="Note 2 5 3 21" xfId="1110"/>
    <cellStyle name="Note 2 5 3 21 2" xfId="1770"/>
    <cellStyle name="Note 2 5 3 22" xfId="1143"/>
    <cellStyle name="Note 2 5 3 22 2" xfId="1780"/>
    <cellStyle name="Note 2 5 3 23" xfId="1175"/>
    <cellStyle name="Note 2 5 3 23 2" xfId="1791"/>
    <cellStyle name="Note 2 5 3 24" xfId="1206"/>
    <cellStyle name="Note 2 5 3 24 2" xfId="1801"/>
    <cellStyle name="Note 2 5 3 25" xfId="1278"/>
    <cellStyle name="Note 2 5 3 25 2" xfId="1822"/>
    <cellStyle name="Note 2 5 3 26" xfId="1317"/>
    <cellStyle name="Note 2 5 3 26 2" xfId="1836"/>
    <cellStyle name="Note 2 5 3 27" xfId="1350"/>
    <cellStyle name="Note 2 5 3 27 2" xfId="1847"/>
    <cellStyle name="Note 2 5 3 28" xfId="1010"/>
    <cellStyle name="Note 2 5 3 28 2" xfId="1738"/>
    <cellStyle name="Note 2 5 3 29" xfId="1412"/>
    <cellStyle name="Note 2 5 3 29 2" xfId="1864"/>
    <cellStyle name="Note 2 5 3 3" xfId="377"/>
    <cellStyle name="Note 2 5 3 3 2" xfId="1534"/>
    <cellStyle name="Note 2 5 3 30" xfId="258"/>
    <cellStyle name="Note 2 5 3 30 2" xfId="1492"/>
    <cellStyle name="Note 2 5 3 4" xfId="347"/>
    <cellStyle name="Note 2 5 3 4 2" xfId="1523"/>
    <cellStyle name="Note 2 5 3 5" xfId="503"/>
    <cellStyle name="Note 2 5 3 5 2" xfId="1576"/>
    <cellStyle name="Note 2 5 3 6" xfId="536"/>
    <cellStyle name="Note 2 5 3 6 2" xfId="1586"/>
    <cellStyle name="Note 2 5 3 7" xfId="597"/>
    <cellStyle name="Note 2 5 3 7 2" xfId="1608"/>
    <cellStyle name="Note 2 5 3 8" xfId="630"/>
    <cellStyle name="Note 2 5 3 8 2" xfId="1620"/>
    <cellStyle name="Note 2 5 3 9" xfId="433"/>
    <cellStyle name="Note 2 5 3 9 2" xfId="1551"/>
    <cellStyle name="Note 2 5 4" xfId="202"/>
    <cellStyle name="Note 2 5 4 2" xfId="1460"/>
    <cellStyle name="Note 2 6" xfId="121"/>
    <cellStyle name="Note 2 6 2" xfId="337"/>
    <cellStyle name="Note 2 6 2 2" xfId="1521"/>
    <cellStyle name="Note 2 6 3" xfId="452"/>
    <cellStyle name="Note 2 6 3 2" xfId="1558"/>
    <cellStyle name="Note 2 6 4" xfId="1006"/>
    <cellStyle name="Note 2 6 4 2" xfId="1736"/>
    <cellStyle name="Note 2 6 5" xfId="214"/>
    <cellStyle name="Note 2 6 5 2" xfId="1472"/>
    <cellStyle name="Note 2 6 6" xfId="1440"/>
    <cellStyle name="Note 2 7" xfId="158"/>
    <cellStyle name="Note 2 7 10" xfId="560"/>
    <cellStyle name="Note 2 7 10 2" xfId="1596"/>
    <cellStyle name="Note 2 7 11" xfId="567"/>
    <cellStyle name="Note 2 7 11 2" xfId="1597"/>
    <cellStyle name="Note 2 7 12" xfId="478"/>
    <cellStyle name="Note 2 7 12 2" xfId="1567"/>
    <cellStyle name="Note 2 7 13" xfId="803"/>
    <cellStyle name="Note 2 7 13 2" xfId="1668"/>
    <cellStyle name="Note 2 7 14" xfId="680"/>
    <cellStyle name="Note 2 7 14 2" xfId="1630"/>
    <cellStyle name="Note 2 7 15" xfId="896"/>
    <cellStyle name="Note 2 7 15 2" xfId="1697"/>
    <cellStyle name="Note 2 7 16" xfId="435"/>
    <cellStyle name="Note 2 7 16 2" xfId="1552"/>
    <cellStyle name="Note 2 7 17" xfId="554"/>
    <cellStyle name="Note 2 7 17 2" xfId="1592"/>
    <cellStyle name="Note 2 7 18" xfId="988"/>
    <cellStyle name="Note 2 7 18 2" xfId="1729"/>
    <cellStyle name="Note 2 7 19" xfId="1013"/>
    <cellStyle name="Note 2 7 19 2" xfId="1739"/>
    <cellStyle name="Note 2 7 2" xfId="276"/>
    <cellStyle name="Note 2 7 2 2" xfId="1500"/>
    <cellStyle name="Note 2 7 20" xfId="1051"/>
    <cellStyle name="Note 2 7 20 2" xfId="1751"/>
    <cellStyle name="Note 2 7 21" xfId="1092"/>
    <cellStyle name="Note 2 7 21 2" xfId="1764"/>
    <cellStyle name="Note 2 7 22" xfId="991"/>
    <cellStyle name="Note 2 7 22 2" xfId="1731"/>
    <cellStyle name="Note 2 7 23" xfId="1086"/>
    <cellStyle name="Note 2 7 23 2" xfId="1763"/>
    <cellStyle name="Note 2 7 24" xfId="719"/>
    <cellStyle name="Note 2 7 24 2" xfId="1641"/>
    <cellStyle name="Note 2 7 25" xfId="1260"/>
    <cellStyle name="Note 2 7 25 2" xfId="1816"/>
    <cellStyle name="Note 2 7 26" xfId="1299"/>
    <cellStyle name="Note 2 7 26 2" xfId="1830"/>
    <cellStyle name="Note 2 7 27" xfId="1229"/>
    <cellStyle name="Note 2 7 27 2" xfId="1810"/>
    <cellStyle name="Note 2 7 28" xfId="1009"/>
    <cellStyle name="Note 2 7 28 2" xfId="1737"/>
    <cellStyle name="Note 2 7 29" xfId="1240"/>
    <cellStyle name="Note 2 7 29 2" xfId="1814"/>
    <cellStyle name="Note 2 7 3" xfId="359"/>
    <cellStyle name="Note 2 7 3 2" xfId="1528"/>
    <cellStyle name="Note 2 7 30" xfId="242"/>
    <cellStyle name="Note 2 7 30 2" xfId="1486"/>
    <cellStyle name="Note 2 7 31" xfId="1452"/>
    <cellStyle name="Note 2 7 4" xfId="310"/>
    <cellStyle name="Note 2 7 4 2" xfId="1512"/>
    <cellStyle name="Note 2 7 5" xfId="485"/>
    <cellStyle name="Note 2 7 5 2" xfId="1570"/>
    <cellStyle name="Note 2 7 6" xfId="424"/>
    <cellStyle name="Note 2 7 6 2" xfId="1548"/>
    <cellStyle name="Note 2 7 7" xfId="579"/>
    <cellStyle name="Note 2 7 7 2" xfId="1602"/>
    <cellStyle name="Note 2 7 8" xfId="467"/>
    <cellStyle name="Note 2 7 8 2" xfId="1563"/>
    <cellStyle name="Note 2 7 9" xfId="455"/>
    <cellStyle name="Note 2 7 9 2" xfId="1559"/>
    <cellStyle name="Output 2" xfId="50"/>
    <cellStyle name="Output 2 2" xfId="89"/>
    <cellStyle name="Output 2 2 2" xfId="115"/>
    <cellStyle name="Output 2 2 2 2" xfId="152"/>
    <cellStyle name="Output 2 2 2 2 10" xfId="1255"/>
    <cellStyle name="Output 2 2 2 2 11" xfId="1384"/>
    <cellStyle name="Output 2 2 2 2 12" xfId="237"/>
    <cellStyle name="Output 2 2 2 2 2" xfId="338"/>
    <cellStyle name="Output 2 2 2 2 3" xfId="356"/>
    <cellStyle name="Output 2 2 2 2 4" xfId="660"/>
    <cellStyle name="Output 2 2 2 2 5" xfId="457"/>
    <cellStyle name="Output 2 2 2 2 6" xfId="665"/>
    <cellStyle name="Output 2 2 2 2 7" xfId="937"/>
    <cellStyle name="Output 2 2 2 2 8" xfId="892"/>
    <cellStyle name="Output 2 2 2 2 9" xfId="1256"/>
    <cellStyle name="Output 2 2 2 3" xfId="189"/>
    <cellStyle name="Output 2 2 2 3 10" xfId="715"/>
    <cellStyle name="Output 2 2 2 3 11" xfId="749"/>
    <cellStyle name="Output 2 2 2 3 12" xfId="785"/>
    <cellStyle name="Output 2 2 2 3 13" xfId="834"/>
    <cellStyle name="Output 2 2 2 3 14" xfId="867"/>
    <cellStyle name="Output 2 2 2 3 15" xfId="927"/>
    <cellStyle name="Output 2 2 2 3 16" xfId="953"/>
    <cellStyle name="Output 2 2 2 3 17" xfId="984"/>
    <cellStyle name="Output 2 2 2 3 18" xfId="789"/>
    <cellStyle name="Output 2 2 2 3 19" xfId="1044"/>
    <cellStyle name="Output 2 2 2 3 2" xfId="307"/>
    <cellStyle name="Output 2 2 2 3 20" xfId="1082"/>
    <cellStyle name="Output 2 2 2 3 21" xfId="1123"/>
    <cellStyle name="Output 2 2 2 3 22" xfId="1156"/>
    <cellStyle name="Output 2 2 2 3 23" xfId="1188"/>
    <cellStyle name="Output 2 2 2 3 24" xfId="1219"/>
    <cellStyle name="Output 2 2 2 3 25" xfId="1291"/>
    <cellStyle name="Output 2 2 2 3 26" xfId="1330"/>
    <cellStyle name="Output 2 2 2 3 27" xfId="1363"/>
    <cellStyle name="Output 2 2 2 3 28" xfId="1295"/>
    <cellStyle name="Output 2 2 2 3 29" xfId="1425"/>
    <cellStyle name="Output 2 2 2 3 3" xfId="390"/>
    <cellStyle name="Output 2 2 2 3 4" xfId="324"/>
    <cellStyle name="Output 2 2 2 3 5" xfId="516"/>
    <cellStyle name="Output 2 2 2 3 6" xfId="549"/>
    <cellStyle name="Output 2 2 2 3 7" xfId="610"/>
    <cellStyle name="Output 2 2 2 3 8" xfId="643"/>
    <cellStyle name="Output 2 2 2 3 9" xfId="445"/>
    <cellStyle name="Output 2 2 3" xfId="134"/>
    <cellStyle name="Output 2 2 3 10" xfId="1236"/>
    <cellStyle name="Output 2 2 3 11" xfId="1396"/>
    <cellStyle name="Output 2 2 3 12" xfId="220"/>
    <cellStyle name="Output 2 2 3 2" xfId="319"/>
    <cellStyle name="Output 2 2 3 3" xfId="406"/>
    <cellStyle name="Output 2 2 3 4" xfId="566"/>
    <cellStyle name="Output 2 2 3 5" xfId="720"/>
    <cellStyle name="Output 2 2 3 6" xfId="679"/>
    <cellStyle name="Output 2 2 3 7" xfId="939"/>
    <cellStyle name="Output 2 2 3 8" xfId="893"/>
    <cellStyle name="Output 2 2 3 9" xfId="1245"/>
    <cellStyle name="Output 2 2 4" xfId="171"/>
    <cellStyle name="Output 2 2 4 10" xfId="697"/>
    <cellStyle name="Output 2 2 4 11" xfId="731"/>
    <cellStyle name="Output 2 2 4 12" xfId="767"/>
    <cellStyle name="Output 2 2 4 13" xfId="816"/>
    <cellStyle name="Output 2 2 4 14" xfId="849"/>
    <cellStyle name="Output 2 2 4 15" xfId="909"/>
    <cellStyle name="Output 2 2 4 16" xfId="576"/>
    <cellStyle name="Output 2 2 4 17" xfId="966"/>
    <cellStyle name="Output 2 2 4 18" xfId="936"/>
    <cellStyle name="Output 2 2 4 19" xfId="1026"/>
    <cellStyle name="Output 2 2 4 2" xfId="289"/>
    <cellStyle name="Output 2 2 4 20" xfId="1064"/>
    <cellStyle name="Output 2 2 4 21" xfId="1105"/>
    <cellStyle name="Output 2 2 4 22" xfId="1138"/>
    <cellStyle name="Output 2 2 4 23" xfId="1170"/>
    <cellStyle name="Output 2 2 4 24" xfId="1201"/>
    <cellStyle name="Output 2 2 4 25" xfId="1273"/>
    <cellStyle name="Output 2 2 4 26" xfId="1312"/>
    <cellStyle name="Output 2 2 4 27" xfId="1345"/>
    <cellStyle name="Output 2 2 4 28" xfId="473"/>
    <cellStyle name="Output 2 2 4 29" xfId="1407"/>
    <cellStyle name="Output 2 2 4 3" xfId="372"/>
    <cellStyle name="Output 2 2 4 30" xfId="255"/>
    <cellStyle name="Output 2 2 4 4" xfId="273"/>
    <cellStyle name="Output 2 2 4 5" xfId="498"/>
    <cellStyle name="Output 2 2 4 6" xfId="531"/>
    <cellStyle name="Output 2 2 4 7" xfId="592"/>
    <cellStyle name="Output 2 2 4 8" xfId="625"/>
    <cellStyle name="Output 2 2 4 9" xfId="481"/>
    <cellStyle name="Output 2 3" xfId="79"/>
    <cellStyle name="Output 2 3 2" xfId="109"/>
    <cellStyle name="Output 2 3 2 2" xfId="146"/>
    <cellStyle name="Output 2 3 2 2 10" xfId="1244"/>
    <cellStyle name="Output 2 3 2 2 11" xfId="1128"/>
    <cellStyle name="Output 2 3 2 2 12" xfId="231"/>
    <cellStyle name="Output 2 3 2 2 2" xfId="340"/>
    <cellStyle name="Output 2 3 2 2 3" xfId="396"/>
    <cellStyle name="Output 2 3 2 2 4" xfId="654"/>
    <cellStyle name="Output 2 3 2 2 5" xfId="675"/>
    <cellStyle name="Output 2 3 2 2 6" xfId="464"/>
    <cellStyle name="Output 2 3 2 2 7" xfId="438"/>
    <cellStyle name="Output 2 3 2 2 8" xfId="878"/>
    <cellStyle name="Output 2 3 2 2 9" xfId="1252"/>
    <cellStyle name="Output 2 3 2 3" xfId="183"/>
    <cellStyle name="Output 2 3 2 3 10" xfId="709"/>
    <cellStyle name="Output 2 3 2 3 11" xfId="743"/>
    <cellStyle name="Output 2 3 2 3 12" xfId="779"/>
    <cellStyle name="Output 2 3 2 3 13" xfId="828"/>
    <cellStyle name="Output 2 3 2 3 14" xfId="861"/>
    <cellStyle name="Output 2 3 2 3 15" xfId="921"/>
    <cellStyle name="Output 2 3 2 3 16" xfId="947"/>
    <cellStyle name="Output 2 3 2 3 17" xfId="978"/>
    <cellStyle name="Output 2 3 2 3 18" xfId="454"/>
    <cellStyle name="Output 2 3 2 3 19" xfId="1038"/>
    <cellStyle name="Output 2 3 2 3 2" xfId="301"/>
    <cellStyle name="Output 2 3 2 3 20" xfId="1076"/>
    <cellStyle name="Output 2 3 2 3 21" xfId="1117"/>
    <cellStyle name="Output 2 3 2 3 22" xfId="1150"/>
    <cellStyle name="Output 2 3 2 3 23" xfId="1182"/>
    <cellStyle name="Output 2 3 2 3 24" xfId="1213"/>
    <cellStyle name="Output 2 3 2 3 25" xfId="1285"/>
    <cellStyle name="Output 2 3 2 3 26" xfId="1324"/>
    <cellStyle name="Output 2 3 2 3 27" xfId="1357"/>
    <cellStyle name="Output 2 3 2 3 28" xfId="1089"/>
    <cellStyle name="Output 2 3 2 3 29" xfId="1419"/>
    <cellStyle name="Output 2 3 2 3 3" xfId="384"/>
    <cellStyle name="Output 2 3 2 3 4" xfId="341"/>
    <cellStyle name="Output 2 3 2 3 5" xfId="510"/>
    <cellStyle name="Output 2 3 2 3 6" xfId="543"/>
    <cellStyle name="Output 2 3 2 3 7" xfId="604"/>
    <cellStyle name="Output 2 3 2 3 8" xfId="637"/>
    <cellStyle name="Output 2 3 2 3 9" xfId="520"/>
    <cellStyle name="Output 2 3 3" xfId="128"/>
    <cellStyle name="Output 2 3 3 10" xfId="1191"/>
    <cellStyle name="Output 2 3 3 11" xfId="1379"/>
    <cellStyle name="Output 2 3 3 12" xfId="218"/>
    <cellStyle name="Output 2 3 3 2" xfId="349"/>
    <cellStyle name="Output 2 3 3 3" xfId="405"/>
    <cellStyle name="Output 2 3 3 4" xfId="561"/>
    <cellStyle name="Output 2 3 3 5" xfId="475"/>
    <cellStyle name="Output 2 3 3 6" xfId="571"/>
    <cellStyle name="Output 2 3 3 7" xfId="570"/>
    <cellStyle name="Output 2 3 3 8" xfId="800"/>
    <cellStyle name="Output 2 3 3 9" xfId="1242"/>
    <cellStyle name="Output 2 3 4" xfId="165"/>
    <cellStyle name="Output 2 3 4 10" xfId="691"/>
    <cellStyle name="Output 2 3 4 11" xfId="725"/>
    <cellStyle name="Output 2 3 4 12" xfId="761"/>
    <cellStyle name="Output 2 3 4 13" xfId="810"/>
    <cellStyle name="Output 2 3 4 14" xfId="843"/>
    <cellStyle name="Output 2 3 4 15" xfId="903"/>
    <cellStyle name="Output 2 3 4 16" xfId="792"/>
    <cellStyle name="Output 2 3 4 17" xfId="960"/>
    <cellStyle name="Output 2 3 4 18" xfId="459"/>
    <cellStyle name="Output 2 3 4 19" xfId="1020"/>
    <cellStyle name="Output 2 3 4 2" xfId="283"/>
    <cellStyle name="Output 2 3 4 20" xfId="1058"/>
    <cellStyle name="Output 2 3 4 21" xfId="1099"/>
    <cellStyle name="Output 2 3 4 22" xfId="1132"/>
    <cellStyle name="Output 2 3 4 23" xfId="1164"/>
    <cellStyle name="Output 2 3 4 24" xfId="1195"/>
    <cellStyle name="Output 2 3 4 25" xfId="1267"/>
    <cellStyle name="Output 2 3 4 26" xfId="1306"/>
    <cellStyle name="Output 2 3 4 27" xfId="1339"/>
    <cellStyle name="Output 2 3 4 28" xfId="1007"/>
    <cellStyle name="Output 2 3 4 29" xfId="1401"/>
    <cellStyle name="Output 2 3 4 3" xfId="366"/>
    <cellStyle name="Output 2 3 4 30" xfId="249"/>
    <cellStyle name="Output 2 3 4 4" xfId="272"/>
    <cellStyle name="Output 2 3 4 5" xfId="492"/>
    <cellStyle name="Output 2 3 4 6" xfId="525"/>
    <cellStyle name="Output 2 3 4 7" xfId="586"/>
    <cellStyle name="Output 2 3 4 8" xfId="619"/>
    <cellStyle name="Output 2 3 4 9" xfId="552"/>
    <cellStyle name="Output 2 4" xfId="103"/>
    <cellStyle name="Output 2 4 2" xfId="140"/>
    <cellStyle name="Output 2 4 2 10" xfId="1235"/>
    <cellStyle name="Output 2 4 2 11" xfId="1393"/>
    <cellStyle name="Output 2 4 2 12" xfId="225"/>
    <cellStyle name="Output 2 4 2 2" xfId="314"/>
    <cellStyle name="Output 2 4 2 3" xfId="270"/>
    <cellStyle name="Output 2 4 2 4" xfId="650"/>
    <cellStyle name="Output 2 4 2 5" xfId="662"/>
    <cellStyle name="Output 2 4 2 6" xfId="429"/>
    <cellStyle name="Output 2 4 2 7" xfId="672"/>
    <cellStyle name="Output 2 4 2 8" xfId="658"/>
    <cellStyle name="Output 2 4 2 9" xfId="1248"/>
    <cellStyle name="Output 2 4 3" xfId="177"/>
    <cellStyle name="Output 2 4 3 10" xfId="703"/>
    <cellStyle name="Output 2 4 3 11" xfId="737"/>
    <cellStyle name="Output 2 4 3 12" xfId="773"/>
    <cellStyle name="Output 2 4 3 13" xfId="822"/>
    <cellStyle name="Output 2 4 3 14" xfId="855"/>
    <cellStyle name="Output 2 4 3 15" xfId="915"/>
    <cellStyle name="Output 2 4 3 16" xfId="930"/>
    <cellStyle name="Output 2 4 3 17" xfId="972"/>
    <cellStyle name="Output 2 4 3 18" xfId="940"/>
    <cellStyle name="Output 2 4 3 19" xfId="1032"/>
    <cellStyle name="Output 2 4 3 2" xfId="295"/>
    <cellStyle name="Output 2 4 3 20" xfId="1070"/>
    <cellStyle name="Output 2 4 3 21" xfId="1111"/>
    <cellStyle name="Output 2 4 3 22" xfId="1144"/>
    <cellStyle name="Output 2 4 3 23" xfId="1176"/>
    <cellStyle name="Output 2 4 3 24" xfId="1207"/>
    <cellStyle name="Output 2 4 3 25" xfId="1279"/>
    <cellStyle name="Output 2 4 3 26" xfId="1318"/>
    <cellStyle name="Output 2 4 3 27" xfId="1351"/>
    <cellStyle name="Output 2 4 3 28" xfId="1371"/>
    <cellStyle name="Output 2 4 3 29" xfId="1413"/>
    <cellStyle name="Output 2 4 3 3" xfId="378"/>
    <cellStyle name="Output 2 4 3 4" xfId="323"/>
    <cellStyle name="Output 2 4 3 5" xfId="504"/>
    <cellStyle name="Output 2 4 3 6" xfId="537"/>
    <cellStyle name="Output 2 4 3 7" xfId="598"/>
    <cellStyle name="Output 2 4 3 8" xfId="631"/>
    <cellStyle name="Output 2 4 3 9" xfId="553"/>
    <cellStyle name="Output 2 5" xfId="122"/>
    <cellStyle name="Output 2 5 10" xfId="993"/>
    <cellStyle name="Output 2 5 11" xfId="788"/>
    <cellStyle name="Output 2 5 12" xfId="215"/>
    <cellStyle name="Output 2 5 2" xfId="343"/>
    <cellStyle name="Output 2 5 3" xfId="400"/>
    <cellStyle name="Output 2 5 4" xfId="565"/>
    <cellStyle name="Output 2 5 5" xfId="564"/>
    <cellStyle name="Output 2 5 6" xfId="673"/>
    <cellStyle name="Output 2 5 7" xfId="659"/>
    <cellStyle name="Output 2 5 8" xfId="933"/>
    <cellStyle name="Output 2 5 9" xfId="1238"/>
    <cellStyle name="Output 2 6" xfId="159"/>
    <cellStyle name="Output 2 6 10" xfId="661"/>
    <cellStyle name="Output 2 6 11" xfId="443"/>
    <cellStyle name="Output 2 6 12" xfId="466"/>
    <cellStyle name="Output 2 6 13" xfId="804"/>
    <cellStyle name="Output 2 6 14" xfId="684"/>
    <cellStyle name="Output 2 6 15" xfId="897"/>
    <cellStyle name="Output 2 6 16" xfId="476"/>
    <cellStyle name="Output 2 6 17" xfId="941"/>
    <cellStyle name="Output 2 6 18" xfId="790"/>
    <cellStyle name="Output 2 6 19" xfId="1014"/>
    <cellStyle name="Output 2 6 2" xfId="277"/>
    <cellStyle name="Output 2 6 20" xfId="1052"/>
    <cellStyle name="Output 2 6 21" xfId="1093"/>
    <cellStyle name="Output 2 6 22" xfId="880"/>
    <cellStyle name="Output 2 6 23" xfId="470"/>
    <cellStyle name="Output 2 6 24" xfId="1047"/>
    <cellStyle name="Output 2 6 25" xfId="1261"/>
    <cellStyle name="Output 2 6 26" xfId="1300"/>
    <cellStyle name="Output 2 6 27" xfId="1247"/>
    <cellStyle name="Output 2 6 28" xfId="883"/>
    <cellStyle name="Output 2 6 29" xfId="1383"/>
    <cellStyle name="Output 2 6 3" xfId="360"/>
    <cellStyle name="Output 2 6 30" xfId="243"/>
    <cellStyle name="Output 2 6 4" xfId="313"/>
    <cellStyle name="Output 2 6 5" xfId="486"/>
    <cellStyle name="Output 2 6 6" xfId="423"/>
    <cellStyle name="Output 2 6 7" xfId="580"/>
    <cellStyle name="Output 2 6 8" xfId="449"/>
    <cellStyle name="Output 2 6 9" xfId="556"/>
    <cellStyle name="Porcentaje" xfId="192" builtinId="5"/>
    <cellStyle name="Title 2" xfId="51"/>
    <cellStyle name="Total 2" xfId="52"/>
    <cellStyle name="Total 2 2" xfId="91"/>
    <cellStyle name="Total 2 2 2" xfId="116"/>
    <cellStyle name="Total 2 2 2 2" xfId="153"/>
    <cellStyle name="Total 2 2 2 2 2" xfId="346"/>
    <cellStyle name="Total 2 2 2 2 3" xfId="519"/>
    <cellStyle name="Total 2 2 2 2 4" xfId="1257"/>
    <cellStyle name="Total 2 2 2 2 5" xfId="1387"/>
    <cellStyle name="Total 2 2 2 2 6" xfId="238"/>
    <cellStyle name="Total 2 2 2 3" xfId="190"/>
    <cellStyle name="Total 2 2 2 3 10" xfId="716"/>
    <cellStyle name="Total 2 2 2 3 11" xfId="750"/>
    <cellStyle name="Total 2 2 2 3 12" xfId="786"/>
    <cellStyle name="Total 2 2 2 3 13" xfId="835"/>
    <cellStyle name="Total 2 2 2 3 14" xfId="868"/>
    <cellStyle name="Total 2 2 2 3 15" xfId="928"/>
    <cellStyle name="Total 2 2 2 3 16" xfId="954"/>
    <cellStyle name="Total 2 2 2 3 17" xfId="985"/>
    <cellStyle name="Total 2 2 2 3 18" xfId="879"/>
    <cellStyle name="Total 2 2 2 3 19" xfId="1045"/>
    <cellStyle name="Total 2 2 2 3 2" xfId="308"/>
    <cellStyle name="Total 2 2 2 3 20" xfId="1083"/>
    <cellStyle name="Total 2 2 2 3 21" xfId="1124"/>
    <cellStyle name="Total 2 2 2 3 22" xfId="1157"/>
    <cellStyle name="Total 2 2 2 3 23" xfId="1189"/>
    <cellStyle name="Total 2 2 2 3 24" xfId="1220"/>
    <cellStyle name="Total 2 2 2 3 25" xfId="1292"/>
    <cellStyle name="Total 2 2 2 3 26" xfId="1331"/>
    <cellStyle name="Total 2 2 2 3 27" xfId="1364"/>
    <cellStyle name="Total 2 2 2 3 28" xfId="1373"/>
    <cellStyle name="Total 2 2 2 3 29" xfId="1426"/>
    <cellStyle name="Total 2 2 2 3 3" xfId="391"/>
    <cellStyle name="Total 2 2 2 3 4" xfId="333"/>
    <cellStyle name="Total 2 2 2 3 5" xfId="517"/>
    <cellStyle name="Total 2 2 2 3 6" xfId="550"/>
    <cellStyle name="Total 2 2 2 3 7" xfId="611"/>
    <cellStyle name="Total 2 2 2 3 8" xfId="644"/>
    <cellStyle name="Total 2 2 2 3 9" xfId="463"/>
    <cellStyle name="Total 2 2 3" xfId="135"/>
    <cellStyle name="Total 2 2 3 2" xfId="312"/>
    <cellStyle name="Total 2 2 3 3" xfId="572"/>
    <cellStyle name="Total 2 2 3 4" xfId="1246"/>
    <cellStyle name="Total 2 2 3 5" xfId="1004"/>
    <cellStyle name="Total 2 2 3 6" xfId="221"/>
    <cellStyle name="Total 2 2 4" xfId="172"/>
    <cellStyle name="Total 2 2 4 10" xfId="698"/>
    <cellStyle name="Total 2 2 4 11" xfId="732"/>
    <cellStyle name="Total 2 2 4 12" xfId="768"/>
    <cellStyle name="Total 2 2 4 13" xfId="817"/>
    <cellStyle name="Total 2 2 4 14" xfId="850"/>
    <cellStyle name="Total 2 2 4 15" xfId="910"/>
    <cellStyle name="Total 2 2 4 16" xfId="885"/>
    <cellStyle name="Total 2 2 4 17" xfId="967"/>
    <cellStyle name="Total 2 2 4 18" xfId="887"/>
    <cellStyle name="Total 2 2 4 19" xfId="1027"/>
    <cellStyle name="Total 2 2 4 2" xfId="290"/>
    <cellStyle name="Total 2 2 4 20" xfId="1065"/>
    <cellStyle name="Total 2 2 4 21" xfId="1106"/>
    <cellStyle name="Total 2 2 4 22" xfId="1139"/>
    <cellStyle name="Total 2 2 4 23" xfId="1171"/>
    <cellStyle name="Total 2 2 4 24" xfId="1202"/>
    <cellStyle name="Total 2 2 4 25" xfId="1274"/>
    <cellStyle name="Total 2 2 4 26" xfId="1313"/>
    <cellStyle name="Total 2 2 4 27" xfId="1346"/>
    <cellStyle name="Total 2 2 4 28" xfId="1372"/>
    <cellStyle name="Total 2 2 4 29" xfId="1408"/>
    <cellStyle name="Total 2 2 4 3" xfId="373"/>
    <cellStyle name="Total 2 2 4 30" xfId="256"/>
    <cellStyle name="Total 2 2 4 4" xfId="344"/>
    <cellStyle name="Total 2 2 4 5" xfId="499"/>
    <cellStyle name="Total 2 2 4 6" xfId="532"/>
    <cellStyle name="Total 2 2 4 7" xfId="593"/>
    <cellStyle name="Total 2 2 4 8" xfId="626"/>
    <cellStyle name="Total 2 2 4 9" xfId="437"/>
    <cellStyle name="Total 2 3" xfId="80"/>
    <cellStyle name="Total 2 3 2" xfId="110"/>
    <cellStyle name="Total 2 3 2 2" xfId="147"/>
    <cellStyle name="Total 2 3 2 2 2" xfId="331"/>
    <cellStyle name="Total 2 3 2 2 3" xfId="453"/>
    <cellStyle name="Total 2 3 2 2 4" xfId="1253"/>
    <cellStyle name="Total 2 3 2 2 5" xfId="1388"/>
    <cellStyle name="Total 2 3 2 2 6" xfId="232"/>
    <cellStyle name="Total 2 3 2 3" xfId="184"/>
    <cellStyle name="Total 2 3 2 3 10" xfId="710"/>
    <cellStyle name="Total 2 3 2 3 11" xfId="744"/>
    <cellStyle name="Total 2 3 2 3 12" xfId="780"/>
    <cellStyle name="Total 2 3 2 3 13" xfId="829"/>
    <cellStyle name="Total 2 3 2 3 14" xfId="862"/>
    <cellStyle name="Total 2 3 2 3 15" xfId="922"/>
    <cellStyle name="Total 2 3 2 3 16" xfId="948"/>
    <cellStyle name="Total 2 3 2 3 17" xfId="979"/>
    <cellStyle name="Total 2 3 2 3 18" xfId="791"/>
    <cellStyle name="Total 2 3 2 3 19" xfId="1039"/>
    <cellStyle name="Total 2 3 2 3 2" xfId="302"/>
    <cellStyle name="Total 2 3 2 3 20" xfId="1077"/>
    <cellStyle name="Total 2 3 2 3 21" xfId="1118"/>
    <cellStyle name="Total 2 3 2 3 22" xfId="1151"/>
    <cellStyle name="Total 2 3 2 3 23" xfId="1183"/>
    <cellStyle name="Total 2 3 2 3 24" xfId="1214"/>
    <cellStyle name="Total 2 3 2 3 25" xfId="1286"/>
    <cellStyle name="Total 2 3 2 3 26" xfId="1325"/>
    <cellStyle name="Total 2 3 2 3 27" xfId="1358"/>
    <cellStyle name="Total 2 3 2 3 28" xfId="1375"/>
    <cellStyle name="Total 2 3 2 3 29" xfId="1420"/>
    <cellStyle name="Total 2 3 2 3 3" xfId="385"/>
    <cellStyle name="Total 2 3 2 3 4" xfId="315"/>
    <cellStyle name="Total 2 3 2 3 5" xfId="511"/>
    <cellStyle name="Total 2 3 2 3 6" xfId="544"/>
    <cellStyle name="Total 2 3 2 3 7" xfId="605"/>
    <cellStyle name="Total 2 3 2 3 8" xfId="638"/>
    <cellStyle name="Total 2 3 2 3 9" xfId="482"/>
    <cellStyle name="Total 2 3 3" xfId="129"/>
    <cellStyle name="Total 2 3 3 2" xfId="399"/>
    <cellStyle name="Total 2 3 3 3" xfId="795"/>
    <cellStyle name="Total 2 3 3 4" xfId="1243"/>
    <cellStyle name="Total 2 3 3 5" xfId="1397"/>
    <cellStyle name="Total 2 3 3 6" xfId="219"/>
    <cellStyle name="Total 2 3 4" xfId="166"/>
    <cellStyle name="Total 2 3 4 10" xfId="692"/>
    <cellStyle name="Total 2 3 4 11" xfId="726"/>
    <cellStyle name="Total 2 3 4 12" xfId="762"/>
    <cellStyle name="Total 2 3 4 13" xfId="811"/>
    <cellStyle name="Total 2 3 4 14" xfId="844"/>
    <cellStyle name="Total 2 3 4 15" xfId="904"/>
    <cellStyle name="Total 2 3 4 16" xfId="796"/>
    <cellStyle name="Total 2 3 4 17" xfId="961"/>
    <cellStyle name="Total 2 3 4 18" xfId="839"/>
    <cellStyle name="Total 2 3 4 19" xfId="1021"/>
    <cellStyle name="Total 2 3 4 2" xfId="284"/>
    <cellStyle name="Total 2 3 4 20" xfId="1059"/>
    <cellStyle name="Total 2 3 4 21" xfId="1100"/>
    <cellStyle name="Total 2 3 4 22" xfId="1133"/>
    <cellStyle name="Total 2 3 4 23" xfId="1165"/>
    <cellStyle name="Total 2 3 4 24" xfId="1196"/>
    <cellStyle name="Total 2 3 4 25" xfId="1268"/>
    <cellStyle name="Total 2 3 4 26" xfId="1307"/>
    <cellStyle name="Total 2 3 4 27" xfId="1340"/>
    <cellStyle name="Total 2 3 4 28" xfId="1335"/>
    <cellStyle name="Total 2 3 4 29" xfId="1402"/>
    <cellStyle name="Total 2 3 4 3" xfId="367"/>
    <cellStyle name="Total 2 3 4 30" xfId="250"/>
    <cellStyle name="Total 2 3 4 4" xfId="395"/>
    <cellStyle name="Total 2 3 4 5" xfId="493"/>
    <cellStyle name="Total 2 3 4 6" xfId="526"/>
    <cellStyle name="Total 2 3 4 7" xfId="587"/>
    <cellStyle name="Total 2 3 4 8" xfId="620"/>
    <cellStyle name="Total 2 3 4 9" xfId="420"/>
    <cellStyle name="Total 2 4" xfId="104"/>
    <cellStyle name="Total 2 4 2" xfId="141"/>
    <cellStyle name="Total 2 4 2 2" xfId="412"/>
    <cellStyle name="Total 2 4 2 3" xfId="418"/>
    <cellStyle name="Total 2 4 2 4" xfId="1249"/>
    <cellStyle name="Total 2 4 2 5" xfId="1391"/>
    <cellStyle name="Total 2 4 2 6" xfId="226"/>
    <cellStyle name="Total 2 4 3" xfId="178"/>
    <cellStyle name="Total 2 4 3 10" xfId="704"/>
    <cellStyle name="Total 2 4 3 11" xfId="738"/>
    <cellStyle name="Total 2 4 3 12" xfId="774"/>
    <cellStyle name="Total 2 4 3 13" xfId="823"/>
    <cellStyle name="Total 2 4 3 14" xfId="856"/>
    <cellStyle name="Total 2 4 3 15" xfId="916"/>
    <cellStyle name="Total 2 4 3 16" xfId="648"/>
    <cellStyle name="Total 2 4 3 17" xfId="973"/>
    <cellStyle name="Total 2 4 3 18" xfId="886"/>
    <cellStyle name="Total 2 4 3 19" xfId="1033"/>
    <cellStyle name="Total 2 4 3 2" xfId="296"/>
    <cellStyle name="Total 2 4 3 20" xfId="1071"/>
    <cellStyle name="Total 2 4 3 21" xfId="1112"/>
    <cellStyle name="Total 2 4 3 22" xfId="1145"/>
    <cellStyle name="Total 2 4 3 23" xfId="1177"/>
    <cellStyle name="Total 2 4 3 24" xfId="1208"/>
    <cellStyle name="Total 2 4 3 25" xfId="1280"/>
    <cellStyle name="Total 2 4 3 26" xfId="1319"/>
    <cellStyle name="Total 2 4 3 27" xfId="1352"/>
    <cellStyle name="Total 2 4 3 28" xfId="1382"/>
    <cellStyle name="Total 2 4 3 29" xfId="1414"/>
    <cellStyle name="Total 2 4 3 3" xfId="379"/>
    <cellStyle name="Total 2 4 3 4" xfId="332"/>
    <cellStyle name="Total 2 4 3 5" xfId="505"/>
    <cellStyle name="Total 2 4 3 6" xfId="538"/>
    <cellStyle name="Total 2 4 3 7" xfId="599"/>
    <cellStyle name="Total 2 4 3 8" xfId="632"/>
    <cellStyle name="Total 2 4 3 9" xfId="442"/>
    <cellStyle name="Total 2 5" xfId="123"/>
    <cellStyle name="Total 2 5 2" xfId="404"/>
    <cellStyle name="Total 2 5 3" xfId="754"/>
    <cellStyle name="Total 2 5 4" xfId="1239"/>
    <cellStyle name="Total 2 5 5" xfId="1228"/>
    <cellStyle name="Total 2 5 6" xfId="216"/>
    <cellStyle name="Total 2 6" xfId="160"/>
    <cellStyle name="Total 2 6 10" xfId="683"/>
    <cellStyle name="Total 2 6 11" xfId="686"/>
    <cellStyle name="Total 2 6 12" xfId="718"/>
    <cellStyle name="Total 2 6 13" xfId="805"/>
    <cellStyle name="Total 2 6 14" xfId="440"/>
    <cellStyle name="Total 2 6 15" xfId="898"/>
    <cellStyle name="Total 2 6 16" xfId="884"/>
    <cellStyle name="Total 2 6 17" xfId="753"/>
    <cellStyle name="Total 2 6 18" xfId="990"/>
    <cellStyle name="Total 2 6 19" xfId="1015"/>
    <cellStyle name="Total 2 6 2" xfId="278"/>
    <cellStyle name="Total 2 6 20" xfId="1053"/>
    <cellStyle name="Total 2 6 21" xfId="1094"/>
    <cellStyle name="Total 2 6 22" xfId="562"/>
    <cellStyle name="Total 2 6 23" xfId="1126"/>
    <cellStyle name="Total 2 6 24" xfId="1159"/>
    <cellStyle name="Total 2 6 25" xfId="1262"/>
    <cellStyle name="Total 2 6 26" xfId="1301"/>
    <cellStyle name="Total 2 6 27" xfId="1237"/>
    <cellStyle name="Total 2 6 28" xfId="1254"/>
    <cellStyle name="Total 2 6 29" xfId="1394"/>
    <cellStyle name="Total 2 6 3" xfId="361"/>
    <cellStyle name="Total 2 6 30" xfId="244"/>
    <cellStyle name="Total 2 6 4" xfId="394"/>
    <cellStyle name="Total 2 6 5" xfId="487"/>
    <cellStyle name="Total 2 6 6" xfId="422"/>
    <cellStyle name="Total 2 6 7" xfId="581"/>
    <cellStyle name="Total 2 6 8" xfId="417"/>
    <cellStyle name="Total 2 6 9" xfId="669"/>
    <cellStyle name="Warning Text 2" xfId="53"/>
  </cellStyles>
  <dxfs count="37">
    <dxf>
      <numFmt numFmtId="171" formatCode="_(* #,##0_);_(* \(#,##0\);_(* &quot;-&quot;??_);_(@_)"/>
    </dxf>
    <dxf>
      <numFmt numFmtId="171" formatCode="_(* #,##0_);_(* \(#,##0\);_(* &quot;-&quot;??_);_(@_)"/>
    </dxf>
    <dxf>
      <numFmt numFmtId="35" formatCode="_(* #,##0.00_);_(* \(#,##0.00\);_(* &quot;-&quot;??_);_(@_)"/>
    </dxf>
    <dxf>
      <numFmt numFmtId="35" formatCode="_(* #,##0.00_);_(* \(#,##0.00\);_(* &quot;-&quot;??_);_(@_)"/>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s>
  <tableStyles count="0" defaultTableStyle="TableStyleMedium2" defaultPivotStyle="PivotStyleLight16"/>
  <colors>
    <mruColors>
      <color rgb="FF66FF3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1" u="none" strike="noStrike" kern="1200" spc="0" baseline="0">
                <a:solidFill>
                  <a:schemeClr val="tx1">
                    <a:lumMod val="65000"/>
                    <a:lumOff val="35000"/>
                  </a:schemeClr>
                </a:solidFill>
                <a:latin typeface="+mn-lt"/>
                <a:ea typeface="+mn-ea"/>
                <a:cs typeface="+mn-cs"/>
              </a:defRPr>
            </a:pPr>
            <a:r>
              <a:rPr lang="es-EC" b="1" i="1"/>
              <a:t>Avance Físico individual (%)</a:t>
            </a:r>
          </a:p>
          <a:p>
            <a:pPr>
              <a:defRPr b="1" i="1"/>
            </a:pPr>
            <a:r>
              <a:rPr lang="es-EC" b="1" i="1"/>
              <a:t> Agosto 2019</a:t>
            </a:r>
          </a:p>
        </c:rich>
      </c:tx>
      <c:overlay val="0"/>
      <c:spPr>
        <a:noFill/>
        <a:ln>
          <a:noFill/>
        </a:ln>
        <a:effectLst/>
      </c:spPr>
      <c:txPr>
        <a:bodyPr rot="0" spcFirstLastPara="1" vertOverflow="ellipsis" vert="horz" wrap="square" anchor="ctr" anchorCtr="1"/>
        <a:lstStyle/>
        <a:p>
          <a:pPr>
            <a:defRPr sz="1400" b="1" i="1" u="none" strike="noStrike" kern="1200" spc="0" baseline="0">
              <a:solidFill>
                <a:schemeClr val="tx1">
                  <a:lumMod val="65000"/>
                  <a:lumOff val="35000"/>
                </a:schemeClr>
              </a:solidFill>
              <a:latin typeface="+mn-lt"/>
              <a:ea typeface="+mn-ea"/>
              <a:cs typeface="+mn-cs"/>
            </a:defRPr>
          </a:pPr>
          <a:endParaRPr lang="es-EC"/>
        </a:p>
      </c:txPr>
    </c:title>
    <c:autoTitleDeleted val="0"/>
    <c:plotArea>
      <c:layout/>
      <c:barChart>
        <c:barDir val="col"/>
        <c:grouping val="clustered"/>
        <c:varyColors val="0"/>
        <c:ser>
          <c:idx val="0"/>
          <c:order val="0"/>
          <c:tx>
            <c:strRef>
              <c:f>AvanceFísicoAgosto2019!$D$27</c:f>
              <c:strCache>
                <c:ptCount val="1"/>
                <c:pt idx="0">
                  <c:v>Avance %</c:v>
                </c:pt>
              </c:strCache>
            </c:strRef>
          </c:tx>
          <c:spPr>
            <a:solidFill>
              <a:schemeClr val="accent1"/>
            </a:solidFill>
            <a:ln>
              <a:noFill/>
            </a:ln>
            <a:effectLst/>
          </c:spPr>
          <c:invertIfNegative val="0"/>
          <c:cat>
            <c:strRef>
              <c:f>AvanceFísicoAgosto2019!$A$28:$A$47</c:f>
              <c:strCache>
                <c:ptCount val="20"/>
                <c:pt idx="0">
                  <c:v>CNELBOL</c:v>
                </c:pt>
                <c:pt idx="1">
                  <c:v>CNELEOR</c:v>
                </c:pt>
                <c:pt idx="2">
                  <c:v>CNELESM</c:v>
                </c:pt>
                <c:pt idx="3">
                  <c:v>CNELLRS</c:v>
                </c:pt>
                <c:pt idx="4">
                  <c:v>CNELMAN</c:v>
                </c:pt>
                <c:pt idx="5">
                  <c:v>CNELMLG</c:v>
                </c:pt>
                <c:pt idx="6">
                  <c:v>CNELSTD</c:v>
                </c:pt>
                <c:pt idx="7">
                  <c:v>CNELSTE</c:v>
                </c:pt>
                <c:pt idx="8">
                  <c:v>CNELSUC</c:v>
                </c:pt>
                <c:pt idx="9">
                  <c:v>EEASA</c:v>
                </c:pt>
                <c:pt idx="10">
                  <c:v>EECS</c:v>
                </c:pt>
                <c:pt idx="11">
                  <c:v>EEPGSA</c:v>
                </c:pt>
                <c:pt idx="12">
                  <c:v>EEQ</c:v>
                </c:pt>
                <c:pt idx="13">
                  <c:v>EERSSA</c:v>
                </c:pt>
                <c:pt idx="14">
                  <c:v>EMELNORTE</c:v>
                </c:pt>
                <c:pt idx="15">
                  <c:v>CNELGY</c:v>
                </c:pt>
                <c:pt idx="16">
                  <c:v>ELEPCO</c:v>
                </c:pt>
                <c:pt idx="17">
                  <c:v>EEAZ</c:v>
                </c:pt>
                <c:pt idx="18">
                  <c:v>CNELGLR</c:v>
                </c:pt>
                <c:pt idx="19">
                  <c:v>EERSA</c:v>
                </c:pt>
              </c:strCache>
            </c:strRef>
          </c:cat>
          <c:val>
            <c:numRef>
              <c:f>AvanceFísicoAgosto2019!$D$28:$D$47</c:f>
              <c:numCache>
                <c:formatCode>0%</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0.97211373121048139</c:v>
                </c:pt>
                <c:pt idx="16">
                  <c:v>0.91</c:v>
                </c:pt>
                <c:pt idx="17">
                  <c:v>0.87684089158629963</c:v>
                </c:pt>
                <c:pt idx="18">
                  <c:v>0.84009928563506686</c:v>
                </c:pt>
                <c:pt idx="19">
                  <c:v>0.70849353284934546</c:v>
                </c:pt>
              </c:numCache>
            </c:numRef>
          </c:val>
        </c:ser>
        <c:dLbls>
          <c:showLegendKey val="0"/>
          <c:showVal val="0"/>
          <c:showCatName val="0"/>
          <c:showSerName val="0"/>
          <c:showPercent val="0"/>
          <c:showBubbleSize val="0"/>
        </c:dLbls>
        <c:gapWidth val="219"/>
        <c:overlap val="-27"/>
        <c:axId val="-1085666816"/>
        <c:axId val="-557615968"/>
      </c:barChart>
      <c:catAx>
        <c:axId val="-1085666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557615968"/>
        <c:crosses val="autoZero"/>
        <c:auto val="1"/>
        <c:lblAlgn val="ctr"/>
        <c:lblOffset val="100"/>
        <c:noMultiLvlLbl val="0"/>
      </c:catAx>
      <c:valAx>
        <c:axId val="-55761596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1085666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b="1" i="1"/>
              <a:t>Avance Físico</a:t>
            </a:r>
            <a:r>
              <a:rPr lang="es-EC" b="1" i="1" baseline="0"/>
              <a:t> Individual</a:t>
            </a:r>
          </a:p>
          <a:p>
            <a:pPr>
              <a:defRPr/>
            </a:pPr>
            <a:r>
              <a:rPr lang="es-EC" b="1" i="1" baseline="0"/>
              <a:t>Septiembre 2019</a:t>
            </a:r>
            <a:endParaRPr lang="es-EC" b="1" i="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barChart>
        <c:barDir val="col"/>
        <c:grouping val="clustered"/>
        <c:varyColors val="0"/>
        <c:ser>
          <c:idx val="0"/>
          <c:order val="0"/>
          <c:tx>
            <c:strRef>
              <c:f>AvanceFísicoSeptiembre2019!$D$27</c:f>
              <c:strCache>
                <c:ptCount val="1"/>
                <c:pt idx="0">
                  <c:v>Avance %</c:v>
                </c:pt>
              </c:strCache>
            </c:strRef>
          </c:tx>
          <c:spPr>
            <a:solidFill>
              <a:schemeClr val="accent1"/>
            </a:solidFill>
            <a:ln>
              <a:noFill/>
            </a:ln>
            <a:effectLst/>
          </c:spPr>
          <c:invertIfNegative val="0"/>
          <c:cat>
            <c:strRef>
              <c:f>AvanceFísicoSeptiembre2019!$A$28:$A$47</c:f>
              <c:strCache>
                <c:ptCount val="20"/>
                <c:pt idx="0">
                  <c:v>CNELBOL</c:v>
                </c:pt>
                <c:pt idx="1">
                  <c:v>CNELEOR</c:v>
                </c:pt>
                <c:pt idx="2">
                  <c:v>CNELESM</c:v>
                </c:pt>
                <c:pt idx="3">
                  <c:v>CNELLRS</c:v>
                </c:pt>
                <c:pt idx="4">
                  <c:v>CNELMAN</c:v>
                </c:pt>
                <c:pt idx="5">
                  <c:v>CNELMLG</c:v>
                </c:pt>
                <c:pt idx="6">
                  <c:v>CNELSTD</c:v>
                </c:pt>
                <c:pt idx="7">
                  <c:v>CNELSTE</c:v>
                </c:pt>
                <c:pt idx="8">
                  <c:v>CNELSUC</c:v>
                </c:pt>
                <c:pt idx="9">
                  <c:v>EEASA</c:v>
                </c:pt>
                <c:pt idx="10">
                  <c:v>EECS</c:v>
                </c:pt>
                <c:pt idx="11">
                  <c:v>EEPGSA</c:v>
                </c:pt>
                <c:pt idx="12">
                  <c:v>EEQ</c:v>
                </c:pt>
                <c:pt idx="13">
                  <c:v>EERSSA</c:v>
                </c:pt>
                <c:pt idx="14">
                  <c:v>EMELNORTE</c:v>
                </c:pt>
                <c:pt idx="15">
                  <c:v>CNELGY</c:v>
                </c:pt>
                <c:pt idx="16">
                  <c:v>ELEPCO</c:v>
                </c:pt>
                <c:pt idx="17">
                  <c:v>EEAZ</c:v>
                </c:pt>
                <c:pt idx="18">
                  <c:v>CNELGLR</c:v>
                </c:pt>
                <c:pt idx="19">
                  <c:v>EERSA</c:v>
                </c:pt>
              </c:strCache>
            </c:strRef>
          </c:cat>
          <c:val>
            <c:numRef>
              <c:f>AvanceFísicoSeptiembre2019!$D$28:$D$47</c:f>
              <c:numCache>
                <c:formatCode>0%</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0.97211373121048139</c:v>
                </c:pt>
                <c:pt idx="16">
                  <c:v>0.91</c:v>
                </c:pt>
                <c:pt idx="17">
                  <c:v>0.90763066868972475</c:v>
                </c:pt>
                <c:pt idx="18">
                  <c:v>0.84009928563506686</c:v>
                </c:pt>
                <c:pt idx="19">
                  <c:v>0.70849353284934546</c:v>
                </c:pt>
              </c:numCache>
            </c:numRef>
          </c:val>
        </c:ser>
        <c:dLbls>
          <c:showLegendKey val="0"/>
          <c:showVal val="0"/>
          <c:showCatName val="0"/>
          <c:showSerName val="0"/>
          <c:showPercent val="0"/>
          <c:showBubbleSize val="0"/>
        </c:dLbls>
        <c:gapWidth val="219"/>
        <c:overlap val="-27"/>
        <c:axId val="-557609984"/>
        <c:axId val="-557615424"/>
      </c:barChart>
      <c:catAx>
        <c:axId val="-55760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557615424"/>
        <c:crosses val="autoZero"/>
        <c:auto val="1"/>
        <c:lblAlgn val="ctr"/>
        <c:lblOffset val="100"/>
        <c:noMultiLvlLbl val="0"/>
      </c:catAx>
      <c:valAx>
        <c:axId val="-5576154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557609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704850</xdr:colOff>
      <xdr:row>8</xdr:row>
      <xdr:rowOff>157162</xdr:rowOff>
    </xdr:from>
    <xdr:to>
      <xdr:col>11</xdr:col>
      <xdr:colOff>704850</xdr:colOff>
      <xdr:row>23</xdr:row>
      <xdr:rowOff>42862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49</xdr:row>
      <xdr:rowOff>166687</xdr:rowOff>
    </xdr:from>
    <xdr:to>
      <xdr:col>10</xdr:col>
      <xdr:colOff>38100</xdr:colOff>
      <xdr:row>64</xdr:row>
      <xdr:rowOff>52387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Santiago Ruben Córdova Vaca" refreshedDate="43763.344992129627" createdVersion="5" refreshedVersion="5" minRefreshableVersion="3" recordCount="128">
  <cacheSource type="worksheet">
    <worksheetSource ref="B2:F111" sheet="AvFis2"/>
  </cacheSource>
  <cacheFields count="5">
    <cacheField name="Etiquetas de fila" numFmtId="0">
      <sharedItems count="20">
        <s v="CNELBOL"/>
        <s v="CNELEOR"/>
        <s v="CNELESM"/>
        <s v="CNELGLR"/>
        <s v="CNELGY"/>
        <s v="CNELLRS"/>
        <s v="CNELMAN"/>
        <s v="CNELMLG"/>
        <s v="CNELSTD"/>
        <s v="CNELSTE"/>
        <s v="CNELSUC"/>
        <s v="EEASA"/>
        <s v="EEAZ"/>
        <s v="EECS"/>
        <s v="EEPGSA"/>
        <s v="EEQ"/>
        <s v="EERSA"/>
        <s v="EERSSA"/>
        <s v="ELEPCO"/>
        <s v="EMELNORTE"/>
      </sharedItems>
    </cacheField>
    <cacheField name="% DE AVANCE FÍSICO PROYECTO  A Julio 2019" numFmtId="0">
      <sharedItems containsSemiMixedTypes="0" containsString="0" containsNumber="1" minValue="0" maxValue="1"/>
    </cacheField>
    <cacheField name="NOMBRE DEL PROYECTO" numFmtId="0">
      <sharedItems/>
    </cacheField>
    <cacheField name="PLAN DE INVERSIÓN" numFmtId="0">
      <sharedItems containsSemiMixedTypes="0" containsString="0" containsNumber="1" minValue="0" maxValue="4054455.1"/>
    </cacheField>
    <cacheField name="PinvAvance" numFmtId="171">
      <sharedItems containsSemiMixedTypes="0" containsString="0" containsNumber="1" minValue="0" maxValue="3945440.1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antiago Ruben Córdova Vaca" refreshedDate="43767.678021064814" createdVersion="5" refreshedVersion="5" minRefreshableVersion="3" recordCount="122">
  <cacheSource type="worksheet">
    <worksheetSource ref="B2:F124" sheet="AvFis2"/>
  </cacheSource>
  <cacheFields count="5">
    <cacheField name="Empresa" numFmtId="0">
      <sharedItems count="20">
        <s v="CNELBOL"/>
        <s v="CNELEOR"/>
        <s v="CNELESM"/>
        <s v="CNELGLR"/>
        <s v="CNELGY"/>
        <s v="CNELLRS"/>
        <s v="CNELMAN"/>
        <s v="CNELMLG"/>
        <s v="CNELSTD"/>
        <s v="CNELSTE"/>
        <s v="CNELSUC"/>
        <s v="EEASA"/>
        <s v="EEAZ"/>
        <s v="EECS"/>
        <s v="EEPGSA"/>
        <s v="EEQ"/>
        <s v="EERSA"/>
        <s v="EERSSA"/>
        <s v="ELEPCO"/>
        <s v="EMELNORTE"/>
      </sharedItems>
    </cacheField>
    <cacheField name="% DE AVANCE FÍSICO PROYECTO  A Septiembre 2019" numFmtId="0">
      <sharedItems containsSemiMixedTypes="0" containsString="0" containsNumber="1" minValue="0" maxValue="1"/>
    </cacheField>
    <cacheField name="NOMBRE DEL PROYECTO" numFmtId="0">
      <sharedItems/>
    </cacheField>
    <cacheField name="PLAN DE INVERSIÓN" numFmtId="0">
      <sharedItems containsSemiMixedTypes="0" containsString="0" containsNumber="1" minValue="13614.75" maxValue="4054455.1"/>
    </cacheField>
    <cacheField name="PinvAvance" numFmtId="171">
      <sharedItems containsSemiMixedTypes="0" containsString="0" containsNumber="1" minValue="0" maxValue="3945440.13"/>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Santiago Rubén Córdova Vaca" refreshedDate="43844.672786805553" createdVersion="4" refreshedVersion="4" minRefreshableVersion="3" recordCount="355">
  <cacheSource type="worksheet">
    <worksheetSource ref="A1:HX370" sheet="PLAN DE ADQUISICIONES BID II"/>
  </cacheSource>
  <cacheFields count="226">
    <cacheField name="UNIDAD EJECUTORA" numFmtId="0">
      <sharedItems count="22">
        <s v="CNELEOR"/>
        <s v="CNELSTD"/>
        <s v="CNELSUC"/>
        <s v="EEAZ"/>
        <s v="ELEPCO"/>
        <s v="EECS"/>
        <s v="EEPGSA"/>
        <s v="EMELNORTE"/>
        <s v="EEQ"/>
        <s v="EERSA"/>
        <s v="EERSSA"/>
        <s v="CNELBOL"/>
        <s v="CNELESM"/>
        <s v="CNELGY"/>
        <s v="CNELGLR"/>
        <s v="CNELLRS"/>
        <s v="CNELMAN"/>
        <s v="CNELMLG"/>
        <s v="CNELSTE"/>
        <s v="EEASA"/>
        <s v="CNELCORP"/>
        <s v="MERNNR"/>
      </sharedItems>
    </cacheField>
    <cacheField name="TIPO DE CONTRATACIÓN" numFmtId="0">
      <sharedItems/>
    </cacheField>
    <cacheField name="No. DE COMPONENTE" numFmtId="0">
      <sharedItems count="4">
        <s v="_C1"/>
        <s v="_C2"/>
        <s v="_C3"/>
        <s v="Adm Prog"/>
      </sharedItems>
    </cacheField>
    <cacheField name="DESCRIPCIÓN COMPONENETE" numFmtId="0">
      <sharedItems/>
    </cacheField>
    <cacheField name="SUBCOMPONENTE" numFmtId="0">
      <sharedItems count="10">
        <s v="Distribución"/>
        <s v="Proyectos de instalación de dispositivos  Inteligentes en Alimentadores Primarios (Reconectadores y Reguladores)"/>
        <s v="Proyectos de automatización y adecuación de subestaciones"/>
        <s v="Subtransmisión"/>
        <s v="Fortalecimiento de procesos empresariales"/>
        <s v="Medición inteligente, en alimentadores, monitoreo y gestión de activos fijos concentrados en subestaciones y alimentadores"/>
        <s v="Proyectos de adecuación e implementación de Centros de Datos y de Control"/>
        <s v="Adm Prog"/>
        <s v="Estrategia de Capacitación"/>
        <s v=" " u="1"/>
      </sharedItems>
    </cacheField>
    <cacheField name="SUBCOMPONENTE: FISCALIZACIÓN, SUPERVISIÓN, SOCIALIZACIÓN" numFmtId="0">
      <sharedItems count="13">
        <s v="Distribución"/>
        <s v="Proyectos de instalación de dispositivos  Inteligentes en Alimentadores Primarios (Reconectadores y Reguladores)"/>
        <s v="Proyectos de automatización y adecuación de subestaciones"/>
        <s v="Subtransmisión"/>
        <s v="Fortalecimiento de procesos empresariales"/>
        <s v="Medición inteligente, en alimentadores, monitoreo y gestión de activos fijos concentrados en subestaciones y alimentadores"/>
        <s v="Proyectos de adecuación e implementación de Centros de Datos y de Control"/>
        <s v="Fiscalización"/>
        <s v="Auditorias externas"/>
        <s v="Supervisión"/>
        <s v="Socialización"/>
        <s v="Estrategia de Capacitación"/>
        <s v="Consultoria" u="1"/>
      </sharedItems>
    </cacheField>
    <cacheField name="PRESTAMO" numFmtId="0">
      <sharedItems containsBlank="1" count="3">
        <s v="3494/OC-EC"/>
        <s v="3494/CH-EC"/>
        <m u="1"/>
      </sharedItems>
    </cacheField>
    <cacheField name="PROVINCIA EN DONDE SE EJECUTA LA OBRA O SE PRESTA EL SERVICIO O SE ENTREGA EL BIEN" numFmtId="0">
      <sharedItems containsBlank="1"/>
    </cacheField>
    <cacheField name="NOMBRE DEL PROYECTO" numFmtId="0">
      <sharedItems containsBlank="1" count="188" longText="1">
        <s v=" SISTEMA DE ILUMINACIÓN DE EMERGENCIA PORTATIL"/>
        <s v=" ADQUISICIÓN DE EQUIPO DE LAVADO EN CALIENTE DE AISLADORES"/>
        <s v="ADQUISICIÓN Y MONTAJE DE RECONECTADORES, EQUIPOS DE COMUNICACIÓN E IMPLEMENTOS PARA LA INTEGRACIÓN DEL SCADA"/>
        <s v="ADQUISICIÓN DE EQUIPOS PARA SUPERVISIÓN, PRUEBAS Y CONTROL DE LA CALIDAD DE SERVICIO"/>
        <m/>
        <s v="ADQUISICIÓN DE UNA SUBESTACIÓN MÓVIL 16/20 MVA "/>
        <s v="EQUIPOS DE CALIDAD DE ENERGÍA E INGENIERÍA"/>
        <s v="ADQUISICIÓN EQUIPO TRAILER PARA LAVADO DE AISLACIÓN CON VOLTAJE Y AGUA A PRESIÓN"/>
        <s v=" ADQUISICIÓN DE UNA SUBESTACIÓN MOVIL: 16/20 MVA-69/13.8 KV"/>
        <s v="ADQUISICION DE PARARRAYOS 69 KV"/>
        <s v="REFORZAMIENTO DEL ÁREA TÉCNICA: LICENCIAS DE CONFIABILIDAD Y UBICACIÓN DE RECONECTADORES."/>
        <s v="PROVISIÓN, INSTALACIÓN E INTEGRACIÓN DE MEDIDORES PARA LA REDUCCIÓN DE PÉRDIDAS NO TÉCNICAS"/>
        <s v="ADQUISICIÓN E INSTALACIÓN DE RECONECTADORES PARA PROTECCIÓN Y CONTROL DE ALIMENTADORES RURALES DE DIDIS Y DIMS (ALIMENTADORES 1522, 1523, 1821, 2111, 2112, 2113, 2211, 2212, 2311, 2312, 0525, 0521, 1424 )"/>
        <s v="UNIDAD DE GESTIÓN PARA LA REDUCCIÓN DE PÉRDIDAS"/>
        <s v="CONFIGURACIÓN Y PARAMETRIZACIÓN DEL EDM DE SAP PARA INTERCAMBIAR INFORMACIÓN CON LOS MEDIDORES ESPECIALES."/>
        <s v="ACOMPAÑAMIENTO PARA EL PROCESO PRECONTRACTUAL Y CONTRACTUAL PARA LA IMPLANTACIÓN DEL AMI"/>
        <s v="ADQUISICIÓN DE TRES CARGADORES DE BATERÍAS PARA LAS SUBESTACIONES Nº 01, Nº 07, Nº 10"/>
        <s v="CONSTRUCCIÓN DE LA LÍNEA DE SUBTRANSMISIÓN BABAHOYO-CALUMA"/>
        <s v=" INTEGRACIÓN DE RECONECTADORES AL SCADA DE CNEL EP UN BOLÍVAR"/>
        <s v="LÍNEA DE SUBTRANSMISIÓN EL CAMBIO-EL BOSQUE"/>
        <s v="CONSTRUCCIÓN DE LA SUBESTACIÓN EL BOSQUE"/>
        <s v="ADECUACIÓN DE INFRAESTRUCTURA DE SUBESTACIONES Y CENTRO DE CONTROL PARA SISTEMA SCADA"/>
        <s v=" REPOTENCIACIÓN DE LA SUBESTACIÓN EL CAMBIO"/>
        <s v=" REFORZAMIENTO DE RED DE MEDIA TENSIÓN EN LA PARROQUIA TENGUEL"/>
        <s v="ADECUACIÓN Y EQUIPAMIENTO DEL CENTRO DE DATOS Y CENTRO DE CONTROL DE CNEL BOLIVAR PARA LA IMPLEMENTACIÓN DEL SISTEMA SCADA/OMS DMS/MWM II FASE"/>
        <s v=" CONSTRUCCIÓN DEL SISTEMA DE SUBTRANSMISIÓN PRADERA"/>
        <s v="CONSTRUCCIÓN ALIMENTADOR LA SEXTA"/>
        <s v="CONSTRUCCIÓN ALIMENTADOR PLAYA ATACAMES"/>
        <s v="HABILITACIÓN E INTEGRACIÓN DE SISTEMA DE MEDICIÓN DE SUBESTACIONES Y ALIMENTADORES AL CENTRO DE CONTROL"/>
        <s v="READECUACIONES DE OBRAS CIVILES Y COMUNICACIONES EN SUBESTACIONES Y CENTRO DE CONTROL PARA IMPLEMENTACIÓN DE SISTEMA SCADA"/>
        <s v="REPOTENCIACIÓN DE SALIDAS SUBTERRÁNEAS DE LOS ALIMENTADORES PRIMARIOS DE LAS SUBESTACIONES DE LA UNIDAD DE NEGOCIO ESMERALDAS"/>
        <s v="CONSTRUCCION DE LA SUBESTACIÓN DE REDUCCION 69/13.8 KV HUANCAVILCA (OBRAS COMPLEMENTARIAS)"/>
        <s v="CONSTRUCCION DEL TAP A 69KV PARA ENERGIZAR A LA NUEVA SUBESTACION HUANCAVILCA"/>
        <s v="CONSTRUCCIÓN DE LA SUBESTACIÓN DE REDUCCCIÓN 69/13.8KV MI LOTE (OBRAS COMPLEMENTARIAS)"/>
        <s v="CONSTRUCCIÓN DEL TAP A 69KV PARA ENERGIZAR A LA NUEVA SUBESTACIÓN MI LOTE"/>
        <s v="CONSTRUCCIÓN DE LA SUBESTACIÓN DE REDUCCCIÓN 69/13.8KV GUASMO 3 (OBRAS COMPLEMENTARIAS)"/>
        <s v="CONSTRUCCIÓN DEL TAP A 69KV PARA ENERGIZAR A LA NUEVA SUBESTACIÓN GUASMO 3"/>
        <s v=" EXTENSIÓN A LA LÍNEA DE SUBTRANSMISIÓN NUEVA PROSPERINA 2 PARA DIVIDIR LA BARRA A MAPASINGUE"/>
        <s v="CONSTRUCCIÓN DE LA ALIMENTADORA A 13.8 KV GUASMO 8"/>
        <s v="CONSTRUCCIÓN DE LA ALIMENTADORA A 13.8 KV GUASMO 9 "/>
        <s v="CONSTRUCCIÓN DE LA ALIMENTADORA A 13.8 KV GUASMO 10"/>
        <s v=" CONSTRUCCIÓN DE LA ALIMENTADORA A 13.8 KV HUANCAVILCA 3"/>
        <s v=" CONSTRUCCIÓN DE LA ALIMENTADORA A 13.8 KV MI LOTE 1"/>
        <s v="CONSTRUCCIÓN DE LA L/S/T A 69 KV PASCUALES – MANGLERO, SUMINISTRO DE MATERIALES, EQUIPOS Y MANO DE OBRA"/>
        <s v="LEVANTAMIENTO LÍNEAS DE SUBTRANSMISION CON CAMBIO DE ESTRUCTURAS"/>
        <s v="SUMINISTRO, MONTAJE DE EQUIPOS Y AMPLIACIONES MENORES PARA INTERCONEXIÓN ENTRE ALIMENTADORES DE MT DE LAS DIFERENTES SUBESTACIONES"/>
        <s v="SALIDAS DE SUBESTACION PALENQUE (4) Y REPOTENCIACION ALIMENTADOR PALENQUE"/>
        <s v="SALIDAS DE SUBESTACION VINCES"/>
        <s v="SALIDAS DE ALIMENTADORES S/E LA ERCILIA : EL GUINEO . RCTO. LA ERCILIA"/>
        <s v=" VARIANTE LINEA TRIFASICA CATARAMA - PIJULLO - POTOSI "/>
        <s v="TRIFASEAMIENTO LINEA GUARE - SAN ANTONIO"/>
        <s v="LINEA TRIFASICA PARROQUIA CARACOL - PARROQUIA LA UNION"/>
        <s v="REPOTENCIACIÓN DE LA RED DE DISTRIBUCIÓN EN LA ZONA URBANA DEL CANTON VENTANAS"/>
        <s v="TRIFASEAMIENTO LINEA HCDA- BONITA - T - LOS ANGELES - LA TABAQUERA"/>
        <s v="PROYECTO SCADA AUTOMATIZACION"/>
        <s v="REPOTENCIACIÓN DE LA INFRAESTRUCTURA CIVIL Y ELÉCTRICA DE LA S/E CHONE, 2x10-12,5 MVA (69/13,8kV)"/>
        <s v="CONSTRUCCIÓN DE LÍNEA TRIFÁSICA A 13.8 KV PARA LOS ALIMENTADORES 13.8 KV S/E JARAMIJO"/>
        <s v="MEJORAMIENTO DE LA CALIDAD DEL SERVICIO ELÉCTRICO Y CONFIABILIDAD, MEDIANTE LA REPOTENCIACIÓN DE LOS ALIMENTADORES DE DISTRIBUCIÓN DE LA S/E MANTA 3"/>
        <s v="REFORZAMIENTO DEL SISTEMA DE DISTRIBUCIÓN DEL CANTÓN MONTECRISTI, MEDIANTE LA  CONSTRUCCIÓN DE LÍNEA TRIFÁSICA A 13.8 KV DEL ALIMENTADOR 3 DE LA  S/E MONTECRISTI 2"/>
        <s v=" ADECUACIÓN DE INFRAESTRUCTURA EN LA S/E ELECTRICA MONTECRISTI 1 PARA LA IMPLEMENTACIÓN DEL SCADA"/>
        <s v="ADECUACIÓN DE INFRAESTRUCTURA DE LAS S/E LODANA PARA LA IMPLEMENTACIÓN DEL SCADA"/>
        <s v="ADECUACIÓN DE INFRAESTRUCTURA DE LAS S/E  PLAYA PRIETA  PARA LA IMPLEMENTACIÓN DEL SCADA"/>
        <s v="ADECUACIÓN DE INFRAESTRUCTURA DE LAS S/E BARRANCO COLORADO PARA LA IMPLEMENTACIÓN DEL SCADA"/>
        <s v="ADECUACIÓN DE INFRAESTRUCTURA EN LA S/E ELECTRICA MONTECRISTI 1 PARA LA IMPLEMENTACIÓN DEL SCADA"/>
        <s v="CONSTRUCCIÓN DE LA LÍNEA DE SUBTRANSMISIÓN A 69 KV EL RECREO (GLR) - LOS BANCOS - YAGUACHI. 750 MCM ACAR, 21,5  KM. CON OPGW"/>
        <s v="CONSTRUCCIÓN DE LA LÍNEA DE SUBTRANSMISIÓN A 69 KV LA TRONCAL - PUERTO INCA"/>
        <s v=" INSTALACIÓN SCADA"/>
        <s v="ADQUISICIÓN E INSTALACIÓN DE CUATRO INTERRUPTOR A 69 KV MOTORIZADO, ACCIONADO EN GRUPO, PARA INSTALAR EN POSTE, TELECONTROLADOS Y COMUNICADOS AL CENTRO DE CONTROL"/>
        <s v="REPOTENCIACIÓN DE TRANSFORMADOR DE POTENCIA DE 16/20 MVA -69/13,8 KV DE S/E PLAYAS Y SAN VICENTE"/>
        <s v=" REPOTENCIACIÓN DE DOS TRANSFORMADORES DE POTENCIA DE 10/12 MVA -69/13,8 KV S/E CHANDUY Y MANGLARALTO"/>
        <s v=" REFORZAMIENTO EN LÍNEA DE SUBTRANSMISIÓN SAN LORENZO DEL MATE-CERECITA"/>
        <s v="REFORZAMIENTO DE LÍNEAS DE SUBTRANSMISIÓN SALINAS-CHIPIPE"/>
        <s v="REPOTENCIACIÓN 3 SWITCHGEARS DE MEDIO VOLTAJE PARA ACOPLAR LOS TRANSFORMADORES A ADQUIRIR"/>
        <s v="REPOTENCIACION DEL ALIMENTADOR &quot;PROGRESO&quot; EN MEDIA TENSIÓN TRAMO SAN LORENZO-PROGRESO-SAN ANTONIO"/>
        <s v="REPOTENCIACIÓN DE 31,9 KM DE REDES ABIERTAS A PREENSAMBLADAS Y 16 TRANSFORMADORES DE DISTRIBUCIÓN POR DIVISIÓN DE CIRCUITOS -DIVISIÓN PLAYAS"/>
        <s v="ADECUACIONES PARA SCADA"/>
        <s v="ADECUACIONES SCADA PARA SECCIONADORES TRIPOLARES A 69KV "/>
        <s v="REPOTENCIACIÓN DE CENTROS DE TRANSFORMACIÓN, REDES DE BAJA Y MEDIA TENSIÓN DE LA ZONA NORTE DE MANABÍ"/>
        <s v="REPOTENCIACIÓN DE ALIMENTADOR PUEBLO NUEVO EN LA ZONA NORTE DE MANABÍ (COMPROMISO PRESIDENCIAL)"/>
        <s v="CONSTRUCCIÓN POSICIONES DE SALIDA DE S/E 11 Y RECONFIGURACIÓN ALIMENTADORES EN SANTO DOMINGO"/>
        <s v="REPOTENCIACIÓN LINEA DE SUBTRANSMISIÓN SACHA-ORELLANA "/>
        <s v="REFORZAMIENTO DE REDES RED TRIFASICA TARAPOA-LA “Y” DE CUYABENO"/>
        <s v="REFORZAMIENTO DE REDES EN EL SECTOR DE PACAYACU - LA GUARAPERA"/>
        <s v="REPOTENCIACIÓN DE LA RED DE MEDIA Y BAJA TENSIÓN ALIMENTADOR COCA 3"/>
        <s v="REFORZAMIENTO DE REDES EN  LAS COMUNIDADES AKISUYO, AKSIR, RUMPIPAMBA._x000a_"/>
        <s v="AUTOMATIZACIÓN E IMPLANTACIÓN DE LA BAHÍA A 69 KV DE LA SUBESTACIÓN JIVINO DE CELEC TRANSELECTRIC PARA MEJORAR LA CALIDAD DE SERVICIO Y LA GESTIÓN DE LA DEMANDA EN CNEL UN SUCUMBIOS"/>
        <s v="CONSTRUCCION DE SALIDAS SUBTERRANEAS DE ALIMENTADORES PRIMARIOS DE LA SUBESTACION JIVINO Y ADECUACIÓN DEL PATIO DE MANIOBRAS DE LA SUBESTACION LAGO AGRIO"/>
        <s v="ELECTRIFICACIÓN DE COOPERATIVA SIONA 2"/>
        <s v="ELECTRIFICACIÓN DE COMUNIDAD BAVURUE KANKHE"/>
        <s v="ELECTRIFICACIÓN DE NUEVA ESPERANZA"/>
        <s v=" CONSTRUCCIÓN S/E BATÁN Y LÍNEA DE S/T ASOCIADA A 69 KV"/>
        <s v="MODERNIZACIÓN DE LAS REDES ELÉCTRICAS DEL CENTRO DE LA CIUDAD DE BAÑOS"/>
        <s v="CONCLUSIÓN INTEGRACIÓN DE LOS SISTEMAS DE SUBTRANSMISIÓN DE LAS EMPRESAS AZOGUES - CENTRO SUR - CELEC EP HIDROAZOGUEZ"/>
        <s v=" POSICION DE LÍNEA PARA S/E GUAPAN UCEM EN LA S/E AZOGUES 1"/>
        <s v="REFORZAMIENTO DE REDES CALLE 19 DE MAYO (LA MANÁ)"/>
        <s v=" IMPLEMENTACIÓN DATA CENTER, CENTRO DE CONTROL Y TELECOMUNICACIÓN PARA SCADA"/>
        <s v="CAMBIO DE REDES  PARA LAS SUBESTACIONES LA MANA, LA COCHA, SALCEDO, SAN RAFAEL, SIGCHOS Y EL CALVARIO"/>
        <s v="PROVISÓN E INSTALACIÓN DE CABLES Y EQUIPOS DE COMUNICACIÓN"/>
        <s v="CONSTRUCCIÓN ENLACE TRIFÁSICO Y CAMBIO DE CONDUCTOR GUAYTACAMA TANICUCHÍ "/>
        <s v=" CONSTRUCCIÓN ENLACE TRIFÁSICO MULALO-CHINCHIL VILLAMARÍN-JOSEGUANGO BAJO"/>
        <s v=" CONSTRUCCIÓN ALIMENTADOR TRIFÁSICO SUBESTACIÓN MOVIL TANICUCHÍ-LA FLORESTA-LA FLORESTA SUR"/>
        <s v=" CONSTRUCCIÓN ENLACE ALIMENTADOR EMERGENCIA SAN MARCOS-ALAQUEZ CENTRO"/>
        <s v="CONSTRUCCIÓN ENLACE TRIFÁSICO BETHLEMITAS-PUENTE DEILLUCHI"/>
        <s v="CONSTRUCCIÓN ENLACE MONOFASICO MACALO CHICO-MACALO GRANDE Y ENLACE TRIFASICO TANICUCHI-SANTA ANA BAJO"/>
        <s v=" CONSTRUCCIÓN Y REMODELACIÓN ALIMENTADOR TRIFASICO SUBESTACIÓN MOVIL SALCEDO-CENTRO DE SALCEDO-ENLACETRIFASICO ALIMENTADOR EMPRESA ELÉCTRICA AMBATO-ALIMENTADOR NO. 3 SUBESTACIÓN SALCEDO"/>
        <s v=" CONSTRUCCIÓN ALIMENTADOR TRIFASICO SUBESTACION MOVIL SALCEDO-ANCHILIVI Y ENLACE ALIMENTADOR DE EMERGENCIA LA LAGUNA SUR-URBANIZACION SAN FRANCISCO"/>
        <s v="CONSTRUCCIÓN ENLACE MONOFASICO JOSE GUANGO BAJO-BARRANCAS Y ENLACE TRIFASICO CHUGCHILAN-EL CHAN"/>
        <s v=" CONSTRUCCIÓN DE LA LÍNEA A 69 KV TANICUCHI-SANTA ANA ALTO"/>
        <s v=" CONSTRUCCIÓN DE LA LÍNEA A 69 KV PANZALEO-PUJILÍ"/>
        <s v="REMODELACIÓN RED BARRIO MARÍA JACINTA, SAN BUENAVENTURA"/>
        <s v="REMODELACIÓN RED SECTOR ONCE DE NOVIEMBRE; POALO"/>
        <s v="REFORZAMIENTO DE RED EN SAN JOSÉ Y EL TEJAR; LA VICTORIA"/>
        <s v="REMODELACIÓN DE RED CHOSOALO; CHUGCHILAN"/>
        <s v="REFORZAMIENTO RED DE DISTRIBUCIÓN EN SAN FRANCISCO DE CHIPE UNION/PROGRESO Y SANTA ROSA DE MORASPUNGO"/>
        <s v="REMODELACIÓN RED BARRIO MIÑO SAN ANTONIO; PASTOCALLE"/>
        <s v="REFORZAMIENTO RED BARRIO SAN LUIS; MULALILLO"/>
        <s v="REM. BARRIO ALAQUEZ ORIENTE"/>
        <s v=" READECUACIÓN ALIMENTADOR CALLE MALDONADO Y MEJIA"/>
        <s v="ALIMENTADOR EXPRESO CHOTA PIMAMPIRO"/>
        <s v="CAMBIO DE REDES DE MT CONVENCIONALES A SEMIAISLADA EN ALIMENTADORES DE LAS SE CAYAMBE Y LA ESPERANZA"/>
        <s v="READECUACION DE LAS SALIDAS DE 13.8 KV SE CAYAMBE"/>
        <s v="READECUACIÓN DE RED Y AUMENTO DE POTENCIA YURACRUZ ALTO"/>
        <s v="AUTOMATIZACIÓN DE LA DISTRIBUCIÓN - CAPÍTULO SUBESTACIONES (S/ES 03, 04, 05)"/>
        <s v="AUTOMATIZACIÓN DE LA DISTRIBUCIÓN - CAPÍTULO CONTROL Y COMUNICACIONES DE ALIMENTADORES URBANOS"/>
        <s v="ADQUISICIÓN E INSTALACIÓN DE RECONECTADORES PARA PROTECCIÓN, CONTROL Y AUTOMATIZACIÓN DE LOS ALIMENTADORES URBANOS DE LA CIUDAD DE CUENCA (ALIMENTADORES 0204, 0205, 0321, 0324, 0421, 0422, 0423, 0424, 0425, 0426, 0427, 0526) Y (ALIMENTADORES 0322, 0323, 0104, 0325, 0522, 0821,0822, 0823,0824, 0721, 0722,0723)"/>
        <s v="ADQUISICIÓN, INSTALACIÓN Y PUESTA EN OPERACIÓN DE RECONECTADORES TRIFÁSICOS "/>
        <s v="ADQUISICIÓN Y MONTAJE DE REGULADORES DE VOLTAJE EN MV"/>
        <s v="READECUACIÓN DE OBRAS CIVILES EN LA SUBESTACIÓN EL CALVARIO"/>
        <s v="REPOTENCIACIÓN DEL ALIMENTADOR VOLUNTAD DE DIOS COLONIA 10 AGOSTO / LA TRONCAL."/>
        <s v="REPOTENCIACIÓN-CONSTRUCCIÓN DE LA LÍNEA TRIFASICA SECTOR SANTA ISABEL / LA TRONCAL. "/>
        <s v="REPOTENCIACIÓN DE LA RED MEDIA TENSIÓN ALIMENTADOR 5013 / LA TRONCAL."/>
        <s v="CONSTRUCCIÓN DE LA BAHÍA SUBESTACIÓN LA TRONCAL A 69KV"/>
        <s v=" IMPLEMENTACIÓN DE UN CENTRO DE DATOS PARA OPTIMIZAR LA DISPONIBILIDAD DE LOS SERVICIOS TECNOLÓGICOS DE LOS CLIENTES DE ELECGALAPAGOS S.A."/>
        <s v=" IMPLEMENTACIÓN DE UN ENLACE DE DATOS A NIVEL PROVINCIAL"/>
        <s v="REPOTENCIACIÓN DE REDES DE DISTRIBUCIÓN DEL ALIMENTADOR 2 DEL SECTOR PERIMETRAL EN SAN CRISTÓBAL"/>
        <s v="CONSTRUCCIÓN DEL NUEVO ALIMENTADOR PRIMARIO NO. 4, PARA LA ZONA URBANA DE PUERTO AYORA"/>
        <s v=" REFORZAMIENTO DE SISTEMAS DE MEDICIÓN CONCENTRADA"/>
        <s v="REFORZAMIENTO DE REDES DE MEDIO Y BAJO VOLTAJE CON REPOTENCIACION DE TRANSFORMADORES ACOMETIDAS Y MEDIDORES"/>
        <s v=" REFORZAMIENTO DE REDES DE MEDIO Y BAJO VOLTAJE CON REPOTENCIACION DE TRANSFORMADORES ACOMETIDAS Y MEDIDORES  PRIMARIO 55B"/>
        <s v=" REFORZAMIENTO DE REDES DE MEDIO Y BAJO VOLTAJE CON REPOTENCIACION DE TRANSFORMADORES ACOMETIDAS Y MEDIDORES  PRIMARIO POMASQUI 57F"/>
        <s v="REFORZAMIENTO DE REDES DE MEDIO Y BAJO VOLTAJE CON REPOTENCIACION DE TRANSFORMADORES ACOMETIDAS Y MEDIDORES PRIMARIO 58C "/>
        <s v="REFORZAMIENTO DE REDES DE MEDIO Y BAJO VOLTAJE CON REPOTENCIACION DE TRANSFORMADORES ACOMETIDAS Y MEDIDORES PRIMARIO 58D"/>
        <s v="REFORZAMIENTO DE REDES DE MEDIO Y BAJO VOLTAJE CON REPOTENCIACION DE TRANSFORMADORES ACOMETIDAS Y MEDIDORES PRIMARIO POMASQUI 57 G"/>
        <s v="REFORZAMIENTO DE REDES DE MEDIO Y BAJO VOLTAJE CON REPOTENCIACION DE TRANSFORMADORES ACOMETIDAS Y MEDIDORES PRIMARIO CONOCOTO 23C"/>
        <s v=" REPOTENCIACIÓN DE LA S/E GATAZO"/>
        <s v="REPOSICIÓN DE INTERRUPTORES DE 69 KV PARA LA SUBESTACIÓN 3 Y 8"/>
        <s v="REPOTENCIACIÓN DE LÍNEAS Y CENTROS DE TRANSFORMACIÓN COMUNIDAD GUANTUL GRANDE - FLORES"/>
        <s v="REPOTENCIACIÓN DE REDES DE DISTRIBUCIÓN COMUNIDAD TAMAUTE"/>
        <s v="REPOTENCIACIÓN DE REDES DE DISTRIBUCIÓN COMUNIDAD PUNGAL SAN PEDRO"/>
        <s v="REPOTENCIACIÓN DE REDES COMUNIDAD PUNGAL SANTA MARIANITA, LA MATRIZ"/>
        <s v="LÍNEA DE SUBTRANSMISIÓN SE VELACRUZ - SE CATACOCHA"/>
        <s v="REFORZAMIENTO DE ALIMENTADORES PRIMARIOS CON INSTALACION DE RECONECTADORES"/>
        <s v=" ADECUACIÓN DE LA POSICIÓN AMALUZA EN LA SE CARIAMANGA"/>
        <s v=" AMPLIACIÓN BARRAJE DE 22 KV DE LA S/E CUMBARATZA EN LA PROVINCIA DE LOJA ETAPA I"/>
        <s v="REPOTENCIACIÓN DE LAS REDES DE DISTRIBUCIÓN DE LA PROVINCIA DE LOJA ETAPA I"/>
        <s v="REPOTENCIACIÓN DE REDES DE DISTRIBUCIÓN EN LA PROVINCIA DE ZAMORA CHINCHIPE Y GUALAQUIZA ETAPA II"/>
        <s v="CAPACITACIÓN CYMDIST"/>
        <s v="CAPACITACIÓN DE PROTECCIONES."/>
        <s v="TALLER MODELO DE MADUREZ PARA LAS REDES ELÉCTRICAS"/>
        <s v="TALLER  EN ANALÍTICA ESPACIAL"/>
        <s v="TALLER  EN DATA ANÁLITICA  "/>
        <s v="TALLER  EN SEGURIDAD INDUSTRIAL"/>
        <s v="TALLER EN CYBERSEGURIDAD EN LA OPERACIÓN DE LA RED ELÉCTRICA"/>
        <s v="ADQUISICIÓN DE 36 COMPUTADORES PORTÁTILES, PARA LAS UNIDADES DE GESTIÓN DE LOS PROGRAMAS CON FINANCIAMIENTO BID"/>
        <s v="CAPACITACIÓN EN LA APLICACIÓN DE LAS NORMAS INTERNACIONALES DE INFORMACIÓN FINANCIERA NIIFS"/>
        <s v="REFORZAMIENTO DEL PROCESO DE OPERACIÓN A TRAVÉS DE LA PROVISÓN DE LICIENCIAS E IMPLANTACIÓN DE HERRAMIENTAS DE ANÁLISIS Y VISUALIZACIÓN DE DATOS GEOESPACIALES  EN TIEMPO REAL, RELACIONADOS CON LA CALIDAD DEL SERVICIO."/>
        <s v="TALLER DE CAPACITACIÓN EN ARQUITECTURA EMPRESARIAL, METODOLOGÍA TOGAF"/>
        <s v="TALLER DE CAPACITACIÓN  EN GESTIÓN DE PROYECTOS  DE LAS EMPRESAS ELÉCTRICAS DE DISTRIBUCIÓN"/>
        <s v="TALLER DE CAPACITACIÓN DEL MARCO NORMATIVO Y REGULATORIO DEL SECTOR ELÉCTRICO"/>
        <s v="TALLER DE CAPACITACIÓN EN PROTOCOLOS DE COMUNICACIÓN PARA LA AUTOMATIZACIÓNDE LA DISTRIBUCIÓN"/>
        <s v="TALLER PARA LA DEFINICIÓN DEL MARCO DE REFERENCIA Y ROAD MAP PARA LOS ESTÁNDARES DE INTEROPERABILIDAD DEL SECTOR DE DISTRIBUCIÓN ELÉCTRICA BAJO LA GUIA DE REFERENCIA NIST 3.0 (NATIONAL INSTITUTE OF STANDARDS AND TECHNOLOGY )"/>
        <s v="TALLER DE CAPACITACIÓN EN HERRAMIENTAS DE INTELIGENCIA DE NEGOCIOS"/>
        <s v="TALLER TEORICO PRÁCTICO DE PROTOCOLOS PARA LA INTEROPERABILIDAD DE LOS RECONECTADORES CON EL ADMS DE SCHNEIDER"/>
        <s v="TALLER CAPACITACIÓN EN GESTIÓN AMBIENTAL "/>
        <s v="TALLER DE CAPACITACION PLANIFICACIÓN DE LA DISTRIBUCIÓN"/>
        <s v="CAPACITACION &quot;VIII CITTES&quot;, PARTICIPACIÓN EN EL“VIII CONGRESO INTERNACIONAL DE TRABAJOS CON TENSION Y SEGURIDAD EN TRANSMISIÓN Y DISTRIBUCIÓN DE ENERGÍA ELÉCTRICA"/>
        <s v="CAPACITACIÓN EN LA CALIDAD DE LA ENERGÍA ELÉCTRICA"/>
        <s v="CAPACITACIONES EN GESTOR DE CONTENIDOS DE LAS EMPRESAS ELÉCTRICAS DE DISTRIBUCIÓN" u="1"/>
        <s v="ADQUISICIÓN EQUIPO PARA TRABAJO EN LINEAS ENERGIZADAS, PARA EL MEJORAMIENTO DE LA CALIDAD Y CONTINUIDAD DEL SERVICIO" u="1"/>
        <s v=" SISTEMA DE GESTIÓN DE ACTIVOS PARA REFORZAR: LA CALIDAD, CONFIABILIDAD Y CONTINUIDAD DEL SERVICIO ELÉCTRICO" u="1"/>
        <s v="CONFIGURACIÓN DEL GEF (GEOGRAPHICAL ENABLEMENT FRAMEWORK) PARA LA INTEGRACIÓN DEL CIS/CRM CON EL GIS NACIONAL PARA LA REDUCCIÓN DE PÉRDIDAS DE ENERGÍA." u="1"/>
        <s v="SISTEMA DE GESTIÓN PARA EL MEJORAMIENTO DE LA GESTIÓN ELÉCTRICA, DISMINUCIÓN DE PÉRDIDAS Y RESPUESTA A LA DEMANDA DEL SERVICIO ELÉCTRICO" u="1"/>
        <s v="REPOTENCIACIÓN SUBESTACIÓN PUJILÍ 16/20 MVA" u="1"/>
        <s v="AUTOMATIZACIÓN DE LA DISTRIBUCIÓN - CAPÍTULO ALIMENTADORES URBANOS (ALIMENTADORES 0322, 0323, 0104, 0325, 0522, 0821,0822, 0823,0824, 0721, 0722,0723)" u="1"/>
        <s v="ADQUISICIÓN E INSTALACIÓN DE RECONECTADORES PARA PROTECCIÓN, CONTROL Y AUTOMATIZACIÓN DE LOS ALIMENTADORES URBANOS DE LA CIUDAD DE CUENCA (ALIMENTADORES 0204, 0205, 0321, 0324, 0421, 0422, 0423, 0424, 0425, 0426, 0427, 0526)" u="1"/>
        <s v="CAPACITACIÓN EN TELECOMUNICACIONES PARA GESTIÓN DE LA DEMANDA Y VEHÍCULOS ELÉCTRICOS" u="1"/>
        <s v="INTERCONEXIÓN S/E TRANSELECTRIC JIVINO; APERTURA DE LA LÍNEA DE SUBTRANSMISIÓN JIVINO-LAGO AGRIO" u="1"/>
        <s v="SUBESTACIÓN MÓVIL 10/12,5 MVA (PARA MEJORAMIENTO DE LA CALIDAD DEL SERVICIO ELÉCTRICO)" u="1"/>
      </sharedItems>
    </cacheField>
    <cacheField name="No. DE PROYECTOS EN GENERAL POR DISTRIBUIDORA" numFmtId="0">
      <sharedItems containsBlank="1" containsMixedTypes="1" containsNumber="1" containsInteger="1" minValue="1" maxValue="23"/>
    </cacheField>
    <cacheField name="MODALIDAD DE CONTRATACIÓN" numFmtId="0">
      <sharedItems count="9">
        <s v="INDIVIDUAL"/>
        <s v="(CORPORATIVO 1)"/>
        <s v="(CORPORATIVO 8)"/>
        <s v="(CORPORATIVO 7)"/>
        <s v="(CORPORATIVO 4) "/>
        <s v="(CORPORATIVO 6)" u="1"/>
        <s v="(CORPORATIVO 2)" u="1"/>
        <s v="(CORPORATIVO 3)" u="1"/>
        <s v="(CORPORATIVO 5)" u="1"/>
      </sharedItems>
    </cacheField>
    <cacheField name="CÓDIGO DEL PROCESO" numFmtId="0">
      <sharedItems/>
    </cacheField>
    <cacheField name="NOMBRE DEL PROCESO" numFmtId="0">
      <sharedItems containsBlank="1" longText="1"/>
    </cacheField>
    <cacheField name="LOTES" numFmtId="0">
      <sharedItems containsBlank="1"/>
    </cacheField>
    <cacheField name="METODO DE ADQUISICIÓN" numFmtId="0">
      <sharedItems containsBlank="1"/>
    </cacheField>
    <cacheField name="REVISIÓN EX ANTE Ó EX POST" numFmtId="0">
      <sharedItems containsBlank="1"/>
    </cacheField>
    <cacheField name="ESTADO PARA REPORTE " numFmtId="166">
      <sharedItems containsBlank="1"/>
    </cacheField>
    <cacheField name="No. DE CONTRATO" numFmtId="0">
      <sharedItems containsBlank="1" containsMixedTypes="1" containsNumber="1" containsInteger="1" minValue="17395" maxValue="17395"/>
    </cacheField>
    <cacheField name="CONTRATISTA" numFmtId="0">
      <sharedItems containsBlank="1"/>
    </cacheField>
    <cacheField name="NACIONALIDAD DEL CONTRATISTA" numFmtId="0">
      <sharedItems containsBlank="1"/>
    </cacheField>
    <cacheField name="TIPO DE CONTRATISTA" numFmtId="0">
      <sharedItems containsBlank="1"/>
    </cacheField>
    <cacheField name="RUC" numFmtId="0">
      <sharedItems containsBlank="1" containsMixedTypes="1" containsNumber="1" containsInteger="1" minValue="30663530905" maxValue="13086680766001"/>
    </cacheField>
    <cacheField name="FISCALIZADOR (GESTIÓN DE EJECUCIÓN CONTRACTUAL)" numFmtId="0">
      <sharedItems containsBlank="1"/>
    </cacheField>
    <cacheField name="TELEFONO DE CONTACTO DEL FISCALIZADOR " numFmtId="0">
      <sharedItems containsBlank="1" containsMixedTypes="1" containsNumber="1" containsInteger="1" minValue="1001659232001" maxValue="1001659232001"/>
    </cacheField>
    <cacheField name="GERENTE DE OBRAS ó ADMINISTRADOR DE CONTRATO (CGC 1.1 (u)" numFmtId="0">
      <sharedItems containsBlank="1"/>
    </cacheField>
    <cacheField name="TELEFONO DE CONTACTO DEL GERENTE DE OBRAS ó ADMINISTRADOR DE CONTRATO" numFmtId="0">
      <sharedItems containsBlank="1"/>
    </cacheField>
    <cacheField name="PLAN DE INVERSIÓN: VALOR PARCIAL POR PROYECTO_x000a_(US$SIN IVA)_x000a_" numFmtId="0">
      <sharedItems containsString="0" containsBlank="1" containsNumber="1" minValue="109.09392623553198" maxValue="1111857.07"/>
    </cacheField>
    <cacheField name="PLAN DE INVERSIÓN: VALOR TOTAL POR PROYECTO_x000a_(US$SIN IVA)_x000a_" numFmtId="44">
      <sharedItems containsString="0" containsBlank="1" containsNumber="1" minValue="0" maxValue="8073900"/>
    </cacheField>
    <cacheField name="PLAN DE ADQUISICIÓN: VALOR POR LOTE_x000a_(US$SIN IVA)_x000a_" numFmtId="44">
      <sharedItems containsString="0" containsBlank="1" containsNumber="1" minValue="0" maxValue="1574528.37"/>
    </cacheField>
    <cacheField name="MONTO SIN IVA (USD) FINANCIAMIENTO RECURSOS BID" numFmtId="44">
      <sharedItems containsBlank="1" containsMixedTypes="1" containsNumber="1" minValue="0" maxValue="8073900"/>
    </cacheField>
    <cacheField name="MONTO SIN IVA (USD) FINANCIAMIENTO RECURSOS PROPIOS " numFmtId="44">
      <sharedItems containsString="0" containsBlank="1" containsNumber="1" minValue="0" maxValue="511761.88"/>
    </cacheField>
    <cacheField name="PLAN DE ADQUISICIÓN:  VALOR TOTAL DEL PROCESO (US$ SIN IVA)" numFmtId="44">
      <sharedItems containsBlank="1" containsMixedTypes="1" containsNumber="1" minValue="0" maxValue="8073900"/>
    </cacheField>
    <cacheField name="PLAN DE ADQUISICIÓN: % DE  IVA" numFmtId="9">
      <sharedItems containsString="0" containsBlank="1" containsNumber="1" minValue="0.12" maxValue="0.12"/>
    </cacheField>
    <cacheField name="PLAN DE ADQUISICIÓN:  VALOR  DE IVA (RECURSOS FISCALES)" numFmtId="44">
      <sharedItems containsBlank="1" containsMixedTypes="1" containsNumber="1" minValue="0" maxValue="968868"/>
    </cacheField>
    <cacheField name="PLAN DE ADQUISICIÓN:  VALOR  DE IVA (RECURSOS PROPIOS)" numFmtId="44">
      <sharedItems containsString="0" containsBlank="1" containsNumber="1" minValue="0" maxValue="197695.84"/>
    </cacheField>
    <cacheField name="PLAN DE ADQUISICIÓN: VALOR CON IVA" numFmtId="44">
      <sharedItems containsBlank="1" containsMixedTypes="1" containsNumber="1" minValue="0" maxValue="9042768"/>
    </cacheField>
    <cacheField name="Valor liquidado_x000a_USD (sin IVA)" numFmtId="0">
      <sharedItems containsString="0" containsBlank="1" containsNumber="1" minValue="0" maxValue="2870863.3000000003"/>
    </cacheField>
    <cacheField name="Saldo" numFmtId="0">
      <sharedItems containsBlank="1" containsMixedTypes="1" containsNumber="1" minValue="-42186.660000000033" maxValue="395748.55000000005"/>
    </cacheField>
    <cacheField name="Posible saldo_x000a_julio2019" numFmtId="0">
      <sharedItems containsString="0" containsBlank="1" containsNumber="1" minValue="3005.5999999999985" maxValue="93826"/>
    </cacheField>
    <cacheField name=" PUBLICADO EN EL DDL: VALOR POR LOTE  (US$SIN IVA)" numFmtId="0">
      <sharedItems containsString="0" containsBlank="1" containsNumber="1" minValue="10087.719999999999" maxValue="1111857.07"/>
    </cacheField>
    <cacheField name=" PUBLICADO EN EL DDL: VALOR TOTAL _x000a_(US$ SIN IVA)" numFmtId="44">
      <sharedItems containsBlank="1" containsMixedTypes="1" containsNumber="1" minValue="0" maxValue="3807500"/>
    </cacheField>
    <cacheField name="ADJUDICADO - CONTRATADO: VALOR POR LOTE _x000a_(US$ SIN IVA)" numFmtId="44">
      <sharedItems containsString="0" containsBlank="1" containsNumber="1" minValue="810.54" maxValue="770149.21"/>
    </cacheField>
    <cacheField name="ADJUDICADO - CONTRATADO:_x000a_VALOR TOTAL _x000a_(US$ SIN IVA)" numFmtId="0">
      <sharedItems containsString="0" containsBlank="1" containsNumber="1" minValue="0" maxValue="3623242.63"/>
    </cacheField>
    <cacheField name="ADJUDICADO - CONTRATADO: % DE IVA" numFmtId="0">
      <sharedItems containsString="0" containsBlank="1" containsNumber="1" minValue="0.12" maxValue="0.14000000000000001"/>
    </cacheField>
    <cacheField name="ADJUDICADO - CONTRATADO: VALOR DE IVA" numFmtId="0">
      <sharedItems containsString="0" containsBlank="1" containsNumber="1" minValue="390.72600000000006" maxValue="507253.96820000006"/>
    </cacheField>
    <cacheField name="_x000a_ADJUDICADO - CONTRATADO: VALOR (US$ CON  IVA)" numFmtId="44">
      <sharedItems containsString="0" containsBlank="1" containsNumber="1" minValue="0" maxValue="4130496.5981999994"/>
    </cacheField>
    <cacheField name="RUBROS NUEVOS (FECHA)" numFmtId="0">
      <sharedItems containsDate="1" containsBlank="1" containsMixedTypes="1" minDate="1900-01-02T13:25:05" maxDate="2016-10-19T00:00:00"/>
    </cacheField>
    <cacheField name="RUBROS NUEVOS (%)" numFmtId="0">
      <sharedItems containsBlank="1" containsMixedTypes="1" containsNumber="1" minValue="3.4299999999999997E-2" maxValue="3.4299999999999997E-2"/>
    </cacheField>
    <cacheField name="RUBROS NUEVOS (VALOR)" numFmtId="0">
      <sharedItems containsString="0" containsBlank="1" containsNumber="1" minValue="8683.0399999999991" maxValue="358672.77000000014"/>
    </cacheField>
    <cacheField name="DIFERENCIA DE CANTIDADES DE OBRAS (FECHA)" numFmtId="0">
      <sharedItems containsString="0" containsBlank="1" containsNumber="1" containsInteger="1" minValue="0" maxValue="0"/>
    </cacheField>
    <cacheField name="DIFERENCIA DE CANTIDADES DE OBRA (%)" numFmtId="0">
      <sharedItems containsNonDate="0" containsString="0" containsBlank="1"/>
    </cacheField>
    <cacheField name="DIFERENCIA DE CANTIDADES DE OBRA  (VALOR)" numFmtId="0">
      <sharedItems containsBlank="1"/>
    </cacheField>
    <cacheField name="DIFERENCIA DE CANTIDADES DE OBRA (FECHA)" numFmtId="0">
      <sharedItems containsDate="1" containsBlank="1" containsMixedTypes="1" minDate="2016-07-08T00:00:00" maxDate="2016-07-09T00:00:00"/>
    </cacheField>
    <cacheField name="CONTRATOS COMPLEMENTARIOS (%)" numFmtId="0">
      <sharedItems containsBlank="1"/>
    </cacheField>
    <cacheField name="CONTRATOS COMPLEMENTARIOS VALOR CON CARGO AL CRÉDITO (SIN IVA)" numFmtId="0">
      <sharedItems containsString="0" containsBlank="1" containsNumber="1" minValue="6150" maxValue="165673.32"/>
    </cacheField>
    <cacheField name="CONTRATOS COMPLEMENTARIOS RECURSOS FISCALES (IVA)" numFmtId="0">
      <sharedItems containsString="0" containsBlank="1" containsNumber="1" minValue="861.00000000000011" maxValue="23194.264800000004"/>
    </cacheField>
    <cacheField name="CONTRATOS COMPLEMENTARIOS (VALOR)" numFmtId="0">
      <sharedItems containsString="0" containsBlank="1" containsNumber="1" minValue="9800" maxValue="552294.16"/>
    </cacheField>
    <cacheField name="SALDO (INVERSIÓN - CONTRATADO)" numFmtId="0">
      <sharedItems containsString="0" containsBlank="1" containsNumber="1" minValue="-81635.900000000023" maxValue="916884.0700000003"/>
    </cacheField>
    <cacheField name="SALDO CONSIDERANDO (COMPLEMENTARIOS)" numFmtId="0">
      <sharedItems containsString="0" containsBlank="1" containsNumber="1" minValue="-511761.88000000024" maxValue="916884.0700000003"/>
    </cacheField>
    <cacheField name="CRONOGRAMA QUE RIGE " numFmtId="0">
      <sharedItems containsBlank="1"/>
    </cacheField>
    <cacheField name="NO OBJECIÓN DEL BID AL DDL" numFmtId="0">
      <sharedItems containsDate="1" containsBlank="1" containsMixedTypes="1" minDate="2016-03-11T00:00:00" maxDate="2019-06-25T00:00:00"/>
    </cacheField>
    <cacheField name="PUBLICACIÓN EN EL UNDB" numFmtId="0">
      <sharedItems containsDate="1" containsBlank="1" containsMixedTypes="1" minDate="2016-03-15T00:00:00" maxDate="2019-09-10T00:00:00"/>
    </cacheField>
    <cacheField name="INVITACIÓN EXPRESIONES DE INTERES (SOLO PARA CONSULTORIA INDIVIDUALES)" numFmtId="0">
      <sharedItems containsDate="1" containsBlank="1" containsMixedTypes="1" minDate="2017-02-13T00:00:00" maxDate="2017-03-28T00:00:00"/>
    </cacheField>
    <cacheField name="RECECPCIÓN DE MANIFESTACIONES DE INTERES (SOLO PARA CONSULTORIA INDIVIDUALES)" numFmtId="0">
      <sharedItems containsDate="1" containsBlank="1" containsMixedTypes="1" minDate="2017-02-17T00:00:00" maxDate="2017-04-18T00:00:00"/>
    </cacheField>
    <cacheField name="CALIFICACIÓN DE CONSULTORRES (SOLO PARA CONSULTORIA INDIVIDUALES)" numFmtId="0">
      <sharedItems containsDate="1" containsBlank="1" containsMixedTypes="1" minDate="2017-04-19T00:00:00" maxDate="2017-04-20T00:00:00"/>
    </cacheField>
    <cacheField name="PUBLICACIÓN DE PROCESO" numFmtId="0">
      <sharedItems containsDate="1" containsBlank="1" containsMixedTypes="1" minDate="2015-07-15T00:00:00" maxDate="2019-09-10T00:00:00"/>
    </cacheField>
    <cacheField name="LIMITE PARA EFECTUAR PREGUNTAS/ ACLARACIONES" numFmtId="0">
      <sharedItems containsDate="1" containsBlank="1" containsMixedTypes="1" minDate="2015-07-27T00:00:00" maxDate="2019-10-25T00:00:00"/>
    </cacheField>
    <cacheField name="LIMITE PARA EMITIR RESPUESTA" numFmtId="0">
      <sharedItems containsDate="1" containsBlank="1" containsMixedTypes="1" minDate="2015-07-30T00:00:00" maxDate="2018-06-22T00:00:00"/>
    </cacheField>
    <cacheField name="RECEPCIÓN Y APERTURA DE OFERTA" numFmtId="0">
      <sharedItems containsNonDate="0" containsDate="1" containsString="0" containsBlank="1" minDate="2015-08-18T00:00:00" maxDate="2019-11-09T00:00:00"/>
    </cacheField>
    <cacheField name="NUEVO PLAZO PARA RECEPCIÓN Y APERTURA DE OFERTA SEGÚN BOLETIN DE ENMIENDAS " numFmtId="0">
      <sharedItems containsDate="1" containsBlank="1" containsMixedTypes="1" minDate="2016-10-10T00:00:00" maxDate="2016-10-11T00:00:00"/>
    </cacheField>
    <cacheField name="CALIFICACIÓN LIMITE DE PARTICIPANTES" numFmtId="0">
      <sharedItems containsDate="1" containsBlank="1" containsMixedTypes="1" minDate="2015-08-31T00:00:00" maxDate="2019-12-10T00:00:00"/>
    </cacheField>
    <cacheField name="FECHA ESTIMADA DE ADJUDICACIÓN" numFmtId="0">
      <sharedItems containsDate="1" containsBlank="1" containsMixedTypes="1" minDate="2015-09-01T00:00:00" maxDate="2020-01-09T00:00:00"/>
    </cacheField>
    <cacheField name="FISCALIZACIONES INFORME DE CALIFICACIÓN DE OFERTAS" numFmtId="0">
      <sharedItems containsDate="1" containsBlank="1" containsMixedTypes="1" minDate="2015-12-01T00:00:00" maxDate="2016-12-02T00:00:00"/>
    </cacheField>
    <cacheField name="FISCALIZACIONES AUTORIZACIÓN DE GERENCIA" numFmtId="0">
      <sharedItems containsDate="1" containsBlank="1" containsMixedTypes="1" minDate="2015-12-15T00:00:00" maxDate="2015-12-16T00:00:00"/>
    </cacheField>
    <cacheField name="NO OBJECIÓN DEL BID AL INFORME DE EVALUACIÓN Y RECOMENDACIÓN DE ADJUDICACIÓN" numFmtId="0">
      <sharedItems containsDate="1" containsBlank="1" containsMixedTypes="1" minDate="2016-09-09T00:00:00" maxDate="2017-11-18T00:00:00"/>
    </cacheField>
    <cacheField name="FECHA REAL DE RESOLUCIÓN DE ADJUDICACIÓN" numFmtId="0">
      <sharedItems containsDate="1" containsBlank="1" containsMixedTypes="1" minDate="2015-09-11T00:00:00" maxDate="2019-09-05T00:00:00"/>
    </cacheField>
    <cacheField name="FECHA DECLARATORIA DE PROCESO DESIERTO" numFmtId="0">
      <sharedItems containsDate="1" containsBlank="1" containsMixedTypes="1" minDate="2016-05-03T00:00:00" maxDate="2017-02-16T00:00:00"/>
    </cacheField>
    <cacheField name="NOTIFICACIÓN DE ADJUDICACÓN / CARTA DE ACEPTACIÓN" numFmtId="0">
      <sharedItems containsDate="1" containsBlank="1" containsMixedTypes="1" minDate="2015-10-14T00:00:00" maxDate="2018-02-20T00:00:00"/>
    </cacheField>
    <cacheField name="FIRMA DE CONTRATO" numFmtId="0">
      <sharedItems containsDate="1" containsBlank="1" containsMixedTypes="1" minDate="2015-11-05T00:00:00" maxDate="2020-01-24T00:00:00"/>
    </cacheField>
    <cacheField name="SOLICITUD DEL REGISTRO PRISM" numFmtId="0">
      <sharedItems containsDate="1" containsBlank="1" containsMixedTypes="1" minDate="2016-01-26T00:00:00" maxDate="2016-01-27T00:00:00"/>
    </cacheField>
    <cacheField name="CAN-CEC / Y FECHA DE REGISTRO PRISM" numFmtId="0">
      <sharedItems containsBlank="1"/>
    </cacheField>
    <cacheField name="CODIGO PRISM" numFmtId="0">
      <sharedItems containsBlank="1"/>
    </cacheField>
    <cacheField name="DESIGNACIÓN DEL COMITÉ DE EVALUACIÓN" numFmtId="0">
      <sharedItems containsBlank="1"/>
    </cacheField>
    <cacheField name="DDLS (PLIEGO)" numFmtId="0">
      <sharedItems containsBlank="1"/>
    </cacheField>
    <cacheField name="PUBLICACIÓN EN  UN MEDIO DE PRENSA A NIVEL NACIONAL" numFmtId="0">
      <sharedItems containsDate="1" containsBlank="1" containsMixedTypes="1" minDate="2019-09-09T00:00:00" maxDate="2019-11-14T00:00:00"/>
    </cacheField>
    <cacheField name="SOLICITUD DE ACLARACIONES POR PARTE DE OFERENTES" numFmtId="0">
      <sharedItems containsBlank="1"/>
    </cacheField>
    <cacheField name="RESPUESTAS A LAS SOLICITUDES DE ACLARACIONES DE  PROPONENTES" numFmtId="0">
      <sharedItems containsBlank="1"/>
    </cacheField>
    <cacheField name="BOLETÍN DE ENMIENDAS" numFmtId="0">
      <sharedItems containsBlank="1"/>
    </cacheField>
    <cacheField name="ACTA DE PRESENTACION DE OFERTAS" numFmtId="0">
      <sharedItems containsBlank="1"/>
    </cacheField>
    <cacheField name="ACTA DE APERTURA DE OFERTAS" numFmtId="0">
      <sharedItems containsBlank="1"/>
    </cacheField>
    <cacheField name="ACTA DE ACLARACIONES" numFmtId="0">
      <sharedItems containsBlank="1"/>
    </cacheField>
    <cacheField name="INFORME DE EVALUACIÓN FINAL DE OFERTAS TÉNICAS Y ECONÓMICAS" numFmtId="0">
      <sharedItems containsBlank="1"/>
    </cacheField>
    <cacheField name="RESOLUCIÓN DE ADJUDICACIÓN" numFmtId="0">
      <sharedItems containsDate="1" containsBlank="1" containsMixedTypes="1" minDate="2017-10-04T00:00:00" maxDate="2017-10-05T00:00:00"/>
    </cacheField>
    <cacheField name="RESOLUCIÓN DECLARATORIA DE DESIERTO" numFmtId="0">
      <sharedItems containsBlank="1"/>
    </cacheField>
    <cacheField name="COMUNICACIÓN DE ADJUDICACIÓN A LOS PROPONENTES (CON ACUSE RECIBO)" numFmtId="0">
      <sharedItems containsBlank="1"/>
    </cacheField>
    <cacheField name="CONTRATO SUSCRITO FIRMADO Y DOCUMENTOS REQUERIDOS" numFmtId="0">
      <sharedItems containsDate="1" containsBlank="1" containsMixedTypes="1" minDate="2017-11-21T00:00:00" maxDate="2017-11-22T00:00:00"/>
    </cacheField>
    <cacheField name="NOTA DE ASIGNACIÓN DEL No. PRISM" numFmtId="0">
      <sharedItems containsBlank="1"/>
    </cacheField>
    <cacheField name="FONDO DE REPARO PREVISTO EN EL DDL (CGC 48.1)" numFmtId="0">
      <sharedItems containsBlank="1"/>
    </cacheField>
    <cacheField name="% FONDO DE REPARO" numFmtId="0">
      <sharedItems containsBlank="1" containsMixedTypes="1" containsNumber="1" minValue="0" maxValue="0.1"/>
    </cacheField>
    <cacheField name="FECHA DE ENTREGA DEL ANTICIPO" numFmtId="0">
      <sharedItems containsDate="1" containsBlank="1" containsMixedTypes="1" minDate="2015-12-09T00:00:00" maxDate="2019-12-02T00:00:00"/>
    </cacheField>
    <cacheField name="VALOR DEL ANTICIPO" numFmtId="0">
      <sharedItems containsString="0" containsBlank="1" containsNumber="1" minValue="0" maxValue="1811621.3149999999"/>
    </cacheField>
    <cacheField name="CONCEPTO DEL DESEMBOLSO O PAGO" numFmtId="0">
      <sharedItems containsBlank="1"/>
    </cacheField>
    <cacheField name="FECHA PAGO 1" numFmtId="0">
      <sharedItems containsNonDate="0" containsDate="1" containsString="0" containsBlank="1" minDate="2016-02-11T00:00:00" maxDate="2018-01-17T00:00:00"/>
    </cacheField>
    <cacheField name="VALOR PAGO 1" numFmtId="0">
      <sharedItems containsString="0" containsBlank="1" containsNumber="1" minValue="877.89" maxValue="511840.23"/>
    </cacheField>
    <cacheField name="CONCEPTO DEL DESEMBOLSO O PAGO2" numFmtId="0">
      <sharedItems containsBlank="1"/>
    </cacheField>
    <cacheField name="FECHA PAGO 2" numFmtId="0">
      <sharedItems containsNonDate="0" containsDate="1" containsString="0" containsBlank="1" minDate="2016-04-11T00:00:00" maxDate="2018-02-08T00:00:00"/>
    </cacheField>
    <cacheField name="VALOR PAGO 2" numFmtId="0">
      <sharedItems containsString="0" containsBlank="1" containsNumber="1" minValue="877.89" maxValue="511840.22"/>
    </cacheField>
    <cacheField name="CONCEPTO DEL DESEMBOLSO O PAGO3" numFmtId="0">
      <sharedItems containsBlank="1"/>
    </cacheField>
    <cacheField name="FECHA DE PAGO 3" numFmtId="0">
      <sharedItems containsNonDate="0" containsDate="1" containsString="0" containsBlank="1" minDate="2016-01-09T00:00:00" maxDate="2017-05-18T00:00:00"/>
    </cacheField>
    <cacheField name="VALOR PAGO 3" numFmtId="0">
      <sharedItems containsString="0" containsBlank="1" containsNumber="1" minValue="877.88" maxValue="112005.6"/>
    </cacheField>
    <cacheField name="CONCEPTO DEL DESEMBOLSO O PAGO4" numFmtId="0">
      <sharedItems containsBlank="1"/>
    </cacheField>
    <cacheField name="FECHA DE PAGO 4" numFmtId="0">
      <sharedItems containsNonDate="0" containsDate="1" containsString="0" containsBlank="1" minDate="2016-08-10T00:00:00" maxDate="2017-05-24T00:00:00"/>
    </cacheField>
    <cacheField name="VALOR PAGO 4" numFmtId="0">
      <sharedItems containsString="0" containsBlank="1" containsNumber="1" minValue="626.30999999999995" maxValue="130925.80999999998"/>
    </cacheField>
    <cacheField name="CONCEPTO DEL DESEMBOLSO O PAGO5" numFmtId="0">
      <sharedItems containsBlank="1"/>
    </cacheField>
    <cacheField name="FECHA DE PAGO 5" numFmtId="0">
      <sharedItems containsNonDate="0" containsDate="1" containsString="0" containsBlank="1" minDate="2016-09-07T00:00:00" maxDate="2017-06-01T00:00:00"/>
    </cacheField>
    <cacheField name="VALOR PAGO 5" numFmtId="0">
      <sharedItems containsString="0" containsBlank="1" containsNumber="1" minValue="1540" maxValue="38788.14"/>
    </cacheField>
    <cacheField name="CONCEPTO DEL DESEMBOLSO O PAGO6" numFmtId="0">
      <sharedItems containsBlank="1"/>
    </cacheField>
    <cacheField name="FECHA DE PAGO 6" numFmtId="0">
      <sharedItems containsNonDate="0" containsDate="1" containsString="0" containsBlank="1" minDate="2016-10-10T00:00:00" maxDate="2017-05-30T00:00:00"/>
    </cacheField>
    <cacheField name="VALOR PAGO 6" numFmtId="0">
      <sharedItems containsString="0" containsBlank="1" containsNumber="1" minValue="1755.77" maxValue="23464.829999999998"/>
    </cacheField>
    <cacheField name="CONCEPTO DEL DESEMBOLSO O PAGO7" numFmtId="0">
      <sharedItems containsBlank="1"/>
    </cacheField>
    <cacheField name="FECHA DE PAGO 7" numFmtId="0">
      <sharedItems containsNonDate="0" containsDate="1" containsString="0" containsBlank="1" minDate="2016-11-16T00:00:00" maxDate="2017-06-01T00:00:00"/>
    </cacheField>
    <cacheField name="VALOR PAGO 7" numFmtId="0">
      <sharedItems containsString="0" containsBlank="1" containsNumber="1" minValue="1755.77" maxValue="15436.940000000002"/>
    </cacheField>
    <cacheField name="CONCEPTO DEL DESEMBOLSO O PAGO8" numFmtId="0">
      <sharedItems containsBlank="1"/>
    </cacheField>
    <cacheField name="FECHA DE PAGO 8" numFmtId="0">
      <sharedItems containsNonDate="0" containsDate="1" containsString="0" containsBlank="1" minDate="2016-12-13T00:00:00" maxDate="2017-05-11T00:00:00"/>
    </cacheField>
    <cacheField name="VALOR PAGO 8" numFmtId="0">
      <sharedItems containsString="0" containsBlank="1" containsNumber="1" minValue="1755.77" maxValue="17556.16"/>
    </cacheField>
    <cacheField name="CONCEPTO DEL DESEMBOLSO O PAGO9" numFmtId="0">
      <sharedItems containsBlank="1"/>
    </cacheField>
    <cacheField name="FECHA DE PAGO FINAL" numFmtId="0">
      <sharedItems containsNonDate="0" containsDate="1" containsString="0" containsBlank="1" minDate="2016-12-09T00:00:00" maxDate="2017-02-25T00:00:00"/>
    </cacheField>
    <cacheField name="VALOR PAGO FINAL" numFmtId="0">
      <sharedItems containsString="0" containsBlank="1" containsNumber="1" minValue="2048.4499999999998" maxValue="23433.84"/>
    </cacheField>
    <cacheField name="TOTAL PAGOS" numFmtId="0">
      <sharedItems containsString="0" containsBlank="1" containsNumber="1" minValue="0" maxValue="2303281.0099999998"/>
    </cacheField>
    <cacheField name="A DICIEMBRE  (2016)" numFmtId="0">
      <sharedItems containsString="0" containsBlank="1" containsNumber="1" minValue="8589.2800000000007" maxValue="474820.23"/>
    </cacheField>
    <cacheField name="A ENERO (2017)" numFmtId="0">
      <sharedItems containsString="0" containsBlank="1" containsNumber="1" minValue="36289.550000000003" maxValue="395784"/>
    </cacheField>
    <cacheField name="A JUNIO (2017)" numFmtId="0">
      <sharedItems containsString="0" containsBlank="1" containsNumber="1" minValue="36289.550000000003" maxValue="385439.745"/>
    </cacheField>
    <cacheField name="A DICIEMBRE (2017)" numFmtId="0">
      <sharedItems containsString="0" containsBlank="1" containsNumber="1" minValue="67026.820000000007" maxValue="67026.820000000007"/>
    </cacheField>
    <cacheField name="PROYECCIÓN 2018" numFmtId="0">
      <sharedItems containsNonDate="0" containsString="0" containsBlank="1"/>
    </cacheField>
    <cacheField name="TOTAL PAGOS (REALES + PROYECTADOS)" numFmtId="0">
      <sharedItems containsString="0" containsBlank="1" containsNumber="1" minValue="24460.92" maxValue="2288867.5100000002"/>
    </cacheField>
    <cacheField name="COMPROBACION" numFmtId="0">
      <sharedItems containsString="0" containsBlank="1" containsNumber="1" minValue="-140791.45000000001" maxValue="90067.500000000466"/>
    </cacheField>
    <cacheField name="PLAZO DE EJECUCIÓN DEL CONTRATO EN DIAS" numFmtId="0">
      <sharedItems containsBlank="1" containsMixedTypes="1" containsNumber="1" containsInteger="1" minValue="10" maxValue="450"/>
    </cacheField>
    <cacheField name="PLAZO DE INICIO CONTADO DESDE:" numFmtId="0">
      <sharedItems containsBlank="1"/>
    </cacheField>
    <cacheField name="INICIO DEL PLAZO CONTRACTUAL" numFmtId="0">
      <sharedItems containsDate="1" containsBlank="1" containsMixedTypes="1" minDate="2015-12-10T00:00:00" maxDate="2018-03-22T00:00:00"/>
    </cacheField>
    <cacheField name="FECHA PARA LA  FINALIZACIÓN DEL CONTRATO" numFmtId="0">
      <sharedItems containsDate="1" containsBlank="1" containsMixedTypes="1" minDate="2016-04-14T00:00:00" maxDate="2018-12-17T00:00:00"/>
    </cacheField>
    <cacheField name="FECHA DE PRORROGAS DE PLAZO" numFmtId="0">
      <sharedItems containsDate="1" containsBlank="1" containsMixedTypes="1" minDate="2016-09-07T00:00:00" maxDate="2016-09-08T00:00:00"/>
    </cacheField>
    <cacheField name="PRORROGAS DE PLAZO" numFmtId="0">
      <sharedItems containsBlank="1" containsMixedTypes="1" containsNumber="1" containsInteger="1" minValue="14" maxValue="152"/>
    </cacheField>
    <cacheField name="NUEVA FECHA ESTIMADA PARA LA  FINALIZACIÓN DEL CONTRATO" numFmtId="0">
      <sharedItems containsDate="1" containsBlank="1" containsMixedTypes="1" minDate="2016-10-07T00:00:00" maxDate="2017-02-16T00:00:00"/>
    </cacheField>
    <cacheField name="No.SUSPENSIÓN" numFmtId="0">
      <sharedItems containsString="0" containsBlank="1" containsNumber="1" containsInteger="1" minValue="1" maxValue="1"/>
    </cacheField>
    <cacheField name="SUSPENSIÓN DEL PLAZO CONTRACTUAL" numFmtId="0">
      <sharedItems containsNonDate="0" containsDate="1" containsString="0" containsBlank="1" minDate="2016-11-28T00:00:00" maxDate="2016-12-23T00:00:00"/>
    </cacheField>
    <cacheField name="REINICIO DEL PLAZO CONTRACTUAL" numFmtId="0">
      <sharedItems containsNonDate="0" containsDate="1" containsString="0" containsBlank="1" minDate="2017-01-24T00:00:00" maxDate="2017-05-26T00:00:00"/>
    </cacheField>
    <cacheField name="NÚMERO DE DÍAS DE SUSPENSIÓN DEL CONTRATO" numFmtId="0">
      <sharedItems containsString="0" containsBlank="1" containsNumber="1" containsInteger="1" minValue="57" maxValue="154"/>
    </cacheField>
    <cacheField name="No.SUSPENSIÓN2" numFmtId="0">
      <sharedItems containsString="0" containsBlank="1" containsNumber="1" containsInteger="1" minValue="2" maxValue="2"/>
    </cacheField>
    <cacheField name="SUSPENSIÓN DEL PLAZO CONTRACTUAL2" numFmtId="0">
      <sharedItems containsNonDate="0" containsDate="1" containsString="0" containsBlank="1" minDate="2017-02-18T00:00:00" maxDate="2017-02-19T00:00:00"/>
    </cacheField>
    <cacheField name="REINICIO DEL PLAZO CONTRACTUAL2" numFmtId="0">
      <sharedItems containsNonDate="0" containsDate="1" containsString="0" containsBlank="1" minDate="2017-04-03T00:00:00" maxDate="2017-04-04T00:00:00"/>
    </cacheField>
    <cacheField name="NÚMERO DE DÍAS DE SUSPENSIÓN DEL CONTRATO2" numFmtId="0">
      <sharedItems containsString="0" containsBlank="1" containsNumber="1" containsInteger="1" minValue="44" maxValue="44"/>
    </cacheField>
    <cacheField name="No.SUSPENSIÓN3" numFmtId="0">
      <sharedItems containsString="0" containsBlank="1" containsNumber="1" containsInteger="1" minValue="3" maxValue="3"/>
    </cacheField>
    <cacheField name="SUSPENSIÓN DEL PLAZO CONTRACTUAL3" numFmtId="0">
      <sharedItems containsDate="1" containsBlank="1" containsMixedTypes="1" minDate="2016-06-14T00:00:00" maxDate="2017-08-16T00:00:00"/>
    </cacheField>
    <cacheField name="REINICIO DEL PLAZO CONTRACTUAL3" numFmtId="0">
      <sharedItems containsDate="1" containsBlank="1" containsMixedTypes="1" minDate="2016-08-29T00:00:00" maxDate="2017-09-24T00:00:00"/>
    </cacheField>
    <cacheField name="NÚMERO DE DÍAS DE SUSPENSIÓN DEL CONTRATO3" numFmtId="0">
      <sharedItems containsString="0" containsBlank="1" containsNumber="1" containsInteger="1" minValue="39" maxValue="39"/>
    </cacheField>
    <cacheField name="No.SUSPENSIÓN4" numFmtId="0">
      <sharedItems containsString="0" containsBlank="1" containsNumber="1" containsInteger="1" minValue="4" maxValue="4"/>
    </cacheField>
    <cacheField name="SUSPENSIÓN DEL PLAZO CONTRACTUAL4" numFmtId="0">
      <sharedItems containsNonDate="0" containsDate="1" containsString="0" containsBlank="1" minDate="2017-11-25T00:00:00" maxDate="2017-11-26T00:00:00"/>
    </cacheField>
    <cacheField name="REINICIO DEL PLAZO CONTRACTUAL4" numFmtId="0">
      <sharedItems containsNonDate="0" containsDate="1" containsString="0" containsBlank="1" minDate="2018-03-21T00:00:00" maxDate="2018-03-22T00:00:00"/>
    </cacheField>
    <cacheField name="NÚMERO DE DÍAS DE SUSPENSIÓN DEL CONTRATO4" numFmtId="0">
      <sharedItems containsString="0" containsBlank="1" containsNumber="1" containsInteger="1" minValue="116" maxValue="116"/>
    </cacheField>
    <cacheField name="TOTAL DIAS DE SUSPENSIÓN" numFmtId="0">
      <sharedItems containsString="0" containsBlank="1" containsNumber="1" containsInteger="1" minValue="256" maxValue="256"/>
    </cacheField>
    <cacheField name="FECHA REAL  DE FINALIZACIÓN DEL CONTRATO" numFmtId="0">
      <sharedItems containsNonDate="0" containsDate="1" containsString="0" containsBlank="1" minDate="2017-01-31T00:00:00" maxDate="2061-07-23T00:00:00"/>
    </cacheField>
    <cacheField name=" ENTREGA RECEPCIÓN  PROVISIONAL /INFORME PRELIMINAR" numFmtId="0">
      <sharedItems containsDate="1" containsBlank="1" containsMixedTypes="1" minDate="2016-08-24T00:00:00" maxDate="2017-06-03T00:00:00"/>
    </cacheField>
    <cacheField name="ENTREGA RECEPCIÓN DEFINITIVA / INFORME DEFINITIVO" numFmtId="0">
      <sharedItems containsDate="1" containsBlank="1" containsMixedTypes="1" minDate="2017-02-24T00:00:00" maxDate="2017-04-16T00:00:00"/>
    </cacheField>
    <cacheField name="% DE AVANCE FÍSICO PROYECTO  A ENE 2016" numFmtId="0">
      <sharedItems containsString="0" containsBlank="1" containsNumber="1" minValue="0" maxValue="1"/>
    </cacheField>
    <cacheField name="% DE AVANCE FÍSICO PROYECTO  A FEB 2016" numFmtId="0">
      <sharedItems containsString="0" containsBlank="1" containsNumber="1" minValue="0" maxValue="1"/>
    </cacheField>
    <cacheField name="% DE AVANCE FÍSICO PROYECTO  A MAR 2016" numFmtId="0">
      <sharedItems containsString="0" containsBlank="1" containsNumber="1" minValue="0" maxValue="1"/>
    </cacheField>
    <cacheField name="% DE AVANCE FÍSICO PROYECTO  A ABR 2016" numFmtId="0">
      <sharedItems containsString="0" containsBlank="1" containsNumber="1" minValue="0" maxValue="1"/>
    </cacheField>
    <cacheField name="% DE AVANCE FÍSICO PROYECTO  A MAY 2016" numFmtId="0">
      <sharedItems containsString="0" containsBlank="1" containsNumber="1" minValue="0" maxValue="1"/>
    </cacheField>
    <cacheField name="% DE AVANCE FÍSICO PROYECTO  A JUN 2016" numFmtId="0">
      <sharedItems containsString="0" containsBlank="1" containsNumber="1" minValue="0" maxValue="1"/>
    </cacheField>
    <cacheField name="% DE AVANCE FÍSICO PROYECTO  A JUL 2016" numFmtId="0">
      <sharedItems containsString="0" containsBlank="1" containsNumber="1" minValue="0" maxValue="1"/>
    </cacheField>
    <cacheField name="% DE AVANCE FÍSICO PROYECTO  A AGO 2016" numFmtId="0">
      <sharedItems containsBlank="1" containsMixedTypes="1" containsNumber="1" minValue="0" maxValue="1"/>
    </cacheField>
    <cacheField name="% DE AVANCE FÍSICO PROYECTO  A SEP 2016" numFmtId="0">
      <sharedItems containsBlank="1" containsMixedTypes="1" containsNumber="1" minValue="0" maxValue="1"/>
    </cacheField>
    <cacheField name="% DE AVANCE FÍSICO PROYECTO  A OCT 2016" numFmtId="0">
      <sharedItems containsBlank="1" containsMixedTypes="1" containsNumber="1" minValue="0" maxValue="44.4"/>
    </cacheField>
    <cacheField name="% DE AVANCE FÍSICO PROYECTO  A NOV 2016" numFmtId="0">
      <sharedItems containsBlank="1" containsMixedTypes="1" containsNumber="1" minValue="0.05" maxValue="46.4"/>
    </cacheField>
    <cacheField name="% DE AVANCE FÍSICO PROYECTO  A DIC 2016" numFmtId="0">
      <sharedItems containsBlank="1" containsMixedTypes="1" containsNumber="1" minValue="0" maxValue="62.56"/>
    </cacheField>
    <cacheField name="% DE AVANCE FÍSICO PROYECTO  A ENE 2017" numFmtId="0">
      <sharedItems containsBlank="1" containsMixedTypes="1" containsNumber="1" minValue="0" maxValue="80.09"/>
    </cacheField>
    <cacheField name="% DE AVANCE FÍSICO PROYECTO  A FEB 2017" numFmtId="0">
      <sharedItems containsBlank="1" containsMixedTypes="1" containsNumber="1" minValue="0" maxValue="1"/>
    </cacheField>
    <cacheField name="% DE AVANCE FÍSICO PROYECTO  A MAR 2017" numFmtId="0">
      <sharedItems containsString="0" containsBlank="1" containsNumber="1" minValue="0" maxValue="1"/>
    </cacheField>
    <cacheField name="% DE AVANCE FÍSICO PROYECTO  A ABR 2017" numFmtId="0">
      <sharedItems containsString="0" containsBlank="1" containsNumber="1" minValue="0" maxValue="1"/>
    </cacheField>
    <cacheField name="% DE AVANCE FÍSICO PROYECTO  A MAY 2017" numFmtId="0">
      <sharedItems containsString="0" containsBlank="1" containsNumber="1" minValue="0" maxValue="1"/>
    </cacheField>
    <cacheField name="% DE AVANCE FÍSICO PROYECTO  A JUN 2017" numFmtId="0">
      <sharedItems containsString="0" containsBlank="1" containsNumber="1" minValue="0" maxValue="1"/>
    </cacheField>
    <cacheField name="% DE AVANCE FÍSICO PROYECTO  A JUL 2017" numFmtId="0">
      <sharedItems containsString="0" containsBlank="1" containsNumber="1" minValue="0" maxValue="1"/>
    </cacheField>
    <cacheField name="% DE AVANCE FÍSICO PROYECTO  A AGO 2017" numFmtId="0">
      <sharedItems containsString="0" containsBlank="1" containsNumber="1" minValue="0" maxValue="1"/>
    </cacheField>
    <cacheField name="% DE AVANCE FÍSICO PROYECTO  A SEP 2017" numFmtId="0">
      <sharedItems containsString="0" containsBlank="1" containsNumber="1" minValue="0" maxValue="1"/>
    </cacheField>
    <cacheField name="% DE AVANCE FÍSICO PROYECTO  A OCT 2017" numFmtId="0">
      <sharedItems containsString="0" containsBlank="1" containsNumber="1" minValue="0" maxValue="1"/>
    </cacheField>
    <cacheField name="% DE AVANCE FÍSICO PROYECTO  A Junio 2018" numFmtId="9">
      <sharedItems containsString="0" containsBlank="1" containsNumber="1" minValue="0" maxValue="1"/>
    </cacheField>
    <cacheField name="% DE AVANCE FÍSICO PROYECTO  A Julio 2018" numFmtId="9">
      <sharedItems containsString="0" containsBlank="1" containsNumber="1" minValue="0" maxValue="1"/>
    </cacheField>
    <cacheField name="% DE AVANCE FÍSICO PROYECTO  A Agosto 2018" numFmtId="9">
      <sharedItems containsString="0" containsBlank="1" containsNumber="1" minValue="0" maxValue="1"/>
    </cacheField>
    <cacheField name="% DE AVANCE FÍSICO PROYECTO  A Septiembre2018" numFmtId="9">
      <sharedItems containsString="0" containsBlank="1" containsNumber="1" minValue="0" maxValue="1"/>
    </cacheField>
    <cacheField name="% DE AVANCE FÍSICO PROYECTO  A Octubre 2018" numFmtId="9">
      <sharedItems containsString="0" containsBlank="1" containsNumber="1" minValue="0" maxValue="1"/>
    </cacheField>
    <cacheField name="% DE AVANCE FÍSICO PROYECTO  A Noviembre 2018" numFmtId="9">
      <sharedItems containsString="0" containsBlank="1" containsNumber="1" minValue="0" maxValue="1"/>
    </cacheField>
    <cacheField name="% DE AVANCE FÍSICO PROYECTO  A Diciembre 2018" numFmtId="9">
      <sharedItems containsString="0" containsBlank="1" containsNumber="1" minValue="0" maxValue="1"/>
    </cacheField>
    <cacheField name="% DE AVANCE FÍSICO PROYECTO  A Enero 2019" numFmtId="9">
      <sharedItems containsString="0" containsBlank="1" containsNumber="1" minValue="0" maxValue="1"/>
    </cacheField>
    <cacheField name="% DE AVANCE FÍSICO PROYECTO  A Febrero 2019" numFmtId="9">
      <sharedItems containsString="0" containsBlank="1" containsNumber="1" minValue="0" maxValue="1"/>
    </cacheField>
    <cacheField name="% DE AVANCE FÍSICO PROYECTO  A Marzo 2019" numFmtId="9">
      <sharedItems containsString="0" containsBlank="1" containsNumber="1" minValue="0" maxValue="1"/>
    </cacheField>
    <cacheField name="% DE AVANCE FÍSICO PROYECTO  A Abril 2019" numFmtId="9">
      <sharedItems containsString="0" containsBlank="1" containsNumber="1" minValue="0" maxValue="1"/>
    </cacheField>
    <cacheField name="% DE AVANCE FÍSICO PROYECTO  A Mayo 2019" numFmtId="9">
      <sharedItems containsString="0" containsBlank="1" containsNumber="1" minValue="0" maxValue="1" count="10">
        <n v="1"/>
        <m/>
        <n v="0"/>
        <n v="0.44"/>
        <n v="0.77"/>
        <n v="0.95"/>
        <n v="0.65"/>
        <n v="0.71"/>
        <n v="0.99529999999999996"/>
        <n v="0.2" u="1"/>
      </sharedItems>
    </cacheField>
    <cacheField name="% DE AVANCE FÍSICO PROYECTO  A Junio 2019" numFmtId="9">
      <sharedItems containsString="0" containsBlank="1" containsNumber="1" minValue="0" maxValue="1"/>
    </cacheField>
    <cacheField name="% DE AVANCE FÍSICO PROYECTO  A Julio 2019" numFmtId="9">
      <sharedItems containsString="0" containsBlank="1" containsNumber="1" minValue="0" maxValue="1"/>
    </cacheField>
    <cacheField name="% DE AVANCE FÍSICO PROYECTO  A Agosto 2019" numFmtId="9">
      <sharedItems containsString="0" containsBlank="1" containsNumber="1" minValue="0" maxValue="1"/>
    </cacheField>
    <cacheField name="% DE AVANCE FÍSICO PROYECTO  A Septiembre 2019" numFmtId="9">
      <sharedItems containsString="0" containsBlank="1" containsNumber="1" minValue="0" maxValue="1" count="8">
        <n v="1"/>
        <n v="0"/>
        <n v="0.7"/>
        <n v="0.84009999999999996"/>
        <n v="0.85"/>
        <m/>
        <n v="0.84"/>
        <n v="0.99529999999999996"/>
      </sharedItems>
    </cacheField>
    <cacheField name="Liquidado Junio 2018" numFmtId="9">
      <sharedItems containsBlank="1"/>
    </cacheField>
    <cacheField name="Liquidado Agosto 2018" numFmtId="9">
      <sharedItems containsBlank="1"/>
    </cacheField>
    <cacheField name="Liquidado Septiembre2018" numFmtId="9">
      <sharedItems containsBlank="1"/>
    </cacheField>
    <cacheField name="Liquidado Octubre 2018" numFmtId="9">
      <sharedItems containsBlank="1"/>
    </cacheField>
    <cacheField name="Liquidado Noviembre 2018" numFmtId="9">
      <sharedItems containsBlank="1"/>
    </cacheField>
    <cacheField name="Liquidado Diciembre 2018" numFmtId="9">
      <sharedItems containsBlank="1"/>
    </cacheField>
    <cacheField name="Liquidado Mayo 2019" numFmtId="9">
      <sharedItems containsBlank="1"/>
    </cacheField>
    <cacheField name="Liquidado Junio 2019" numFmtId="9">
      <sharedItems containsBlank="1" count="5">
        <s v="si"/>
        <s v="no"/>
        <m/>
        <s v="ee"/>
        <s v="NO?" u="1"/>
      </sharedItems>
    </cacheField>
    <cacheField name="Liquidado Julio 2019" numFmtId="9">
      <sharedItems containsBlank="1"/>
    </cacheField>
    <cacheField name="Liquidado Agosto 2019" numFmtId="9">
      <sharedItems containsBlank="1"/>
    </cacheField>
    <cacheField name="Liquidado Septiembre 2019" numFmtId="9">
      <sharedItems containsBlank="1"/>
    </cacheField>
    <cacheField name="Observaciones Junio 2018" numFmtId="0">
      <sharedItems containsBlank="1" longText="1"/>
    </cacheField>
    <cacheField name="Observaciones Agosto 2018" numFmtId="9">
      <sharedItems containsBlank="1" longText="1"/>
    </cacheField>
    <cacheField name="Observaciones Septiembre 2018" numFmtId="9">
      <sharedItems containsBlank="1" longText="1"/>
    </cacheField>
    <cacheField name="Observaciones y estados de trámites a  Octubre 2018" numFmtId="9">
      <sharedItems containsBlank="1" longText="1"/>
    </cacheField>
    <cacheField name="Observaciones y estados de trámites a  Noviembre 2018" numFmtId="0">
      <sharedItems containsBlank="1" longText="1"/>
    </cacheField>
    <cacheField name="Observaciones y estados de trámites a  Diciembre 2018" numFmtId="0">
      <sharedItems containsBlank="1" longText="1"/>
    </cacheField>
    <cacheField name="Observaciones Junio 2019" numFmtId="0">
      <sharedItems containsBlank="1" longText="1"/>
    </cacheField>
    <cacheField name="Observaciones Julio 2019" numFmtId="0">
      <sharedItems containsNonDate="0" containsString="0" containsBlank="1"/>
    </cacheField>
    <cacheField name="Observaciones Agosto 2019" numFmtId="0">
      <sharedItems containsBlank="1" longText="1"/>
    </cacheField>
    <cacheField name="Observaciones Septiembre 2019" numFmtId="0">
      <sharedItems containsBlank="1"/>
    </cacheField>
    <cacheField name="OBSERVACIONES" numFmtId="0">
      <sharedItems containsBlank="1" longText="1"/>
    </cacheField>
    <cacheField name="OBSERVACIONES DE AUDITORIA E&amp;Y (2015-2016)" numFmtId="0">
      <sharedItems containsBlank="1" longText="1"/>
    </cacheField>
    <cacheField name="REVISIÓN AVAL 2017" numFmtId="0">
      <sharedItems containsBlank="1"/>
    </cacheField>
    <cacheField name="ULTIMA FECHA DE CAMBIO ACORDADO CON LA ENTIDAD EJECUTORA (REFORMAS AL PLAN DE ADQUISICIÓN)" numFmtId="0">
      <sharedItems containsNonDate="0" containsDate="1" containsString="0" containsBlank="1" minDate="2015-12-30T00:00:00" maxDate="2017-03-14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8">
  <r>
    <x v="0"/>
    <n v="1"/>
    <s v=" INTEGRACIÓN DE RECONECTADORES AL SCADA DE CNEL EP UN BOLÍVAR"/>
    <n v="58829.48"/>
    <n v="58829.48"/>
  </r>
  <r>
    <x v="0"/>
    <n v="1"/>
    <s v="ADECUACIÓN Y EQUIPAMIENTO DEL CENTRO DE DATOS Y CENTRO DE CONTROL DE CNEL BOLIVAR PARA LA IMPLEMENTACIÓN DEL SISTEMA SCADA/OMS DMS/MWM II FASE"/>
    <n v="103127.02"/>
    <n v="103127.02"/>
  </r>
  <r>
    <x v="0"/>
    <n v="1"/>
    <s v="CONSTRUCCIÓN DE LA LÍNEA DE SUBTRANSMISIÓN BABAHOYO-CALUMA"/>
    <n v="3945440.13"/>
    <n v="3945440.13"/>
  </r>
  <r>
    <x v="1"/>
    <n v="1"/>
    <s v=" REFORZAMIENTO DE RED DE MEDIA TENSIÓN EN LA PARROQUIA TENGUEL"/>
    <n v="164349.32"/>
    <n v="164349.32"/>
  </r>
  <r>
    <x v="1"/>
    <n v="1"/>
    <s v=" REPOTENCIACIÓN DE LA SUBESTACIÓN EL CAMBIO"/>
    <n v="825010"/>
    <n v="825010"/>
  </r>
  <r>
    <x v="1"/>
    <n v="1"/>
    <s v=" SISTEMA DE ILUMINACIÓN DE EMERGENCIA PORTATIL"/>
    <n v="53826.38"/>
    <n v="53826.38"/>
  </r>
  <r>
    <x v="1"/>
    <n v="1"/>
    <s v="ADECUACIÓN DE INFRAESTRUCTURA DE SUBESTACIONES Y CENTRO DE CONTROL PARA SISTEMA SCADA"/>
    <n v="294250"/>
    <n v="294250"/>
  </r>
  <r>
    <x v="1"/>
    <n v="1"/>
    <s v="CONSTRUCCIÓN DE LA SUBESTACIÓN EL BOSQUE"/>
    <n v="1343865.41"/>
    <n v="1343865.41"/>
  </r>
  <r>
    <x v="1"/>
    <n v="1"/>
    <s v="LÍNEA DE SUBTRANSMISIÓN EL CAMBIO-EL BOSQUE"/>
    <n v="1053950"/>
    <n v="1053950"/>
  </r>
  <r>
    <x v="2"/>
    <n v="1"/>
    <s v=" CONSTRUCCIÓN DEL SISTEMA DE SUBTRANSMISIÓN PRADERA"/>
    <n v="2788563.45"/>
    <n v="2788563.45"/>
  </r>
  <r>
    <x v="2"/>
    <n v="1"/>
    <s v="CONSTRUCCIÓN ALIMENTADOR LA SEXTA"/>
    <n v="209341.8"/>
    <n v="209341.8"/>
  </r>
  <r>
    <x v="2"/>
    <n v="1"/>
    <s v="CONSTRUCCIÓN ALIMENTADOR PLAYA ATACAMES"/>
    <n v="194413.9"/>
    <n v="194413.9"/>
  </r>
  <r>
    <x v="2"/>
    <n v="1"/>
    <s v="HABILITACIÓN E INTEGRACIÓN DE SISTEMA DE MEDICIÓN DE SUBESTACIONES Y ALIMENTADORES AL CENTRO DE CONTROL"/>
    <n v="140273.32999999999"/>
    <n v="140273.32999999999"/>
  </r>
  <r>
    <x v="2"/>
    <n v="1"/>
    <s v="READECUACIONES DE OBRAS CIVILES Y COMUNICACIONES EN SUBESTACIONES Y CENTRO DE CONTROL PARA IMPLEMENTACIÓN DE SISTEMA SCADA"/>
    <n v="105273.09"/>
    <n v="105273.09"/>
  </r>
  <r>
    <x v="2"/>
    <n v="1"/>
    <s v="REPOTENCIACIÓN DE SALIDAS SUBTERRÁNEAS DE LOS ALIMENTADORES PRIMARIOS DE LAS SUBESTACIONES DE LA UNIDAD DE NEGOCIO ESMERALDAS"/>
    <n v="192735.16999999998"/>
    <n v="192735.16999999998"/>
  </r>
  <r>
    <x v="3"/>
    <n v="0.84"/>
    <s v="CONSTRUCCIÓN DE LA L/S/T A 69 KV PASCUALES – MANGLERO, SUMINISTRO DE MATERIALES, EQUIPOS Y MANO DE OBRA"/>
    <n v="29172"/>
    <n v="24504.48"/>
  </r>
  <r>
    <x v="3"/>
    <n v="0.84009999999999996"/>
    <s v="CONSTRUCCIÓN DE LA L/S/T A 69 KV PASCUALES – MANGLERO, SUMINISTRO DE MATERIALES, EQUIPOS Y MANO DE OBRA"/>
    <n v="4054455.1"/>
    <n v="3406147.72951"/>
  </r>
  <r>
    <x v="4"/>
    <n v="0.7"/>
    <s v=" CONSTRUCCIÓN DE LA ALIMENTADORA A 13.8 KV MI LOTE 1"/>
    <n v="251167.19"/>
    <n v="175817.033"/>
  </r>
  <r>
    <x v="4"/>
    <n v="1"/>
    <s v=" CONSTRUCCIÓN DE LA ALIMENTADORA A 13.8 KV HUANCAVILCA 3"/>
    <n v="113907.52"/>
    <n v="113907.52"/>
  </r>
  <r>
    <x v="4"/>
    <n v="1"/>
    <s v=" EXTENSIÓN A LA LÍNEA DE SUBTRANSMISIÓN NUEVA PROSPERINA 2 PARA DIVIDIR LA BARRA A MAPASINGUE"/>
    <n v="246111.16"/>
    <n v="246111.16"/>
  </r>
  <r>
    <x v="4"/>
    <n v="1"/>
    <s v="CONSTRUCCIÓN DE LA ALIMENTADORA A 13.8 KV GUASMO 8"/>
    <n v="94822.57"/>
    <n v="94822.57"/>
  </r>
  <r>
    <x v="4"/>
    <n v="1"/>
    <s v="CONSTRUCCIÓN DE LA SUBESTACIÓN DE REDUCCCIÓN 69/13.8KV GUASMO 3 (OBRAS COMPLEMENTARIAS)"/>
    <n v="496784.22"/>
    <n v="496784.22"/>
  </r>
  <r>
    <x v="4"/>
    <n v="1"/>
    <s v="CONSTRUCCIÓN DE LA SUBESTACIÓN DE REDUCCCIÓN 69/13.8KV MI LOTE (OBRAS COMPLEMENTARIAS)"/>
    <n v="865666.62"/>
    <n v="865666.62"/>
  </r>
  <r>
    <x v="4"/>
    <n v="1"/>
    <s v="CONSTRUCCION DE LA SUBESTACIÓN DE REDUCCION 69/13.8 KV HUANCAVILCA (OBRAS COMPLEMENTARIAS)"/>
    <n v="633593.03"/>
    <n v="633593.03"/>
  </r>
  <r>
    <x v="5"/>
    <n v="1"/>
    <s v=" VARIANTE LINEA TRIFASICA CATARAMA - PIJULLO - POTOSI "/>
    <n v="231466.84000000003"/>
    <n v="231466.84000000003"/>
  </r>
  <r>
    <x v="5"/>
    <n v="1"/>
    <s v="LEVANTAMIENTO LÍNEAS DE SUBTRANSMISION CON CAMBIO DE ESTRUCTURAS"/>
    <n v="242065.82"/>
    <n v="242065.82"/>
  </r>
  <r>
    <x v="5"/>
    <n v="1"/>
    <s v="LINEA TRIFASICA PARROQUIA CARACOL - PARROQUIA LA UNION"/>
    <n v="198302.56"/>
    <n v="198302.56"/>
  </r>
  <r>
    <x v="5"/>
    <n v="1"/>
    <s v="PROYECTO SCADA AUTOMATIZACION"/>
    <n v="250420"/>
    <n v="250420"/>
  </r>
  <r>
    <x v="5"/>
    <n v="1"/>
    <s v="REPOTENCIACIÓN DE LA RED DE DISTRIBUCIÓN EN LA ZONA URBANA DEL CANTON VENTANAS"/>
    <n v="369889.25"/>
    <n v="369889.25"/>
  </r>
  <r>
    <x v="5"/>
    <n v="1"/>
    <s v="SALIDAS DE SUBESTACION PALENQUE (4) Y REPOTENCIACION ALIMENTADOR PALENQUE"/>
    <n v="402359.22"/>
    <n v="402359.22"/>
  </r>
  <r>
    <x v="5"/>
    <n v="1"/>
    <s v="SUMINISTRO, MONTAJE DE EQUIPOS Y AMPLIACIONES MENORES PARA INTERCONEXIÓN ENTRE ALIMENTADORES DE MT DE LAS DIFERENTES SUBESTACIONES"/>
    <n v="424702.6"/>
    <n v="424702.6"/>
  </r>
  <r>
    <x v="5"/>
    <n v="1"/>
    <s v="TRIFASEAMIENTO LINEA GUARE - SAN ANTONIO"/>
    <n v="130697.63"/>
    <n v="130697.63"/>
  </r>
  <r>
    <x v="6"/>
    <n v="1"/>
    <s v=" ADECUACIÓN DE INFRAESTRUCTURA EN LA S/E ELECTRICA MONTECRISTI 1 PARA LA IMPLEMENTACIÓN DEL SCADA"/>
    <n v="219280.19"/>
    <n v="219280.19"/>
  </r>
  <r>
    <x v="6"/>
    <n v="1"/>
    <s v="ADECUACIÓN DE INFRAESTRUCTURA DE LAS S/E LODANA PARA LA IMPLEMENTACIÓN DEL SCADA"/>
    <n v="331169.7"/>
    <n v="331169.7"/>
  </r>
  <r>
    <x v="6"/>
    <n v="1"/>
    <s v="CONSTRUCCIÓN DE LÍNEA TRIFÁSICA A 13.8 KV PARA LOS ALIMENTADORES 13.8 KV S/E JARAMIJO"/>
    <n v="401296.39999999997"/>
    <n v="401296.39999999997"/>
  </r>
  <r>
    <x v="6"/>
    <n v="1"/>
    <s v="REPOTENCIACIÓN DE LA INFRAESTRUCTURA CIVIL Y ELÉCTRICA DE LA S/E CHONE, 2x10-12,5 MVA (69/13,8kV)"/>
    <n v="3048253.7"/>
    <n v="3048253.7"/>
  </r>
  <r>
    <x v="7"/>
    <n v="1"/>
    <s v=" INSTALACIÓN SCADA"/>
    <n v="500000"/>
    <n v="500000"/>
  </r>
  <r>
    <x v="7"/>
    <n v="1"/>
    <s v="ADQUISICIÓN E INSTALACIÓN DE CUATRO INTERRUPTOR A 69 KV MOTORIZADO, ACCIONADO EN GRUPO, PARA INSTALAR EN POSTE, TELECONTROLADOS Y COMUNICADOS AL CENTRO DE CONTROL"/>
    <n v="295000"/>
    <n v="295000"/>
  </r>
  <r>
    <x v="7"/>
    <n v="1"/>
    <s v="CONSTRUCCIÓN DE LA LÍNEA DE SUBTRANSMISIÓN A 69 KV EL RECREO (GLR) - LOS BANCOS - YAGUACHI. 750 MCM ACAR, 21,5  KM. CON OPGW"/>
    <n v="2377960.48"/>
    <n v="2377960.48"/>
  </r>
  <r>
    <x v="7"/>
    <n v="1"/>
    <s v="CONSTRUCCIÓN DE LA LÍNEA DE SUBTRANSMISIÓN A 69 KV LA TRONCAL - PUERTO INCA"/>
    <n v="2997872.75"/>
    <n v="2997872.75"/>
  </r>
  <r>
    <x v="8"/>
    <n v="1"/>
    <s v=" ADQUISICIÓN DE EQUIPO DE LAVADO EN CALIENTE DE AISLADORES"/>
    <n v="195000"/>
    <n v="195000"/>
  </r>
  <r>
    <x v="8"/>
    <n v="1"/>
    <s v="ADQUISICIÓN Y MONTAJE DE RECONECTADORES, EQUIPOS DE COMUNICACIÓN E IMPLEMENTOS PARA LA INTEGRACIÓN DEL SCADA"/>
    <n v="254600"/>
    <n v="254600"/>
  </r>
  <r>
    <x v="8"/>
    <n v="1"/>
    <s v="CONSTRUCCIÓN POSICIONES DE SALIDA DE S/E 11 Y RECONFIGURACIÓN ALIMENTADORES EN SANTO DOMINGO"/>
    <n v="418359.88"/>
    <n v="418359.88"/>
  </r>
  <r>
    <x v="8"/>
    <n v="1"/>
    <s v="REPOTENCIACIÓN DE ALIMENTADOR PUEBLO NUEVO EN LA ZONA NORTE DE MANABÍ (COMPROMISO PRESIDENCIAL)"/>
    <n v="185484.51"/>
    <n v="185484.51"/>
  </r>
  <r>
    <x v="8"/>
    <n v="1"/>
    <s v="REPOTENCIACIÓN DE CENTROS DE TRANSFORMACIÓN, REDES DE BAJA Y MEDIA TENSIÓN DE LA ZONA NORTE DE MANABÍ"/>
    <n v="523485.45"/>
    <n v="523485.45"/>
  </r>
  <r>
    <x v="9"/>
    <n v="1"/>
    <s v=" REFORZAMIENTO EN LÍNEA DE SUBTRANSMISIÓN SAN LORENZO DEL MATE-CERECITA"/>
    <n v="554022.34"/>
    <n v="554022.34"/>
  </r>
  <r>
    <x v="9"/>
    <n v="1"/>
    <s v=" REPOTENCIACIÓN DE DOS TRANSFORMADORES DE POTENCIA DE 10/12 MVA -69/13,8 KV S/E CHANDUY Y MANGLARALTO"/>
    <n v="564000"/>
    <n v="564000"/>
  </r>
  <r>
    <x v="9"/>
    <n v="1"/>
    <s v="ADECUACIONES PARA SCADA"/>
    <n v="160000"/>
    <n v="160000"/>
  </r>
  <r>
    <x v="9"/>
    <n v="1"/>
    <s v="ADECUACIONES SCADA PARA SECCIONADORES TRIPOLARES A 69KV "/>
    <n v="340000"/>
    <n v="340000"/>
  </r>
  <r>
    <x v="9"/>
    <n v="1"/>
    <s v="REFORZAMIENTO DE LÍNEAS DE SUBTRANSMISIÓN SALINAS-CHIPIPE"/>
    <n v="188558.62"/>
    <n v="188558.62"/>
  </r>
  <r>
    <x v="9"/>
    <n v="1"/>
    <s v="REPOTENCIACIÓN 3 SWITCHGEARS DE MEDIO VOLTAJE PARA ACOPLAR LOS TRANSFORMADORES A ADQUIRIR"/>
    <n v="731068.8"/>
    <n v="731068.8"/>
  </r>
  <r>
    <x v="9"/>
    <n v="1"/>
    <s v="REPOTENCIACIÓN DE 31,9 KM DE REDES ABIERTAS A PREENSAMBLADAS Y 16 TRANSFORMADORES DE DISTRIBUCIÓN POR DIVISIÓN DE CIRCUITOS -DIVISIÓN PLAYAS"/>
    <n v="279855.48"/>
    <n v="279855.48"/>
  </r>
  <r>
    <x v="9"/>
    <n v="1"/>
    <s v="REPOTENCIACIÓN DE TRANSFORMADOR DE POTENCIA DE 16/20 MVA -69/13,8 KV DE S/E PLAYAS Y SAN VICENTE"/>
    <n v="796000"/>
    <n v="796000"/>
  </r>
  <r>
    <x v="9"/>
    <n v="1"/>
    <s v="REPOTENCIACION DEL ALIMENTADOR &quot;PROGRESO&quot; EN MEDIA TENSIÓN TRAMO SAN LORENZO-PROGRESO-SAN ANTONIO"/>
    <n v="350893.08"/>
    <n v="350893.08"/>
  </r>
  <r>
    <x v="10"/>
    <n v="1"/>
    <s v="ADQUISICIÓN DE EQUIPOS PARA SUPERVISIÓN, PRUEBAS Y CONTROL DE LA CALIDAD DE SERVICIO"/>
    <n v="496600"/>
    <n v="496600"/>
  </r>
  <r>
    <x v="10"/>
    <n v="1"/>
    <s v="ADQUISICIÓN DE UNA SUBESTACIÓN MÓVIL 16/20 MVA "/>
    <n v="900000"/>
    <n v="900000"/>
  </r>
  <r>
    <x v="10"/>
    <n v="1"/>
    <s v="AUTOMATIZACIÓN E IMPLANTACIÓN DE LA BAHÍA A 69 KV DE LA SUBESTACIÓN JIVINO DE CELEC TRANSELECTRIC PARA MEJORAR LA CALIDAD DE SERVICIO Y LA GESTIÓN DE LA DEMANDA EN CNEL UN SUCUMBIOS"/>
    <n v="470271.42"/>
    <n v="470271.42"/>
  </r>
  <r>
    <x v="10"/>
    <n v="1"/>
    <s v="CONSTRUCCION DE SALIDAS SUBTERRANEAS DE ALIMENTADORES PRIMARIOS DE LA SUBESTACION JIVINO Y ADECUACIÓN DEL PATIO DE MANIOBRAS DE LA SUBESTACION LAGO AGRIO"/>
    <n v="130437.68000000001"/>
    <n v="130437.68000000001"/>
  </r>
  <r>
    <x v="10"/>
    <n v="1"/>
    <s v="ELECTRIFICACIÓN DE COMUNIDAD BAVURUE KANKHE"/>
    <n v="34554"/>
    <n v="34554"/>
  </r>
  <r>
    <x v="10"/>
    <n v="1"/>
    <s v="ELECTRIFICACIÓN DE COOPERATIVA SIONA 2"/>
    <n v="31915.200000000001"/>
    <n v="31915.200000000001"/>
  </r>
  <r>
    <x v="10"/>
    <n v="1"/>
    <s v="ELECTRIFICACIÓN DE NUEVA ESPERANZA"/>
    <n v="27607.27"/>
    <n v="27607.27"/>
  </r>
  <r>
    <x v="10"/>
    <n v="1"/>
    <s v="REFORZAMIENTO DE REDES EN  LAS COMUNIDADES AKISUYO, AKSIR, RUMPIPAMBA._x000a_"/>
    <n v="104515.86"/>
    <n v="104515.86"/>
  </r>
  <r>
    <x v="10"/>
    <n v="1"/>
    <s v="REFORZAMIENTO DE REDES EN EL SECTOR DE PACAYACU - LA GUARAPERA"/>
    <n v="372758.98"/>
    <n v="372758.98"/>
  </r>
  <r>
    <x v="10"/>
    <n v="1"/>
    <s v="REFORZAMIENTO DE REDES RED TRIFASICA TARAPOA-LA “Y” DE CUYABENO"/>
    <n v="296116.34000000003"/>
    <n v="296116.34000000003"/>
  </r>
  <r>
    <x v="10"/>
    <n v="1"/>
    <s v="REPOTENCIACIÓN DE LA RED DE MEDIA Y BAJA TENSIÓN ALIMENTADOR COCA 3"/>
    <n v="485432.85"/>
    <n v="485432.85"/>
  </r>
  <r>
    <x v="10"/>
    <n v="1"/>
    <s v="REPOTENCIACIÓN LINEA DE SUBTRANSMISIÓN SACHA-ORELLANA "/>
    <n v="659423.32999999996"/>
    <n v="659423.32999999996"/>
  </r>
  <r>
    <x v="10"/>
    <n v="1"/>
    <s v="(en blanco)"/>
    <n v="13614.75"/>
    <n v="13614.75"/>
  </r>
  <r>
    <x v="11"/>
    <n v="1"/>
    <s v=" CONSTRUCCIÓN S/E BATÁN Y LÍNEA DE S/T ASOCIADA A 69 KV"/>
    <n v="2300000"/>
    <n v="2300000"/>
  </r>
  <r>
    <x v="11"/>
    <n v="1"/>
    <s v="MODERNIZACIÓN DE LAS REDES ELÉCTRICAS DEL CENTRO DE LA CIUDAD DE BAÑOS"/>
    <n v="312569"/>
    <n v="312569"/>
  </r>
  <r>
    <x v="12"/>
    <n v="0.8"/>
    <s v="CONCLUSIÓN INTEGRACIÓN DE LOS SISTEMAS DE SUBTRANSMISIÓN DE LAS EMPRESAS AZOGUES - CENTRO SUR - CELEC EP HIDROAZOGUEZ"/>
    <n v="797980.79"/>
    <n v="638384.6320000001"/>
  </r>
  <r>
    <x v="12"/>
    <n v="1"/>
    <s v=" POSICION DE LÍNEA PARA S/E GUAPAN UCEM EN LA S/E AZOGUES 1"/>
    <n v="245760.44"/>
    <n v="245760.44"/>
  </r>
  <r>
    <x v="12"/>
    <n v="1"/>
    <s v="EQUIPOS DE CALIDAD DE ENERGÍA E INGENIERÍA"/>
    <n v="252112.24"/>
    <n v="252112.24"/>
  </r>
  <r>
    <x v="13"/>
    <n v="1"/>
    <s v="ADQUISICIÓN E INSTALACIÓN DE RECONECTADORES PARA PROTECCIÓN Y CONTROL DE ALIMENTADORES RURALES DE DIDIS Y DIMS (ALIMENTADORES 1522, 1523, 1821, 2111, 2112, 2113, 2211, 2212, 2311, 2312, 0525, 0521, 1424 )"/>
    <n v="314363.8"/>
    <n v="314363.8"/>
  </r>
  <r>
    <x v="13"/>
    <n v="1"/>
    <s v="AUTOMATIZACIÓN DE LA DISTRIBUCIÓN - CAPÍTULO CONTROL Y COMUNICACIONES DE ALIMENTADORES URBANOS"/>
    <n v="137700"/>
    <n v="137700"/>
  </r>
  <r>
    <x v="13"/>
    <n v="1"/>
    <s v="AUTOMATIZACIÓN DE LA DISTRIBUCIÓN - CAPÍTULO SUBESTACIONES (S/ES 03, 04, 05)"/>
    <n v="975000"/>
    <n v="975000"/>
  </r>
  <r>
    <x v="13"/>
    <n v="1"/>
    <s v="CONSTRUCCIÓN DE LA BAHÍA SUBESTACIÓN LA TRONCAL A 69KV"/>
    <n v="333937.99"/>
    <n v="333937.99"/>
  </r>
  <r>
    <x v="13"/>
    <n v="1"/>
    <s v="REPOTENCIACIÓN DEL ALIMENTADOR VOLUNTAD DE DIOS COLONIA 10 AGOSTO / LA TRONCAL."/>
    <n v="298117.8"/>
    <n v="298117.8"/>
  </r>
  <r>
    <x v="13"/>
    <n v="1"/>
    <s v="(en blanco)"/>
    <n v="68066.2"/>
    <n v="68066.2"/>
  </r>
  <r>
    <x v="14"/>
    <n v="1"/>
    <s v=" IMPLEMENTACIÓN DE UN CENTRO DE DATOS PARA OPTIMIZAR LA DISPONIBILIDAD DE LOS SERVICIOS TECNOLÓGICOS DE LOS CLIENTES DE ELECGALAPAGOS S.A."/>
    <n v="250000"/>
    <n v="250000"/>
  </r>
  <r>
    <x v="14"/>
    <n v="1"/>
    <s v=" IMPLEMENTACIÓN DE UN ENLACE DE DATOS A NIVEL PROVINCIAL"/>
    <n v="446428.57"/>
    <n v="446428.57"/>
  </r>
  <r>
    <x v="14"/>
    <n v="1"/>
    <s v="CONSTRUCCIÓN DEL NUEVO ALIMENTADOR PRIMARIO NO. 4, PARA LA ZONA URBANA DE PUERTO AYORA"/>
    <n v="60162.83"/>
    <n v="60162.83"/>
  </r>
  <r>
    <x v="14"/>
    <n v="1"/>
    <s v="REPOTENCIACIÓN DE REDES DE DISTRIBUCIÓN DEL ALIMENTADOR 2 DEL SECTOR PERIMETRAL EN SAN CRISTÓBAL"/>
    <n v="43122.66"/>
    <n v="43122.66"/>
  </r>
  <r>
    <x v="15"/>
    <n v="1"/>
    <s v=" REFORZAMIENTO DE REDES DE MEDIO Y BAJO VOLTAJE CON REPOTENCIACION DE TRANSFORMADORES ACOMETIDAS Y MEDIDORES  PRIMARIO 55B"/>
    <n v="412228.88999999996"/>
    <n v="412228.88999999996"/>
  </r>
  <r>
    <x v="15"/>
    <n v="1"/>
    <s v=" REFORZAMIENTO DE REDES DE MEDIO Y BAJO VOLTAJE CON REPOTENCIACION DE TRANSFORMADORES ACOMETIDAS Y MEDIDORES  PRIMARIO POMASQUI 57F"/>
    <n v="15253.26"/>
    <n v="15253.26"/>
  </r>
  <r>
    <x v="15"/>
    <n v="1"/>
    <s v=" REFORZAMIENTO DE SISTEMAS DE MEDICIÓN CONCENTRADA"/>
    <n v="351904.77"/>
    <n v="351904.77"/>
  </r>
  <r>
    <x v="15"/>
    <n v="1"/>
    <s v="REFORZAMIENTO DE REDES DE MEDIO Y BAJO VOLTAJE CON REPOTENCIACION DE TRANSFORMADORES ACOMETIDAS Y MEDIDORES"/>
    <n v="701933.74"/>
    <n v="701933.74"/>
  </r>
  <r>
    <x v="15"/>
    <n v="1"/>
    <s v="REFORZAMIENTO DE REDES DE MEDIO Y BAJO VOLTAJE CON REPOTENCIACION DE TRANSFORMADORES ACOMETIDAS Y MEDIDORES PRIMARIO 58C "/>
    <n v="313808.08"/>
    <n v="313808.08"/>
  </r>
  <r>
    <x v="15"/>
    <n v="1"/>
    <s v="REFORZAMIENTO DE REDES DE MEDIO Y BAJO VOLTAJE CON REPOTENCIACION DE TRANSFORMADORES ACOMETIDAS Y MEDIDORES PRIMARIO 58D"/>
    <n v="165554.66"/>
    <n v="165554.66"/>
  </r>
  <r>
    <x v="15"/>
    <n v="1"/>
    <s v="REFORZAMIENTO DE REDES DE MEDIO Y BAJO VOLTAJE CON REPOTENCIACION DE TRANSFORMADORES ACOMETIDAS Y MEDIDORES PRIMARIO CONOCOTO 23C"/>
    <n v="18559.71"/>
    <n v="18559.71"/>
  </r>
  <r>
    <x v="15"/>
    <n v="1"/>
    <s v="REFORZAMIENTO DE REDES DE MEDIO Y BAJO VOLTAJE CON REPOTENCIACION DE TRANSFORMADORES ACOMETIDAS Y MEDIDORES PRIMARIO POMASQUI 57 G"/>
    <n v="335582.67"/>
    <n v="335582.67"/>
  </r>
  <r>
    <x v="15"/>
    <n v="1"/>
    <s v="(en blanco)"/>
    <n v="1764480.53"/>
    <n v="1764480.53"/>
  </r>
  <r>
    <x v="16"/>
    <n v="0"/>
    <s v="ADQUISICIÓN DE TRES CARGADORES DE BATERÍAS PARA LAS SUBESTACIONES Nº 01, Nº 07, Nº 10"/>
    <n v="42857.140000000014"/>
    <n v="0"/>
  </r>
  <r>
    <x v="16"/>
    <n v="0"/>
    <s v="REPOTENCIACIÓN DE LÍNEAS Y CENTROS DE TRANSFORMACIÓN COMUNIDAD GUANTUL GRANDE - FLORES"/>
    <n v="133340.13"/>
    <n v="0"/>
  </r>
  <r>
    <x v="16"/>
    <n v="0"/>
    <s v="REPOTENCIACIÓN DE REDES COMUNIDAD PUNGAL SANTA MARIANITA, LA MATRIZ"/>
    <n v="167857.35"/>
    <n v="0"/>
  </r>
  <r>
    <x v="16"/>
    <n v="0"/>
    <s v="REPOTENCIACIÓN DE REDES DE DISTRIBUCIÓN COMUNIDAD PUNGAL SAN PEDRO"/>
    <n v="125446.35"/>
    <n v="0"/>
  </r>
  <r>
    <x v="16"/>
    <n v="0"/>
    <s v="REPOTENCIACIÓN DE REDES DE DISTRIBUCIÓN COMUNIDAD TAMAUTE"/>
    <n v="83870.17"/>
    <n v="0"/>
  </r>
  <r>
    <x v="16"/>
    <n v="1"/>
    <s v=" REPOTENCIACIÓN DE LA S/E GATAZO"/>
    <n v="1109544"/>
    <n v="1109544"/>
  </r>
  <r>
    <x v="16"/>
    <n v="1"/>
    <s v="REPOSICIÓN DE INTERRUPTORES DE 69 KV PARA LA SUBESTACIÓN 3 Y 8"/>
    <n v="235400"/>
    <n v="235400"/>
  </r>
  <r>
    <x v="17"/>
    <n v="1"/>
    <s v=" ADECUACIÓN DE LA POSICIÓN AMALUZA EN LA SE CARIAMANGA"/>
    <n v="208547.6"/>
    <n v="208547.6"/>
  </r>
  <r>
    <x v="17"/>
    <n v="1"/>
    <s v=" AMPLIACIÓN BARRAJE DE 22 KV DE LA S/E CUMBARATZA EN LA PROVINCIA DE LOJA ETAPA I"/>
    <n v="563783.6"/>
    <n v="563783.6"/>
  </r>
  <r>
    <x v="17"/>
    <n v="1"/>
    <s v="LÍNEA DE SUBTRANSMISIÓN SE VELACRUZ - SE CATACOCHA"/>
    <n v="170000"/>
    <n v="170000"/>
  </r>
  <r>
    <x v="17"/>
    <n v="1"/>
    <s v="REFORZAMIENTO DE ALIMENTADORES PRIMARIOS CON INSTALACION DE RECONECTADORES"/>
    <n v="200000"/>
    <n v="200000"/>
  </r>
  <r>
    <x v="17"/>
    <n v="1"/>
    <s v="REPOTENCIACIÓN DE LAS REDES DE DISTRIBUCIÓN DE LA PROVINCIA DE LOJA ETAPA I"/>
    <n v="1000000"/>
    <n v="1000000"/>
  </r>
  <r>
    <x v="17"/>
    <n v="1"/>
    <s v="REPOTENCIACIÓN DE REDES DE DISTRIBUCIÓN EN LA PROVINCIA DE ZAMORA CHINCHIPE Y GUALAQUIZA ETAPA II"/>
    <n v="500000"/>
    <n v="500000"/>
  </r>
  <r>
    <x v="18"/>
    <n v="0"/>
    <s v=" IMPLEMENTACIÓN DATA CENTER, CENTRO DE CONTROL Y TELECOMUNICACIÓN PARA SCADA"/>
    <n v="173854.77"/>
    <n v="0"/>
  </r>
  <r>
    <x v="18"/>
    <n v="0"/>
    <s v="ADQUISICION DE PARARRAYOS 69 KV"/>
    <n v="19750"/>
    <n v="0"/>
  </r>
  <r>
    <x v="18"/>
    <n v="0"/>
    <s v="READECUACIÓN DE OBRAS CIVILES EN LA SUBESTACIÓN EL CALVARIO"/>
    <n v="315476.61000000004"/>
    <n v="0"/>
  </r>
  <r>
    <x v="18"/>
    <n v="1"/>
    <s v=" ADQUISICIÓN DE UNA SUBESTACIÓN MOVIL: 16/20 MVA-69/13.8 KV"/>
    <n v="832000"/>
    <n v="832000"/>
  </r>
  <r>
    <x v="18"/>
    <n v="1"/>
    <s v=" CONSTRUCCIÓN ALIMENTADOR TRIFASICO SUBESTACION MOVIL SALCEDO-ANCHILIVI Y ENLACE ALIMENTADOR DE EMERGENCIA LA LAGUNA SUR-URBANIZACION SAN FRANCISCO"/>
    <n v="0"/>
    <n v="0"/>
  </r>
  <r>
    <x v="18"/>
    <n v="1"/>
    <s v=" CONSTRUCCIÓN ALIMENTADOR TRIFÁSICO SUBESTACIÓN MOVIL TANICUCHÍ-LA FLORESTA-LA FLORESTA SUR"/>
    <n v="0"/>
    <n v="0"/>
  </r>
  <r>
    <x v="18"/>
    <n v="1"/>
    <s v=" CONSTRUCCIÓN DE LA LÍNEA A 69 KV PANZALEO-PUJILÍ"/>
    <n v="1574528.37"/>
    <n v="1574528.37"/>
  </r>
  <r>
    <x v="18"/>
    <n v="1"/>
    <s v=" CONSTRUCCIÓN ENLACE ALIMENTADOR EMERGENCIA SAN MARCOS-ALAQUEZ CENTRO"/>
    <n v="120343.48"/>
    <n v="120343.48"/>
  </r>
  <r>
    <x v="18"/>
    <n v="1"/>
    <s v=" CONSTRUCCIÓN ENLACE TRIFÁSICO MULALO-CHINCHIL VILLAMARÍN-JOSEGUANGO BAJO"/>
    <n v="0"/>
    <n v="0"/>
  </r>
  <r>
    <x v="18"/>
    <n v="1"/>
    <s v=" CONSTRUCCIÓN Y REMODELACIÓN ALIMENTADOR TRIFASICO SUBESTACIÓN MOVIL SALCEDO-CENTRO DE SALCEDO-ENLACETRIFASICO ALIMENTADOR EMPRESA ELÉCTRICA AMBATO-ALIMENTADOR NO. 3 SUBESTACIÓN SALCEDO"/>
    <n v="132763.31"/>
    <n v="132763.31"/>
  </r>
  <r>
    <x v="18"/>
    <n v="1"/>
    <s v="ADQUISICIÓN EQUIPO TRAILER PARA LAVADO DE AISLACIÓN CON VOLTAJE Y AGUA A PRESIÓN"/>
    <n v="306943.45"/>
    <n v="306943.45"/>
  </r>
  <r>
    <x v="18"/>
    <n v="1"/>
    <s v="CAMBIO DE REDES  PARA LAS SUBESTACIONES LA MANA, LA COCHA, SALCEDO, SAN RAFAEL, SIGCHOS Y EL CALVARIO"/>
    <n v="84000"/>
    <n v="84000"/>
  </r>
  <r>
    <x v="18"/>
    <n v="1"/>
    <s v="CONSTRUCCIÓN ENLACE MONOFASICO JOSE GUANGO BAJO-BARRANCAS Y ENLACE TRIFASICO CHUGCHILAN-EL CHAN"/>
    <n v="0"/>
    <n v="0"/>
  </r>
  <r>
    <x v="18"/>
    <n v="1"/>
    <s v="CONSTRUCCIÓN ENLACE MONOFASICO MACALO CHICO-MACALO GRANDE Y ENLACE TRIFASICO TANICUCHI-SANTA ANA BAJO"/>
    <n v="0"/>
    <n v="0"/>
  </r>
  <r>
    <x v="18"/>
    <n v="1"/>
    <s v="CONSTRUCCIÓN ENLACE TRIFÁSICO BETHLEMITAS-PUENTE DEILLUCHI"/>
    <n v="0"/>
    <n v="0"/>
  </r>
  <r>
    <x v="18"/>
    <n v="1"/>
    <s v="CONSTRUCCIÓN ENLACE TRIFÁSICO Y CAMBIO DE CONDUCTOR GUAYTACAMA TANICUCHÍ "/>
    <n v="145051.79999999999"/>
    <n v="145051.79999999999"/>
  </r>
  <r>
    <x v="18"/>
    <n v="1"/>
    <s v="PROVISÓN E INSTALACIÓN DE CABLES Y EQUIPOS DE COMUNICACIÓN"/>
    <n v="93969.600000000006"/>
    <n v="93969.600000000006"/>
  </r>
  <r>
    <x v="18"/>
    <n v="1"/>
    <s v="REFORZAMIENTO DE REDES CALLE 19 DE MAYO (LA MANÁ)"/>
    <n v="1191735.45"/>
    <n v="1191735.45"/>
  </r>
  <r>
    <x v="18"/>
    <n v="1"/>
    <s v="REM. BARRIO ALAQUEZ ORIENTE"/>
    <n v="23342.01"/>
    <n v="23342.01"/>
  </r>
  <r>
    <x v="19"/>
    <n v="1"/>
    <s v=" READECUACIÓN ALIMENTADOR CALLE MALDONADO Y MEJIA"/>
    <n v="189591.55"/>
    <n v="189591.55"/>
  </r>
  <r>
    <x v="19"/>
    <n v="1"/>
    <s v="ALIMENTADOR EXPRESO CHOTA PIMAMPIRO"/>
    <n v="318843.32"/>
    <n v="318843.32"/>
  </r>
  <r>
    <x v="19"/>
    <n v="1"/>
    <s v="CAMBIO DE REDES DE MT CONVENCIONALES A SEMIAISLADA EN ALIMENTADORES DE LAS SE CAYAMBE Y LA ESPERANZA"/>
    <n v="1052665.24"/>
    <n v="1052665.24"/>
  </r>
  <r>
    <x v="19"/>
    <n v="1"/>
    <s v="READECUACION DE LAS SALIDAS DE 13.8 KV SE CAYAMBE"/>
    <n v="314892.75"/>
    <n v="314892.75"/>
  </r>
  <r>
    <x v="19"/>
    <n v="1"/>
    <s v="READECUACIÓN DE RED Y AUMENTO DE POTENCIA YURACRUZ ALTO"/>
    <n v="41845.9"/>
    <n v="41845.9"/>
  </r>
</pivotCacheRecords>
</file>

<file path=xl/pivotCache/pivotCacheRecords2.xml><?xml version="1.0" encoding="utf-8"?>
<pivotCacheRecords xmlns="http://schemas.openxmlformats.org/spreadsheetml/2006/main" xmlns:r="http://schemas.openxmlformats.org/officeDocument/2006/relationships" count="122">
  <r>
    <x v="0"/>
    <n v="1"/>
    <s v=" INTEGRACIÓN DE RECONECTADORES AL SCADA DE CNEL EP UN BOLÍVAR"/>
    <n v="58829.48"/>
    <n v="58829.48"/>
  </r>
  <r>
    <x v="0"/>
    <n v="1"/>
    <s v="ADECUACIÓN Y EQUIPAMIENTO DEL CENTRO DE DATOS Y CENTRO DE CONTROL DE CNEL BOLIVAR PARA LA IMPLEMENTACIÓN DEL SISTEMA SCADA/OMS DMS/MWM II FASE"/>
    <n v="103127.02"/>
    <n v="103127.02"/>
  </r>
  <r>
    <x v="0"/>
    <n v="1"/>
    <s v="CONSTRUCCIÓN DE LA LÍNEA DE SUBTRANSMISIÓN BABAHOYO-CALUMA"/>
    <n v="3945440.13"/>
    <n v="3945440.13"/>
  </r>
  <r>
    <x v="1"/>
    <n v="1"/>
    <s v=" REFORZAMIENTO DE RED DE MEDIA TENSIÓN EN LA PARROQUIA TENGUEL"/>
    <n v="164349.32"/>
    <n v="164349.32"/>
  </r>
  <r>
    <x v="1"/>
    <n v="1"/>
    <s v=" REPOTENCIACIÓN DE LA SUBESTACIÓN EL CAMBIO"/>
    <n v="825010"/>
    <n v="825010"/>
  </r>
  <r>
    <x v="1"/>
    <n v="1"/>
    <s v=" SISTEMA DE ILUMINACIÓN DE EMERGENCIA PORTATIL"/>
    <n v="53826.38"/>
    <n v="53826.38"/>
  </r>
  <r>
    <x v="1"/>
    <n v="1"/>
    <s v="ADECUACIÓN DE INFRAESTRUCTURA DE SUBESTACIONES Y CENTRO DE CONTROL PARA SISTEMA SCADA"/>
    <n v="294250"/>
    <n v="294250"/>
  </r>
  <r>
    <x v="1"/>
    <n v="1"/>
    <s v="CONSTRUCCIÓN DE LA SUBESTACIÓN EL BOSQUE"/>
    <n v="1343865.41"/>
    <n v="1343865.41"/>
  </r>
  <r>
    <x v="1"/>
    <n v="1"/>
    <s v="LÍNEA DE SUBTRANSMISIÓN EL CAMBIO-EL BOSQUE"/>
    <n v="1053950"/>
    <n v="1053950"/>
  </r>
  <r>
    <x v="2"/>
    <n v="1"/>
    <s v=" CONSTRUCCIÓN DEL SISTEMA DE SUBTRANSMISIÓN PRADERA"/>
    <n v="2788563.45"/>
    <n v="2788563.45"/>
  </r>
  <r>
    <x v="2"/>
    <n v="1"/>
    <s v="CONSTRUCCIÓN ALIMENTADOR LA SEXTA"/>
    <n v="209341.8"/>
    <n v="209341.8"/>
  </r>
  <r>
    <x v="2"/>
    <n v="1"/>
    <s v="CONSTRUCCIÓN ALIMENTADOR PLAYA ATACAMES"/>
    <n v="194413.9"/>
    <n v="194413.9"/>
  </r>
  <r>
    <x v="2"/>
    <n v="1"/>
    <s v="HABILITACIÓN E INTEGRACIÓN DE SISTEMA DE MEDICIÓN DE SUBESTACIONES Y ALIMENTADORES AL CENTRO DE CONTROL"/>
    <n v="140273.32999999999"/>
    <n v="140273.32999999999"/>
  </r>
  <r>
    <x v="2"/>
    <n v="1"/>
    <s v="READECUACIONES DE OBRAS CIVILES Y COMUNICACIONES EN SUBESTACIONES Y CENTRO DE CONTROL PARA IMPLEMENTACIÓN DE SISTEMA SCADA"/>
    <n v="105273.09"/>
    <n v="105273.09"/>
  </r>
  <r>
    <x v="2"/>
    <n v="1"/>
    <s v="REPOTENCIACIÓN DE SALIDAS SUBTERRÁNEAS DE LOS ALIMENTADORES PRIMARIOS DE LAS SUBESTACIONES DE LA UNIDAD DE NEGOCIO ESMERALDAS"/>
    <n v="192735.16999999998"/>
    <n v="192735.16999999998"/>
  </r>
  <r>
    <x v="3"/>
    <n v="0.84"/>
    <s v="CONSTRUCCIÓN DE LA L/S/T A 69 KV PASCUALES – MANGLERO, SUMINISTRO DE MATERIALES, EQUIPOS Y MANO DE OBRA"/>
    <n v="29172"/>
    <n v="24504.48"/>
  </r>
  <r>
    <x v="3"/>
    <n v="0.84009999999999996"/>
    <s v="CONSTRUCCIÓN DE LA L/S/T A 69 KV PASCUALES – MANGLERO, SUMINISTRO DE MATERIALES, EQUIPOS Y MANO DE OBRA"/>
    <n v="4054455.1"/>
    <n v="3406147.72951"/>
  </r>
  <r>
    <x v="4"/>
    <n v="0.7"/>
    <s v=" CONSTRUCCIÓN DE LA ALIMENTADORA A 13.8 KV MI LOTE 1"/>
    <n v="251167.19"/>
    <n v="175817.033"/>
  </r>
  <r>
    <x v="4"/>
    <n v="1"/>
    <s v=" CONSTRUCCIÓN DE LA ALIMENTADORA A 13.8 KV HUANCAVILCA 3"/>
    <n v="113907.52"/>
    <n v="113907.52"/>
  </r>
  <r>
    <x v="4"/>
    <n v="1"/>
    <s v=" EXTENSIÓN A LA LÍNEA DE SUBTRANSMISIÓN NUEVA PROSPERINA 2 PARA DIVIDIR LA BARRA A MAPASINGUE"/>
    <n v="246111.16"/>
    <n v="246111.16"/>
  </r>
  <r>
    <x v="4"/>
    <n v="1"/>
    <s v="CONSTRUCCIÓN DE LA ALIMENTADORA A 13.8 KV GUASMO 8"/>
    <n v="94822.57"/>
    <n v="94822.57"/>
  </r>
  <r>
    <x v="4"/>
    <n v="1"/>
    <s v="CONSTRUCCIÓN DE LA SUBESTACIÓN DE REDUCCCIÓN 69/13.8KV GUASMO 3 (OBRAS COMPLEMENTARIAS)"/>
    <n v="496784.22"/>
    <n v="496784.22"/>
  </r>
  <r>
    <x v="4"/>
    <n v="1"/>
    <s v="CONSTRUCCIÓN DE LA SUBESTACIÓN DE REDUCCCIÓN 69/13.8KV MI LOTE (OBRAS COMPLEMENTARIAS)"/>
    <n v="865666.62"/>
    <n v="865666.62"/>
  </r>
  <r>
    <x v="4"/>
    <n v="1"/>
    <s v="CONSTRUCCION DE LA SUBESTACIÓN DE REDUCCION 69/13.8 KV HUANCAVILCA (OBRAS COMPLEMENTARIAS)"/>
    <n v="633593.03"/>
    <n v="633593.03"/>
  </r>
  <r>
    <x v="5"/>
    <n v="1"/>
    <s v=" VARIANTE LINEA TRIFASICA CATARAMA - PIJULLO - POTOSI "/>
    <n v="231466.84000000003"/>
    <n v="231466.84000000003"/>
  </r>
  <r>
    <x v="5"/>
    <n v="1"/>
    <s v="LEVANTAMIENTO LÍNEAS DE SUBTRANSMISION CON CAMBIO DE ESTRUCTURAS"/>
    <n v="242065.82"/>
    <n v="242065.82"/>
  </r>
  <r>
    <x v="5"/>
    <n v="1"/>
    <s v="LINEA TRIFASICA PARROQUIA CARACOL - PARROQUIA LA UNION"/>
    <n v="198302.56"/>
    <n v="198302.56"/>
  </r>
  <r>
    <x v="5"/>
    <n v="1"/>
    <s v="PROYECTO SCADA AUTOMATIZACION"/>
    <n v="250420"/>
    <n v="250420"/>
  </r>
  <r>
    <x v="5"/>
    <n v="1"/>
    <s v="REPOTENCIACIÓN DE LA RED DE DISTRIBUCIÓN EN LA ZONA URBANA DEL CANTON VENTANAS"/>
    <n v="369889.25"/>
    <n v="369889.25"/>
  </r>
  <r>
    <x v="5"/>
    <n v="1"/>
    <s v="SALIDAS DE SUBESTACION PALENQUE (4) Y REPOTENCIACION ALIMENTADOR PALENQUE"/>
    <n v="402359.22"/>
    <n v="402359.22"/>
  </r>
  <r>
    <x v="5"/>
    <n v="1"/>
    <s v="SUMINISTRO, MONTAJE DE EQUIPOS Y AMPLIACIONES MENORES PARA INTERCONEXIÓN ENTRE ALIMENTADORES DE MT DE LAS DIFERENTES SUBESTACIONES"/>
    <n v="424702.6"/>
    <n v="424702.6"/>
  </r>
  <r>
    <x v="5"/>
    <n v="1"/>
    <s v="TRIFASEAMIENTO LINEA GUARE - SAN ANTONIO"/>
    <n v="130697.63"/>
    <n v="130697.63"/>
  </r>
  <r>
    <x v="6"/>
    <n v="1"/>
    <s v=" ADECUACIÓN DE INFRAESTRUCTURA EN LA S/E ELECTRICA MONTECRISTI 1 PARA LA IMPLEMENTACIÓN DEL SCADA"/>
    <n v="219280.19"/>
    <n v="219280.19"/>
  </r>
  <r>
    <x v="6"/>
    <n v="1"/>
    <s v="ADECUACIÓN DE INFRAESTRUCTURA DE LAS S/E LODANA PARA LA IMPLEMENTACIÓN DEL SCADA"/>
    <n v="331169.7"/>
    <n v="331169.7"/>
  </r>
  <r>
    <x v="6"/>
    <n v="1"/>
    <s v="CONSTRUCCIÓN DE LÍNEA TRIFÁSICA A 13.8 KV PARA LOS ALIMENTADORES 13.8 KV S/E JARAMIJO"/>
    <n v="401296.39999999997"/>
    <n v="401296.39999999997"/>
  </r>
  <r>
    <x v="6"/>
    <n v="1"/>
    <s v="REPOTENCIACIÓN DE LA INFRAESTRUCTURA CIVIL Y ELÉCTRICA DE LA S/E CHONE, 2x10-12,5 MVA (69/13,8kV)"/>
    <n v="3048253.7"/>
    <n v="3048253.7"/>
  </r>
  <r>
    <x v="7"/>
    <n v="1"/>
    <s v=" INSTALACIÓN SCADA"/>
    <n v="500000"/>
    <n v="500000"/>
  </r>
  <r>
    <x v="7"/>
    <n v="1"/>
    <s v="ADQUISICIÓN E INSTALACIÓN DE CUATRO INTERRUPTOR A 69 KV MOTORIZADO, ACCIONADO EN GRUPO, PARA INSTALAR EN POSTE, TELECONTROLADOS Y COMUNICADOS AL CENTRO DE CONTROL"/>
    <n v="295000"/>
    <n v="295000"/>
  </r>
  <r>
    <x v="7"/>
    <n v="1"/>
    <s v="CONSTRUCCIÓN DE LA LÍNEA DE SUBTRANSMISIÓN A 69 KV EL RECREO (GLR) - LOS BANCOS - YAGUACHI. 750 MCM ACAR, 21,5  KM. CON OPGW"/>
    <n v="2377960.48"/>
    <n v="2377960.48"/>
  </r>
  <r>
    <x v="7"/>
    <n v="1"/>
    <s v="CONSTRUCCIÓN DE LA LÍNEA DE SUBTRANSMISIÓN A 69 KV LA TRONCAL - PUERTO INCA"/>
    <n v="2997872.75"/>
    <n v="2997872.75"/>
  </r>
  <r>
    <x v="8"/>
    <n v="1"/>
    <s v=" ADQUISICIÓN DE EQUIPO DE LAVADO EN CALIENTE DE AISLADORES"/>
    <n v="195000"/>
    <n v="195000"/>
  </r>
  <r>
    <x v="8"/>
    <n v="1"/>
    <s v="ADQUISICIÓN Y MONTAJE DE RECONECTADORES, EQUIPOS DE COMUNICACIÓN E IMPLEMENTOS PARA LA INTEGRACIÓN DEL SCADA"/>
    <n v="254600"/>
    <n v="254600"/>
  </r>
  <r>
    <x v="8"/>
    <n v="1"/>
    <s v="CONSTRUCCIÓN POSICIONES DE SALIDA DE S/E 11 Y RECONFIGURACIÓN ALIMENTADORES EN SANTO DOMINGO"/>
    <n v="418359.88"/>
    <n v="418359.88"/>
  </r>
  <r>
    <x v="8"/>
    <n v="1"/>
    <s v="REPOTENCIACIÓN DE ALIMENTADOR PUEBLO NUEVO EN LA ZONA NORTE DE MANABÍ (COMPROMISO PRESIDENCIAL)"/>
    <n v="185484.51"/>
    <n v="185484.51"/>
  </r>
  <r>
    <x v="8"/>
    <n v="1"/>
    <s v="REPOTENCIACIÓN DE CENTROS DE TRANSFORMACIÓN, REDES DE BAJA Y MEDIA TENSIÓN DE LA ZONA NORTE DE MANABÍ"/>
    <n v="523485.45"/>
    <n v="523485.45"/>
  </r>
  <r>
    <x v="9"/>
    <n v="1"/>
    <s v=" REFORZAMIENTO EN LÍNEA DE SUBTRANSMISIÓN SAN LORENZO DEL MATE-CERECITA"/>
    <n v="554022.34"/>
    <n v="554022.34"/>
  </r>
  <r>
    <x v="9"/>
    <n v="1"/>
    <s v=" REPOTENCIACIÓN DE DOS TRANSFORMADORES DE POTENCIA DE 10/12 MVA -69/13,8 KV S/E CHANDUY Y MANGLARALTO"/>
    <n v="564000"/>
    <n v="564000"/>
  </r>
  <r>
    <x v="9"/>
    <n v="1"/>
    <s v="ADECUACIONES PARA SCADA"/>
    <n v="160000"/>
    <n v="160000"/>
  </r>
  <r>
    <x v="9"/>
    <n v="1"/>
    <s v="ADECUACIONES SCADA PARA SECCIONADORES TRIPOLARES A 69KV "/>
    <n v="340000"/>
    <n v="340000"/>
  </r>
  <r>
    <x v="9"/>
    <n v="1"/>
    <s v="REFORZAMIENTO DE LÍNEAS DE SUBTRANSMISIÓN SALINAS-CHIPIPE"/>
    <n v="188558.62"/>
    <n v="188558.62"/>
  </r>
  <r>
    <x v="9"/>
    <n v="1"/>
    <s v="REPOTENCIACIÓN 3 SWITCHGEARS DE MEDIO VOLTAJE PARA ACOPLAR LOS TRANSFORMADORES A ADQUIRIR"/>
    <n v="731068.8"/>
    <n v="731068.8"/>
  </r>
  <r>
    <x v="9"/>
    <n v="1"/>
    <s v="REPOTENCIACIÓN DE 31,9 KM DE REDES ABIERTAS A PREENSAMBLADAS Y 16 TRANSFORMADORES DE DISTRIBUCIÓN POR DIVISIÓN DE CIRCUITOS -DIVISIÓN PLAYAS"/>
    <n v="279855.48"/>
    <n v="279855.48"/>
  </r>
  <r>
    <x v="9"/>
    <n v="1"/>
    <s v="REPOTENCIACIÓN DE TRANSFORMADOR DE POTENCIA DE 16/20 MVA -69/13,8 KV DE S/E PLAYAS Y SAN VICENTE"/>
    <n v="796000"/>
    <n v="796000"/>
  </r>
  <r>
    <x v="9"/>
    <n v="1"/>
    <s v="REPOTENCIACION DEL ALIMENTADOR &quot;PROGRESO&quot; EN MEDIA TENSIÓN TRAMO SAN LORENZO-PROGRESO-SAN ANTONIO"/>
    <n v="350893.08"/>
    <n v="350893.08"/>
  </r>
  <r>
    <x v="10"/>
    <n v="1"/>
    <s v="ADQUISICIÓN DE EQUIPOS PARA SUPERVISIÓN, PRUEBAS Y CONTROL DE LA CALIDAD DE SERVICIO"/>
    <n v="496600"/>
    <n v="496600"/>
  </r>
  <r>
    <x v="10"/>
    <n v="1"/>
    <s v="ADQUISICIÓN DE UNA SUBESTACIÓN MÓVIL 16/20 MVA "/>
    <n v="900000"/>
    <n v="900000"/>
  </r>
  <r>
    <x v="10"/>
    <n v="1"/>
    <s v="AUTOMATIZACIÓN E IMPLANTACIÓN DE LA BAHÍA A 69 KV DE LA SUBESTACIÓN JIVINO DE CELEC TRANSELECTRIC PARA MEJORAR LA CALIDAD DE SERVICIO Y LA GESTIÓN DE LA DEMANDA EN CNEL UN SUCUMBIOS"/>
    <n v="470271.42"/>
    <n v="470271.42"/>
  </r>
  <r>
    <x v="10"/>
    <n v="1"/>
    <s v="CONSTRUCCION DE SALIDAS SUBTERRANEAS DE ALIMENTADORES PRIMARIOS DE LA SUBESTACION JIVINO Y ADECUACIÓN DEL PATIO DE MANIOBRAS DE LA SUBESTACION LAGO AGRIO"/>
    <n v="130437.68000000001"/>
    <n v="130437.68000000001"/>
  </r>
  <r>
    <x v="10"/>
    <n v="1"/>
    <s v="ELECTRIFICACIÓN DE COMUNIDAD BAVURUE KANKHE"/>
    <n v="34554"/>
    <n v="34554"/>
  </r>
  <r>
    <x v="10"/>
    <n v="1"/>
    <s v="ELECTRIFICACIÓN DE COOPERATIVA SIONA 2"/>
    <n v="31915.200000000001"/>
    <n v="31915.200000000001"/>
  </r>
  <r>
    <x v="10"/>
    <n v="1"/>
    <s v="ELECTRIFICACIÓN DE NUEVA ESPERANZA"/>
    <n v="27607.27"/>
    <n v="27607.27"/>
  </r>
  <r>
    <x v="10"/>
    <n v="1"/>
    <s v="REFORZAMIENTO DE REDES EN  LAS COMUNIDADES AKISUYO, AKSIR, RUMPIPAMBA._x000a_"/>
    <n v="104515.86"/>
    <n v="104515.86"/>
  </r>
  <r>
    <x v="10"/>
    <n v="1"/>
    <s v="REFORZAMIENTO DE REDES EN EL SECTOR DE PACAYACU - LA GUARAPERA"/>
    <n v="372758.98"/>
    <n v="372758.98"/>
  </r>
  <r>
    <x v="10"/>
    <n v="1"/>
    <s v="REFORZAMIENTO DE REDES RED TRIFASICA TARAPOA-LA “Y” DE CUYABENO"/>
    <n v="296116.34000000003"/>
    <n v="296116.34000000003"/>
  </r>
  <r>
    <x v="10"/>
    <n v="1"/>
    <s v="REPOTENCIACIÓN DE LA RED DE MEDIA Y BAJA TENSIÓN ALIMENTADOR COCA 3"/>
    <n v="485432.85"/>
    <n v="485432.85"/>
  </r>
  <r>
    <x v="10"/>
    <n v="1"/>
    <s v="REPOTENCIACIÓN LINEA DE SUBTRANSMISIÓN SACHA-ORELLANA "/>
    <n v="659423.32999999996"/>
    <n v="659423.32999999996"/>
  </r>
  <r>
    <x v="10"/>
    <n v="1"/>
    <s v="(en blanco)"/>
    <n v="13614.75"/>
    <n v="13614.75"/>
  </r>
  <r>
    <x v="11"/>
    <n v="1"/>
    <s v=" CONSTRUCCIÓN S/E BATÁN Y LÍNEA DE S/T ASOCIADA A 69 KV"/>
    <n v="2300000"/>
    <n v="2300000"/>
  </r>
  <r>
    <x v="11"/>
    <n v="1"/>
    <s v="MODERNIZACIÓN DE LAS REDES ELÉCTRICAS DEL CENTRO DE LA CIUDAD DE BAÑOS"/>
    <n v="312569"/>
    <n v="312569"/>
  </r>
  <r>
    <x v="12"/>
    <n v="0.85"/>
    <s v="CONCLUSIÓN INTEGRACIÓN DE LOS SISTEMAS DE SUBTRANSMISIÓN DE LAS EMPRESAS AZOGUES - CENTRO SUR - CELEC EP HIDROAZOGUEZ"/>
    <n v="797980.79"/>
    <n v="678283.67150000005"/>
  </r>
  <r>
    <x v="12"/>
    <n v="1"/>
    <s v=" POSICION DE LÍNEA PARA S/E GUAPAN UCEM EN LA S/E AZOGUES 1"/>
    <n v="245760.44"/>
    <n v="245760.44"/>
  </r>
  <r>
    <x v="12"/>
    <n v="1"/>
    <s v="EQUIPOS DE CALIDAD DE ENERGÍA E INGENIERÍA"/>
    <n v="252112.24"/>
    <n v="252112.24"/>
  </r>
  <r>
    <x v="13"/>
    <n v="1"/>
    <s v="ADQUISICIÓN E INSTALACIÓN DE RECONECTADORES PARA PROTECCIÓN Y CONTROL DE ALIMENTADORES RURALES DE DIDIS Y DIMS (ALIMENTADORES 1522, 1523, 1821, 2111, 2112, 2113, 2211, 2212, 2311, 2312, 0525, 0521, 1424 )"/>
    <n v="314363.8"/>
    <n v="314363.8"/>
  </r>
  <r>
    <x v="13"/>
    <n v="1"/>
    <s v="AUTOMATIZACIÓN DE LA DISTRIBUCIÓN - CAPÍTULO CONTROL Y COMUNICACIONES DE ALIMENTADORES URBANOS"/>
    <n v="137700"/>
    <n v="137700"/>
  </r>
  <r>
    <x v="13"/>
    <n v="1"/>
    <s v="AUTOMATIZACIÓN DE LA DISTRIBUCIÓN - CAPÍTULO SUBESTACIONES (S/ES 03, 04, 05)"/>
    <n v="975000"/>
    <n v="975000"/>
  </r>
  <r>
    <x v="13"/>
    <n v="1"/>
    <s v="CONSTRUCCIÓN DE LA BAHÍA SUBESTACIÓN LA TRONCAL A 69KV"/>
    <n v="333937.99"/>
    <n v="333937.99"/>
  </r>
  <r>
    <x v="13"/>
    <n v="1"/>
    <s v="REPOTENCIACIÓN DEL ALIMENTADOR VOLUNTAD DE DIOS COLONIA 10 AGOSTO / LA TRONCAL."/>
    <n v="298117.8"/>
    <n v="298117.8"/>
  </r>
  <r>
    <x v="13"/>
    <n v="1"/>
    <s v="(en blanco)"/>
    <n v="68066.2"/>
    <n v="68066.2"/>
  </r>
  <r>
    <x v="14"/>
    <n v="1"/>
    <s v=" IMPLEMENTACIÓN DE UN CENTRO DE DATOS PARA OPTIMIZAR LA DISPONIBILIDAD DE LOS SERVICIOS TECNOLÓGICOS DE LOS CLIENTES DE ELECGALAPAGOS S.A."/>
    <n v="250000"/>
    <n v="250000"/>
  </r>
  <r>
    <x v="14"/>
    <n v="1"/>
    <s v=" IMPLEMENTACIÓN DE UN ENLACE DE DATOS A NIVEL PROVINCIAL"/>
    <n v="446428.57"/>
    <n v="446428.57"/>
  </r>
  <r>
    <x v="14"/>
    <n v="1"/>
    <s v="CONSTRUCCIÓN DEL NUEVO ALIMENTADOR PRIMARIO NO. 4, PARA LA ZONA URBANA DE PUERTO AYORA"/>
    <n v="60162.83"/>
    <n v="60162.83"/>
  </r>
  <r>
    <x v="14"/>
    <n v="1"/>
    <s v="REPOTENCIACIÓN DE REDES DE DISTRIBUCIÓN DEL ALIMENTADOR 2 DEL SECTOR PERIMETRAL EN SAN CRISTÓBAL"/>
    <n v="43122.66"/>
    <n v="43122.66"/>
  </r>
  <r>
    <x v="15"/>
    <n v="1"/>
    <s v=" REFORZAMIENTO DE REDES DE MEDIO Y BAJO VOLTAJE CON REPOTENCIACION DE TRANSFORMADORES ACOMETIDAS Y MEDIDORES  PRIMARIO 55B"/>
    <n v="412228.88999999996"/>
    <n v="412228.88999999996"/>
  </r>
  <r>
    <x v="15"/>
    <n v="1"/>
    <s v=" REFORZAMIENTO DE REDES DE MEDIO Y BAJO VOLTAJE CON REPOTENCIACION DE TRANSFORMADORES ACOMETIDAS Y MEDIDORES  PRIMARIO POMASQUI 57F"/>
    <n v="15253.26"/>
    <n v="15253.26"/>
  </r>
  <r>
    <x v="15"/>
    <n v="1"/>
    <s v=" REFORZAMIENTO DE SISTEMAS DE MEDICIÓN CONCENTRADA"/>
    <n v="351904.77"/>
    <n v="351904.77"/>
  </r>
  <r>
    <x v="15"/>
    <n v="1"/>
    <s v="REFORZAMIENTO DE REDES DE MEDIO Y BAJO VOLTAJE CON REPOTENCIACION DE TRANSFORMADORES ACOMETIDAS Y MEDIDORES"/>
    <n v="701933.74"/>
    <n v="701933.74"/>
  </r>
  <r>
    <x v="15"/>
    <n v="1"/>
    <s v="REFORZAMIENTO DE REDES DE MEDIO Y BAJO VOLTAJE CON REPOTENCIACION DE TRANSFORMADORES ACOMETIDAS Y MEDIDORES PRIMARIO 58C "/>
    <n v="313808.08"/>
    <n v="313808.08"/>
  </r>
  <r>
    <x v="15"/>
    <n v="1"/>
    <s v="REFORZAMIENTO DE REDES DE MEDIO Y BAJO VOLTAJE CON REPOTENCIACION DE TRANSFORMADORES ACOMETIDAS Y MEDIDORES PRIMARIO 58D"/>
    <n v="165554.66"/>
    <n v="165554.66"/>
  </r>
  <r>
    <x v="15"/>
    <n v="1"/>
    <s v="REFORZAMIENTO DE REDES DE MEDIO Y BAJO VOLTAJE CON REPOTENCIACION DE TRANSFORMADORES ACOMETIDAS Y MEDIDORES PRIMARIO CONOCOTO 23C"/>
    <n v="18559.71"/>
    <n v="18559.71"/>
  </r>
  <r>
    <x v="15"/>
    <n v="1"/>
    <s v="REFORZAMIENTO DE REDES DE MEDIO Y BAJO VOLTAJE CON REPOTENCIACION DE TRANSFORMADORES ACOMETIDAS Y MEDIDORES PRIMARIO POMASQUI 57 G"/>
    <n v="335582.67"/>
    <n v="335582.67"/>
  </r>
  <r>
    <x v="15"/>
    <n v="1"/>
    <s v="(en blanco)"/>
    <n v="1764480.53"/>
    <n v="1764480.53"/>
  </r>
  <r>
    <x v="16"/>
    <n v="0"/>
    <s v="ADQUISICIÓN DE TRES CARGADORES DE BATERÍAS PARA LAS SUBESTACIONES Nº 01, Nº 07, Nº 10"/>
    <n v="42857.140000000014"/>
    <n v="0"/>
  </r>
  <r>
    <x v="16"/>
    <n v="0"/>
    <s v="REPOTENCIACIÓN DE LÍNEAS Y CENTROS DE TRANSFORMACIÓN COMUNIDAD GUANTUL GRANDE - FLORES"/>
    <n v="133340.13"/>
    <n v="0"/>
  </r>
  <r>
    <x v="16"/>
    <n v="0"/>
    <s v="REPOTENCIACIÓN DE REDES COMUNIDAD PUNGAL SANTA MARIANITA, LA MATRIZ"/>
    <n v="167857.35"/>
    <n v="0"/>
  </r>
  <r>
    <x v="16"/>
    <n v="0"/>
    <s v="REPOTENCIACIÓN DE REDES DE DISTRIBUCIÓN COMUNIDAD PUNGAL SAN PEDRO"/>
    <n v="125446.35"/>
    <n v="0"/>
  </r>
  <r>
    <x v="16"/>
    <n v="0"/>
    <s v="REPOTENCIACIÓN DE REDES DE DISTRIBUCIÓN COMUNIDAD TAMAUTE"/>
    <n v="83870.17"/>
    <n v="0"/>
  </r>
  <r>
    <x v="16"/>
    <n v="1"/>
    <s v=" REPOTENCIACIÓN DE LA S/E GATAZO"/>
    <n v="1109544"/>
    <n v="1109544"/>
  </r>
  <r>
    <x v="16"/>
    <n v="1"/>
    <s v="REPOSICIÓN DE INTERRUPTORES DE 69 KV PARA LA SUBESTACIÓN 3 Y 8"/>
    <n v="235400"/>
    <n v="235400"/>
  </r>
  <r>
    <x v="17"/>
    <n v="1"/>
    <s v=" ADECUACIÓN DE LA POSICIÓN AMALUZA EN LA SE CARIAMANGA"/>
    <n v="208547.6"/>
    <n v="208547.6"/>
  </r>
  <r>
    <x v="17"/>
    <n v="1"/>
    <s v=" AMPLIACIÓN BARRAJE DE 22 KV DE LA S/E CUMBARATZA EN LA PROVINCIA DE LOJA ETAPA I"/>
    <n v="563783.6"/>
    <n v="563783.6"/>
  </r>
  <r>
    <x v="17"/>
    <n v="1"/>
    <s v="LÍNEA DE SUBTRANSMISIÓN SE VELACRUZ - SE CATACOCHA"/>
    <n v="170000"/>
    <n v="170000"/>
  </r>
  <r>
    <x v="17"/>
    <n v="1"/>
    <s v="REFORZAMIENTO DE ALIMENTADORES PRIMARIOS CON INSTALACION DE RECONECTADORES"/>
    <n v="200000"/>
    <n v="200000"/>
  </r>
  <r>
    <x v="17"/>
    <n v="1"/>
    <s v="REPOTENCIACIÓN DE LAS REDES DE DISTRIBUCIÓN DE LA PROVINCIA DE LOJA ETAPA I"/>
    <n v="1000000"/>
    <n v="1000000"/>
  </r>
  <r>
    <x v="17"/>
    <n v="1"/>
    <s v="REPOTENCIACIÓN DE REDES DE DISTRIBUCIÓN EN LA PROVINCIA DE ZAMORA CHINCHIPE Y GUALAQUIZA ETAPA II"/>
    <n v="500000"/>
    <n v="500000"/>
  </r>
  <r>
    <x v="18"/>
    <n v="0"/>
    <s v=" IMPLEMENTACIÓN DATA CENTER, CENTRO DE CONTROL Y TELECOMUNICACIÓN PARA SCADA"/>
    <n v="173854.77"/>
    <n v="0"/>
  </r>
  <r>
    <x v="18"/>
    <n v="0"/>
    <s v="ADQUISICION DE PARARRAYOS 69 KV"/>
    <n v="19750"/>
    <n v="0"/>
  </r>
  <r>
    <x v="18"/>
    <n v="0"/>
    <s v="READECUACIÓN DE OBRAS CIVILES EN LA SUBESTACIÓN EL CALVARIO"/>
    <n v="315476.61000000004"/>
    <n v="0"/>
  </r>
  <r>
    <x v="18"/>
    <n v="1"/>
    <s v=" ADQUISICIÓN DE UNA SUBESTACIÓN MOVIL: 16/20 MVA-69/13.8 KV"/>
    <n v="832000"/>
    <n v="832000"/>
  </r>
  <r>
    <x v="18"/>
    <n v="1"/>
    <s v=" CONSTRUCCIÓN DE LA LÍNEA A 69 KV PANZALEO-PUJILÍ"/>
    <n v="1574528.37"/>
    <n v="1574528.37"/>
  </r>
  <r>
    <x v="18"/>
    <n v="1"/>
    <s v=" CONSTRUCCIÓN ENLACE ALIMENTADOR EMERGENCIA SAN MARCOS-ALAQUEZ CENTRO"/>
    <n v="120343.48"/>
    <n v="120343.48"/>
  </r>
  <r>
    <x v="18"/>
    <n v="1"/>
    <s v=" CONSTRUCCIÓN Y REMODELACIÓN ALIMENTADOR TRIFASICO SUBESTACIÓN MOVIL SALCEDO-CENTRO DE SALCEDO-ENLACETRIFASICO ALIMENTADOR EMPRESA ELÉCTRICA AMBATO-ALIMENTADOR NO. 3 SUBESTACIÓN SALCEDO"/>
    <n v="132763.31"/>
    <n v="132763.31"/>
  </r>
  <r>
    <x v="18"/>
    <n v="1"/>
    <s v="ADQUISICIÓN EQUIPO TRAILER PARA LAVADO DE AISLACIÓN CON VOLTAJE Y AGUA A PRESIÓN"/>
    <n v="306943.45"/>
    <n v="306943.45"/>
  </r>
  <r>
    <x v="18"/>
    <n v="1"/>
    <s v="CAMBIO DE REDES  PARA LAS SUBESTACIONES LA MANA, LA COCHA, SALCEDO, SAN RAFAEL, SIGCHOS Y EL CALVARIO"/>
    <n v="84000"/>
    <n v="84000"/>
  </r>
  <r>
    <x v="18"/>
    <n v="1"/>
    <s v="CONSTRUCCIÓN ENLACE TRIFÁSICO Y CAMBIO DE CONDUCTOR GUAYTACAMA TANICUCHÍ "/>
    <n v="145051.79999999999"/>
    <n v="145051.79999999999"/>
  </r>
  <r>
    <x v="18"/>
    <n v="1"/>
    <s v="PROVISÓN E INSTALACIÓN DE CABLES Y EQUIPOS DE COMUNICACIÓN"/>
    <n v="93969.600000000006"/>
    <n v="93969.600000000006"/>
  </r>
  <r>
    <x v="18"/>
    <n v="1"/>
    <s v="REFORZAMIENTO DE REDES CALLE 19 DE MAYO (LA MANÁ)"/>
    <n v="1191735.45"/>
    <n v="1191735.45"/>
  </r>
  <r>
    <x v="18"/>
    <n v="1"/>
    <s v="REM. BARRIO ALAQUEZ ORIENTE"/>
    <n v="23342.01"/>
    <n v="23342.01"/>
  </r>
  <r>
    <x v="19"/>
    <n v="1"/>
    <s v=" READECUACIÓN ALIMENTADOR CALLE MALDONADO Y MEJIA"/>
    <n v="189591.55"/>
    <n v="189591.55"/>
  </r>
  <r>
    <x v="19"/>
    <n v="1"/>
    <s v="ALIMENTADOR EXPRESO CHOTA PIMAMPIRO"/>
    <n v="318843.32"/>
    <n v="318843.32"/>
  </r>
  <r>
    <x v="19"/>
    <n v="1"/>
    <s v="CAMBIO DE REDES DE MT CONVENCIONALES A SEMIAISLADA EN ALIMENTADORES DE LAS SE CAYAMBE Y LA ESPERANZA"/>
    <n v="1052665.24"/>
    <n v="1052665.24"/>
  </r>
  <r>
    <x v="19"/>
    <n v="1"/>
    <s v="READECUACION DE LAS SALIDAS DE 13.8 KV SE CAYAMBE"/>
    <n v="314892.75"/>
    <n v="314892.75"/>
  </r>
  <r>
    <x v="19"/>
    <n v="1"/>
    <s v="READECUACIÓN DE RED Y AUMENTO DE POTENCIA YURACRUZ ALTO"/>
    <n v="41845.9"/>
    <n v="41845.9"/>
  </r>
</pivotCacheRecords>
</file>

<file path=xl/pivotCache/pivotCacheRecords3.xml><?xml version="1.0" encoding="utf-8"?>
<pivotCacheRecords xmlns="http://schemas.openxmlformats.org/spreadsheetml/2006/main" xmlns:r="http://schemas.openxmlformats.org/officeDocument/2006/relationships" count="355">
  <r>
    <x v="0"/>
    <s v="BIENES"/>
    <x v="0"/>
    <s v="Proyectos de expansión y refuerzo en el Sistema Nacional de Distribución"/>
    <x v="0"/>
    <x v="0"/>
    <x v="0"/>
    <s v="EL ORO"/>
    <x v="0"/>
    <n v="1"/>
    <x v="0"/>
    <s v="BID2-RSND-CNELEOR-DI-BI-002"/>
    <s v=" SISTEMA DE ILUMINACIÓN DE EMERGENCIA PORTATIL"/>
    <m/>
    <s v="LPN"/>
    <s v="ex-post"/>
    <s v="EJECUTADO BID"/>
    <s v="BID2-RSND-CNELEOR-DI-BI-002"/>
    <s v="QUEMCO CIA. LTDA."/>
    <s v="ECUATORIANA"/>
    <s v="PERSONA JURÍDICA"/>
    <n v="1790395405001"/>
    <s v="NO APLICA"/>
    <s v="NO APLICA"/>
    <s v="ING. ENRIQUE LUDEÑA ROMERO"/>
    <s v="DATO PENDIENTE"/>
    <m/>
    <n v="53826.38"/>
    <n v="0"/>
    <n v="64000"/>
    <n v="0"/>
    <n v="64000"/>
    <n v="0.12"/>
    <n v="7680"/>
    <n v="0"/>
    <n v="71680"/>
    <n v="43860"/>
    <n v="9966.3799999999974"/>
    <m/>
    <m/>
    <n v="64000"/>
    <m/>
    <n v="43860"/>
    <m/>
    <m/>
    <m/>
    <m/>
    <m/>
    <m/>
    <m/>
    <m/>
    <m/>
    <m/>
    <m/>
    <m/>
    <m/>
    <m/>
    <n v="9966.3799999999974"/>
    <n v="9966.3799999999974"/>
    <s v="DDL, IAO 27.1."/>
    <s v="NO APLICA"/>
    <s v="NO APLICA"/>
    <s v="NO APLICA"/>
    <s v="NO APLICA"/>
    <s v="NO APLICA"/>
    <d v="2016-01-18T00:00:00"/>
    <m/>
    <m/>
    <m/>
    <m/>
    <m/>
    <m/>
    <s v="NO APLICA"/>
    <s v="NO APLICA"/>
    <s v="NO APLICA"/>
    <m/>
    <m/>
    <m/>
    <d v="2016-01-21T00:00:00"/>
    <s v="NO APLICA"/>
    <s v="NO APLICA"/>
    <s v="NO APLICA"/>
    <m/>
    <s v="ü"/>
    <m/>
    <m/>
    <m/>
    <m/>
    <m/>
    <m/>
    <m/>
    <m/>
    <m/>
    <m/>
    <m/>
    <s v="ü"/>
    <s v="NO APLICA"/>
    <s v="NO APLICA"/>
    <s v="NO APLICA"/>
    <d v="2016-07-18T00:00:00"/>
    <n v="21930"/>
    <m/>
    <d v="2016-11-07T00:00:00"/>
    <n v="21930"/>
    <m/>
    <m/>
    <m/>
    <m/>
    <m/>
    <m/>
    <m/>
    <m/>
    <m/>
    <m/>
    <m/>
    <m/>
    <m/>
    <m/>
    <m/>
    <m/>
    <m/>
    <m/>
    <m/>
    <m/>
    <m/>
    <m/>
    <m/>
    <m/>
    <n v="43860"/>
    <m/>
    <m/>
    <m/>
    <m/>
    <m/>
    <m/>
    <m/>
    <n v="120"/>
    <s v="DESDE LA NOTIFICACIÓN DE LA ENTREGA DEL ANTICIPO"/>
    <d v="2016-07-19T00:00:00"/>
    <d v="2016-11-16T00:00:00"/>
    <s v="DATO PENDIENTE"/>
    <n v="30"/>
    <d v="2016-12-16T00:00:00"/>
    <n v="1"/>
    <d v="2016-11-28T00:00:00"/>
    <d v="2017-01-24T00:00:00"/>
    <n v="57"/>
    <n v="2"/>
    <d v="2017-02-18T00:00:00"/>
    <d v="2017-04-03T00:00:00"/>
    <n v="44"/>
    <m/>
    <m/>
    <m/>
    <m/>
    <m/>
    <m/>
    <m/>
    <m/>
    <m/>
    <m/>
    <m/>
    <m/>
    <n v="0"/>
    <n v="0"/>
    <n v="0"/>
    <n v="0"/>
    <n v="0"/>
    <n v="0"/>
    <n v="0"/>
    <n v="0"/>
    <n v="0.5"/>
    <n v="1"/>
    <n v="1"/>
    <n v="1"/>
    <n v="1"/>
    <n v="1"/>
    <n v="1"/>
    <n v="1"/>
    <n v="1"/>
    <n v="1"/>
    <n v="1"/>
    <n v="1"/>
    <n v="1"/>
    <n v="1"/>
    <n v="1"/>
    <n v="1"/>
    <n v="1"/>
    <n v="1"/>
    <n v="1"/>
    <n v="1"/>
    <n v="1"/>
    <n v="1"/>
    <n v="1"/>
    <n v="1"/>
    <n v="1"/>
    <x v="0"/>
    <n v="1"/>
    <n v="1"/>
    <n v="1"/>
    <x v="0"/>
    <s v="si"/>
    <s v="si"/>
    <s v="si"/>
    <s v="si"/>
    <s v="si"/>
    <s v="si"/>
    <s v="si"/>
    <x v="0"/>
    <s v="si"/>
    <s v="si"/>
    <s v="si"/>
    <m/>
    <m/>
    <m/>
    <m/>
    <m/>
    <m/>
    <m/>
    <m/>
    <m/>
    <m/>
    <s v="DEL SALDO SE UTILIZA EL UN VALOR DE US$10.173,62 PARA FINANCIAR EL PROCESO BID2-RSND-CNELGY-DI-OB-015 CONSTRUCCIÓN DE LA ALIMENTADORA A 13.8 KV MI LOTE 1"/>
    <m/>
    <m/>
    <m/>
  </r>
  <r>
    <x v="1"/>
    <s v="BIENES"/>
    <x v="1"/>
    <s v="Mejoramiento de la eficiencia y fiabilidad de la red"/>
    <x v="1"/>
    <x v="1"/>
    <x v="0"/>
    <s v="SANTO DOMINGO DE LOS TSACHILAS"/>
    <x v="1"/>
    <n v="1"/>
    <x v="0"/>
    <s v="BID2-RSND-CNELSTD-DI-BI-001"/>
    <s v=" ADQUISICIÓN DE EQUIPO DE LAVADO EN CALIENTE DE AISLADORES"/>
    <m/>
    <s v="LPN"/>
    <s v="ex-post"/>
    <s v="EJECUTADO BID"/>
    <s v="BID2-RSND-CNELSTD-DI-BI-001"/>
    <s v="QUEMCO CIA. LTDA."/>
    <s v="ECUATORIANA"/>
    <s v="PERSONA JURÍDICA"/>
    <n v="1790395405001"/>
    <m/>
    <m/>
    <m/>
    <m/>
    <m/>
    <n v="195000"/>
    <n v="0"/>
    <n v="195000"/>
    <n v="0"/>
    <n v="195000"/>
    <n v="0.12"/>
    <n v="23400"/>
    <n v="0"/>
    <n v="218400.00000000003"/>
    <n v="189500"/>
    <n v="5500"/>
    <m/>
    <m/>
    <n v="195000"/>
    <m/>
    <n v="189500"/>
    <m/>
    <m/>
    <m/>
    <m/>
    <m/>
    <m/>
    <m/>
    <m/>
    <m/>
    <m/>
    <m/>
    <m/>
    <m/>
    <m/>
    <n v="5500"/>
    <n v="5500"/>
    <s v="DDL, IAO 27.1."/>
    <s v="NO APLICA"/>
    <s v="NO APLICA"/>
    <s v="NO APLICA"/>
    <s v="NO APLICA"/>
    <s v="NO APLICA"/>
    <d v="2015-09-08T00:00:00"/>
    <d v="2015-09-11T00:00:00"/>
    <d v="2015-09-16T00:00:00"/>
    <d v="2015-10-06T00:00:00"/>
    <s v="NO APLICA"/>
    <d v="2015-10-19T00:00:00"/>
    <d v="2015-10-21T00:00:00"/>
    <s v="NO APLICA"/>
    <s v="NO APLICA"/>
    <s v="NO APLICA"/>
    <d v="2015-10-20T00:00:00"/>
    <s v="NO APLICA"/>
    <s v="DATO PENDIENTE"/>
    <d v="2015-12-07T00:00:00"/>
    <s v="NO APLICA"/>
    <s v="NO APLICA"/>
    <s v="NO APLICA"/>
    <m/>
    <s v="ü"/>
    <m/>
    <m/>
    <m/>
    <m/>
    <m/>
    <m/>
    <m/>
    <m/>
    <m/>
    <m/>
    <m/>
    <m/>
    <s v="NO APLICA"/>
    <s v="NO APLICA"/>
    <s v="NO APLICA"/>
    <d v="2016-02-19T00:00:00"/>
    <n v="94750"/>
    <m/>
    <d v="2016-09-29T00:00:00"/>
    <n v="94750"/>
    <m/>
    <m/>
    <m/>
    <m/>
    <m/>
    <m/>
    <m/>
    <m/>
    <m/>
    <m/>
    <m/>
    <m/>
    <m/>
    <m/>
    <m/>
    <m/>
    <m/>
    <m/>
    <m/>
    <m/>
    <m/>
    <m/>
    <m/>
    <m/>
    <n v="189500"/>
    <m/>
    <m/>
    <m/>
    <m/>
    <m/>
    <m/>
    <m/>
    <n v="210"/>
    <s v="DESDE LA NOTIFICACIÓN DE LA ENTREGA DEL ANTICIPO"/>
    <d v="2016-02-20T00:00:00"/>
    <d v="2016-09-17T00:00:00"/>
    <m/>
    <m/>
    <m/>
    <m/>
    <m/>
    <m/>
    <m/>
    <m/>
    <m/>
    <m/>
    <m/>
    <m/>
    <m/>
    <m/>
    <m/>
    <m/>
    <m/>
    <m/>
    <m/>
    <m/>
    <m/>
    <m/>
    <m/>
    <m/>
    <m/>
    <m/>
    <m/>
    <m/>
    <n v="0.7"/>
    <n v="1"/>
    <n v="1"/>
    <n v="1"/>
    <n v="1"/>
    <n v="1"/>
    <n v="1"/>
    <n v="1"/>
    <n v="1"/>
    <n v="1"/>
    <n v="1"/>
    <n v="1"/>
    <n v="1"/>
    <n v="1"/>
    <n v="1"/>
    <n v="1"/>
    <n v="1"/>
    <n v="1"/>
    <n v="1"/>
    <n v="1"/>
    <n v="1"/>
    <n v="1"/>
    <n v="1"/>
    <n v="1"/>
    <n v="1"/>
    <n v="1"/>
    <n v="1"/>
    <n v="1"/>
    <x v="0"/>
    <n v="1"/>
    <n v="1"/>
    <n v="1"/>
    <x v="0"/>
    <s v="si"/>
    <s v="si"/>
    <s v="si"/>
    <s v="si"/>
    <s v="si"/>
    <s v="si"/>
    <s v="si"/>
    <x v="0"/>
    <s v="si"/>
    <s v="si"/>
    <s v="si"/>
    <m/>
    <m/>
    <m/>
    <m/>
    <m/>
    <m/>
    <m/>
    <m/>
    <m/>
    <m/>
    <s v="EL BID RECOMIENDA QUE ESTE PROYECTO SEA ADICIONAL A ESTE COMPONENTE Y QUE SE DECLARE OTRO PROYECTO PARA CUMPLIR CON LOS 9 PROYECTOS QUE CONSTAN EN LA MATRIZ MPR (MARZO 2017), ESTE PROCESO DEBERÁ INCLUIRSE EN EL C1. DISTRIBUCIÓN"/>
    <m/>
    <m/>
    <m/>
  </r>
  <r>
    <x v="1"/>
    <s v="OBRAS"/>
    <x v="1"/>
    <s v="Mejoramiento de la eficiencia y fiabilidad de la red"/>
    <x v="2"/>
    <x v="2"/>
    <x v="0"/>
    <s v="SANTO DOMINGO DE LOS TSACHILAS"/>
    <x v="2"/>
    <n v="2"/>
    <x v="0"/>
    <s v="BID2-RSND-CNELSTD-AU-OB-006"/>
    <s v=" IMPLENTACION DEL SISTEMA SCADA (SEGUNDA FASE) EN EL ÁREA DE SERVICIO DE CNEL SANTO DOMINGO"/>
    <m/>
    <s v="LPN"/>
    <s v="ex-post"/>
    <s v="EJECUTADO BID"/>
    <s v="BID2-RSND-CNELSTD-AU-OB-006"/>
    <s v="QUEMCO CIA. LTDA."/>
    <s v="ECUATORIANA"/>
    <s v="PERSONA JURÍDICA"/>
    <n v="1790395405001"/>
    <m/>
    <m/>
    <m/>
    <m/>
    <m/>
    <n v="213600"/>
    <n v="0"/>
    <n v="238600"/>
    <n v="20807.48000000001"/>
    <n v="259407.48"/>
    <n v="0.12"/>
    <n v="28632"/>
    <m/>
    <n v="290536.37760000007"/>
    <n v="234407.48"/>
    <n v="0"/>
    <m/>
    <m/>
    <n v="238600"/>
    <m/>
    <n v="234407.48"/>
    <n v="0.12"/>
    <n v="28128.8976"/>
    <n v="262536.37760000007"/>
    <m/>
    <m/>
    <m/>
    <m/>
    <m/>
    <m/>
    <m/>
    <m/>
    <m/>
    <m/>
    <m/>
    <m/>
    <n v="0"/>
    <m/>
    <s v="NO APLICA"/>
    <s v="NO APLICA"/>
    <s v="NO APLICA"/>
    <s v="NO APLICA"/>
    <s v="NO APLICA"/>
    <d v="2017-11-01T00:00:00"/>
    <d v="2017-11-10T00:00:00"/>
    <d v="2017-11-15T00:00:00"/>
    <d v="2017-11-30T00:00:00"/>
    <m/>
    <d v="2017-12-06T00:00:00"/>
    <d v="2017-12-12T00:00:00"/>
    <s v="NO APLICA"/>
    <s v="NO APLICA"/>
    <s v="NO APLICA"/>
    <d v="2017-12-18T00:00:00"/>
    <s v="NO APLICA"/>
    <d v="2017-12-19T00:00:00"/>
    <d v="2018-06-05T00:00:00"/>
    <s v="NO APLICA"/>
    <s v="NO APLICA"/>
    <s v="NO APLICA"/>
    <m/>
    <m/>
    <m/>
    <m/>
    <m/>
    <m/>
    <m/>
    <m/>
    <m/>
    <m/>
    <m/>
    <m/>
    <m/>
    <m/>
    <m/>
    <m/>
    <m/>
    <m/>
    <m/>
    <m/>
    <m/>
    <m/>
    <m/>
    <m/>
    <m/>
    <m/>
    <m/>
    <m/>
    <m/>
    <m/>
    <m/>
    <m/>
    <m/>
    <m/>
    <m/>
    <m/>
    <m/>
    <m/>
    <m/>
    <m/>
    <m/>
    <m/>
    <m/>
    <m/>
    <m/>
    <m/>
    <n v="0"/>
    <m/>
    <m/>
    <m/>
    <m/>
    <m/>
    <m/>
    <m/>
    <n v="210"/>
    <s v="DESDE LA NOTIFICACIÓN DE LA ENTREGA DEL ANTICIPO"/>
    <m/>
    <m/>
    <m/>
    <m/>
    <m/>
    <m/>
    <m/>
    <m/>
    <m/>
    <m/>
    <m/>
    <m/>
    <m/>
    <m/>
    <m/>
    <m/>
    <m/>
    <m/>
    <m/>
    <m/>
    <m/>
    <m/>
    <m/>
    <m/>
    <m/>
    <m/>
    <m/>
    <m/>
    <m/>
    <m/>
    <m/>
    <m/>
    <m/>
    <m/>
    <m/>
    <m/>
    <m/>
    <m/>
    <n v="0"/>
    <n v="0"/>
    <n v="0"/>
    <n v="0"/>
    <n v="0"/>
    <n v="0"/>
    <n v="0"/>
    <n v="0"/>
    <n v="0"/>
    <n v="0.38"/>
    <n v="0.38"/>
    <n v="0.9"/>
    <n v="0.9"/>
    <n v="0.7"/>
    <n v="1"/>
    <n v="1"/>
    <n v="1"/>
    <n v="1"/>
    <n v="1"/>
    <n v="1"/>
    <x v="0"/>
    <n v="1"/>
    <n v="1"/>
    <n v="1"/>
    <x v="0"/>
    <s v="no"/>
    <s v="no"/>
    <s v="no"/>
    <s v="no"/>
    <s v="no"/>
    <s v="no"/>
    <s v="si"/>
    <x v="0"/>
    <s v="si"/>
    <s v="si"/>
    <s v="si"/>
    <s v="En ejecución, finaliza en noviembre 2018"/>
    <m/>
    <m/>
    <s v="Contrato en ejecución, finaliza el 07 de diciembre de 2018. Se está a la espera de un código de activación por parte de Oficina Central  y se procederá a solicitar el pago de la planilla correspondiente."/>
    <s v="En liquidación"/>
    <m/>
    <m/>
    <m/>
    <m/>
    <m/>
    <s v="REFORMA CONTENIDA EN LA SOLICITUD No. 4 FORMULARIO DE CONTROL DE CAMBIOS DEL 30 DE ENERO DE 2017, Y CORREO ELECTRÓNICO REMITIDO POR ANDRES BRAVO DE LA MISMA FECHA; PENDIENTE REGULARIZAR REFORMA PARA QUE ESTE SE INCREMENTE EL VALOR DEL PRESPUESTO REFERENCIAL, CON EL VALOR ASIGNADO AL PROCESO BID2-RSND-CNELSTD-FI-CI-004 QUE TENIA UN PRESUPUESTO DE US$25.000. VER CORREO DEL 19 DE ABRIL DE 2017, SE REFORMA EL TIPO DE CONTRATACIÓN DE BIENES POR OBRAS, SE MODIFICA EL CÓDIGO DEL PROCESO &quot;BID2-RSND-CNELSTD-AU-BI-004&quot; por  &quot;BID2-RSND-CNELSTD-AU-OB-006&quot;"/>
    <m/>
    <s v="AUTORIZADO MEDIANTE OFICIO Nro. MINFIN-SRF-2017-0216-O DE 17 DE MARZO DE 2017"/>
    <m/>
  </r>
  <r>
    <x v="2"/>
    <s v="BIENES"/>
    <x v="1"/>
    <s v="Mejoramiento de la eficiencia y fiabilidad de la red"/>
    <x v="1"/>
    <x v="1"/>
    <x v="0"/>
    <s v="SUCUMBIOS"/>
    <x v="3"/>
    <n v="1"/>
    <x v="0"/>
    <s v="BID2-RSND-CNELSUC-AU-BI-009"/>
    <s v="ADQUISICIÓN DE EQUIPOS PARA SUPERVISIÓN, PRUEBAS Y CONTROL DE LA CALIDAD DE SERVICIO"/>
    <m/>
    <s v="LPN"/>
    <s v="ex-post"/>
    <s v="EJECUTADO BID"/>
    <s v="BID2-RSND-CNELSUC-AU-BI-009"/>
    <s v="MACRONIVEL S.A"/>
    <s v="ECUATORIANA"/>
    <s v="PERSONA JURÍDICA"/>
    <s v="0992715723001"/>
    <m/>
    <m/>
    <m/>
    <m/>
    <m/>
    <n v="36450"/>
    <n v="0"/>
    <n v="36450"/>
    <n v="0"/>
    <n v="36450"/>
    <n v="0.12"/>
    <n v="4374"/>
    <n v="0"/>
    <n v="40824.000000000007"/>
    <n v="35356.480000000003"/>
    <n v="1093.5199999999968"/>
    <m/>
    <m/>
    <n v="33305.1"/>
    <m/>
    <n v="35356.480000000003"/>
    <n v="0.14000000000000001"/>
    <n v="4949.9072000000006"/>
    <n v="40306.387199999997"/>
    <m/>
    <m/>
    <m/>
    <m/>
    <m/>
    <m/>
    <m/>
    <m/>
    <m/>
    <m/>
    <m/>
    <n v="1093.5199999999968"/>
    <n v="1093.5199999999968"/>
    <s v="DDL, IAO 27.1."/>
    <s v="NO APLICA"/>
    <s v="NO APLICA"/>
    <s v="NO APLICA"/>
    <s v="NO APLICA"/>
    <s v="NO APLICA"/>
    <d v="2016-08-31T00:00:00"/>
    <d v="2016-09-07T00:00:00"/>
    <d v="2016-09-14T00:00:00"/>
    <d v="2016-09-28T00:00:00"/>
    <s v="NO APLICA"/>
    <d v="2016-10-12T00:00:00"/>
    <d v="2016-10-17T00:00:00"/>
    <s v="NO APLICA"/>
    <s v="NO APLICA"/>
    <s v="NO APLICA"/>
    <d v="2016-10-24T00:00:00"/>
    <s v="NO APLICA"/>
    <d v="2016-11-22T00:00:00"/>
    <d v="2016-03-29T00:00:00"/>
    <s v="NO APLICA"/>
    <s v="NO APLICA"/>
    <s v="NO APLICA"/>
    <m/>
    <m/>
    <m/>
    <m/>
    <m/>
    <m/>
    <m/>
    <m/>
    <m/>
    <m/>
    <m/>
    <m/>
    <m/>
    <m/>
    <s v="NO APLICA"/>
    <s v="NO APLICA"/>
    <s v="NO APLICA"/>
    <s v="DATO PENDIENTE"/>
    <m/>
    <m/>
    <m/>
    <m/>
    <m/>
    <m/>
    <m/>
    <m/>
    <m/>
    <m/>
    <m/>
    <m/>
    <m/>
    <m/>
    <m/>
    <m/>
    <m/>
    <m/>
    <m/>
    <m/>
    <m/>
    <m/>
    <m/>
    <m/>
    <m/>
    <m/>
    <m/>
    <m/>
    <n v="0"/>
    <m/>
    <m/>
    <m/>
    <m/>
    <m/>
    <m/>
    <m/>
    <n v="90"/>
    <s v="DESDE LA NOTIFICACIÓN DE LA ENTREGA DEL ANTICIPO"/>
    <s v="DATO PENDIENTE"/>
    <s v="DATO PENDIENTE"/>
    <m/>
    <m/>
    <m/>
    <m/>
    <m/>
    <m/>
    <m/>
    <m/>
    <m/>
    <m/>
    <m/>
    <m/>
    <m/>
    <m/>
    <m/>
    <m/>
    <m/>
    <m/>
    <m/>
    <m/>
    <m/>
    <m/>
    <m/>
    <m/>
    <m/>
    <m/>
    <m/>
    <m/>
    <m/>
    <m/>
    <m/>
    <m/>
    <m/>
    <m/>
    <m/>
    <m/>
    <n v="0.4"/>
    <n v="0.4"/>
    <n v="0.4"/>
    <n v="0.45"/>
    <n v="0.8"/>
    <n v="0.8"/>
    <n v="0.8"/>
    <n v="0.9"/>
    <n v="0.9"/>
    <n v="1"/>
    <n v="1"/>
    <n v="1"/>
    <n v="1"/>
    <n v="1"/>
    <n v="1"/>
    <n v="1"/>
    <n v="1"/>
    <n v="1"/>
    <n v="1"/>
    <n v="1"/>
    <x v="0"/>
    <n v="1"/>
    <n v="1"/>
    <n v="1"/>
    <x v="0"/>
    <s v="si"/>
    <s v="si"/>
    <s v="si"/>
    <s v="si"/>
    <s v="si"/>
    <s v="si"/>
    <s v="si"/>
    <x v="0"/>
    <s v="si"/>
    <s v="si"/>
    <s v="si"/>
    <m/>
    <m/>
    <m/>
    <m/>
    <m/>
    <m/>
    <m/>
    <m/>
    <m/>
    <m/>
    <s v="REAPERTURA DEL PROCESO BID2-RSND-CNELSUC-AU-BI-006, FORMULARIO DE CONTROL DE CAMBIOS, SOLICITUD No.4 DEL 30.MAY.2016"/>
    <m/>
    <s v="AUTORIZADO MEDIANTE OFICIO Nro. MINFIN-SRF-2017-0370-O DE 12 DE MAYO DE 2017"/>
    <m/>
  </r>
  <r>
    <x v="2"/>
    <s v="BIENES"/>
    <x v="1"/>
    <s v="Mejoramiento de la eficiencia y fiabilidad de la red"/>
    <x v="1"/>
    <x v="1"/>
    <x v="0"/>
    <s v="SUCUMBIOS"/>
    <x v="3"/>
    <n v="1"/>
    <x v="0"/>
    <s v="BID2-RSND-CNELSUC-AU-BI-010"/>
    <s v="ADQUISICIÓN DE EQUIPOS PARA SUPERVISIÓN, PRUEBAS Y CONTROL DE LA CALIDAD DE SERVICIO"/>
    <s v="Item 1"/>
    <s v="LPN"/>
    <s v="ex-post"/>
    <s v="EJECUTADO BID"/>
    <s v="BID2-RSND-CNELSUC-AU-BI-010"/>
    <s v="PROTECO COASIN S.A."/>
    <s v="ECUATORIANA"/>
    <s v="PERSONA JURÍDICA"/>
    <n v="1790051765001"/>
    <m/>
    <m/>
    <m/>
    <m/>
    <m/>
    <n v="115150"/>
    <n v="0"/>
    <n v="115150"/>
    <n v="0"/>
    <n v="115150"/>
    <n v="0.12"/>
    <n v="13818"/>
    <n v="0"/>
    <n v="128968.00000000001"/>
    <n v="103261.53000000001"/>
    <n v="11888.469999999987"/>
    <m/>
    <m/>
    <n v="115150"/>
    <n v="864.95"/>
    <n v="32261.27"/>
    <n v="0.14000000000000001"/>
    <n v="4516.5778000000009"/>
    <n v="36777.847799999996"/>
    <m/>
    <m/>
    <m/>
    <m/>
    <m/>
    <m/>
    <m/>
    <m/>
    <m/>
    <m/>
    <m/>
    <n v="82888.73"/>
    <n v="82888.73"/>
    <s v="DDL, IAO 27.1."/>
    <s v="NO APLICA"/>
    <s v="NO APLICA"/>
    <s v="NO APLICA"/>
    <s v="NO APLICA"/>
    <s v="NO APLICA"/>
    <d v="2016-08-31T00:00:00"/>
    <d v="2016-09-07T00:00:00"/>
    <d v="2016-09-14T00:00:00"/>
    <d v="2016-09-28T00:00:00"/>
    <s v="NO APLICA"/>
    <d v="2016-10-12T00:00:00"/>
    <d v="2016-10-17T00:00:00"/>
    <s v="NO APLICA"/>
    <s v="NO APLICA"/>
    <s v="NO APLICA"/>
    <d v="2016-11-07T00:00:00"/>
    <s v="NO APLICA"/>
    <d v="2016-11-07T00:00:00"/>
    <s v="DATO PENDIENTE"/>
    <s v="NO APLICA"/>
    <s v="NO APLICA"/>
    <s v="NO APLICA"/>
    <m/>
    <m/>
    <m/>
    <m/>
    <m/>
    <m/>
    <m/>
    <m/>
    <m/>
    <m/>
    <m/>
    <m/>
    <m/>
    <m/>
    <s v="NO APLICA"/>
    <s v="NO APLICA"/>
    <s v="NO APLICA"/>
    <d v="2017-01-25T00:00:00"/>
    <n v="16130.64"/>
    <m/>
    <m/>
    <m/>
    <m/>
    <m/>
    <m/>
    <m/>
    <m/>
    <m/>
    <m/>
    <m/>
    <m/>
    <m/>
    <m/>
    <m/>
    <m/>
    <m/>
    <m/>
    <m/>
    <m/>
    <m/>
    <m/>
    <m/>
    <m/>
    <m/>
    <m/>
    <m/>
    <n v="16130.64"/>
    <m/>
    <m/>
    <m/>
    <m/>
    <m/>
    <m/>
    <m/>
    <n v="90"/>
    <s v="DESDE LA NOTIFICACIÓN DE LA ENTREGA DEL ANTICIPO"/>
    <d v="2017-01-26T00:00:00"/>
    <d v="2017-04-26T00:00:00"/>
    <m/>
    <m/>
    <m/>
    <m/>
    <m/>
    <m/>
    <m/>
    <m/>
    <m/>
    <m/>
    <m/>
    <m/>
    <m/>
    <m/>
    <m/>
    <m/>
    <m/>
    <m/>
    <m/>
    <m/>
    <m/>
    <m/>
    <m/>
    <m/>
    <m/>
    <m/>
    <m/>
    <m/>
    <m/>
    <m/>
    <m/>
    <m/>
    <m/>
    <m/>
    <m/>
    <m/>
    <m/>
    <n v="0.2"/>
    <n v="0.4"/>
    <n v="0.6"/>
    <n v="0.8"/>
    <n v="0.8"/>
    <n v="0.8"/>
    <n v="1"/>
    <n v="1"/>
    <n v="1"/>
    <n v="1"/>
    <n v="1"/>
    <n v="1"/>
    <n v="1"/>
    <n v="1"/>
    <n v="1"/>
    <n v="1"/>
    <n v="1"/>
    <n v="1"/>
    <n v="1"/>
    <x v="0"/>
    <n v="1"/>
    <n v="1"/>
    <n v="1"/>
    <x v="0"/>
    <s v="si"/>
    <s v="si"/>
    <s v="si"/>
    <s v="si"/>
    <s v="si"/>
    <s v="si"/>
    <s v="si"/>
    <x v="0"/>
    <s v="si"/>
    <s v="si"/>
    <s v="si"/>
    <m/>
    <m/>
    <m/>
    <m/>
    <m/>
    <m/>
    <m/>
    <m/>
    <m/>
    <m/>
    <s v="REAPERTURA DEL PROCESOS BID2-RSND-CNELSUC-AU-BI-007, FORMULARIO DE CONTROL DE CAMBIOS, SOLICITUD No.4 DEL 30.MAY.2016"/>
    <m/>
    <s v="AUTORIZADO MEDIANTE OFICIO Nro. MINFIN-SRF-2017-0216-O DE 17 DE MARZO DE 2017"/>
    <m/>
  </r>
  <r>
    <x v="2"/>
    <s v="BIENES"/>
    <x v="1"/>
    <s v="Mejoramiento de la eficiencia y fiabilidad de la red"/>
    <x v="1"/>
    <x v="1"/>
    <x v="0"/>
    <s v="SUCUMBIOS"/>
    <x v="4"/>
    <n v="1"/>
    <x v="0"/>
    <s v="BID2-RSND-CNELSUC-AU-BI-010"/>
    <s v="ADQUISICIÓN DE EQUIPOS PARA SUPERVISIÓN, PRUEBAS Y CONTROL DE LA CALIDAD DE SERVICIO"/>
    <s v="Item 2"/>
    <s v="LPN"/>
    <s v="ex-post"/>
    <s v="EJECUTADO BID"/>
    <s v="BID2-RSND-CNELSUC-AU-BI-010"/>
    <s v="PROTECO COASIN S.A."/>
    <s v="ECUATORIANA"/>
    <s v="PERSONA JURÍDICA"/>
    <n v="1790051765001"/>
    <m/>
    <m/>
    <m/>
    <m/>
    <m/>
    <n v="0"/>
    <n v="0"/>
    <m/>
    <n v="0"/>
    <n v="0"/>
    <n v="0.12"/>
    <n v="0"/>
    <n v="0"/>
    <n v="0"/>
    <m/>
    <m/>
    <m/>
    <m/>
    <m/>
    <n v="1619.73"/>
    <m/>
    <m/>
    <m/>
    <n v="0"/>
    <m/>
    <m/>
    <m/>
    <m/>
    <m/>
    <m/>
    <m/>
    <m/>
    <m/>
    <m/>
    <m/>
    <n v="0"/>
    <n v="0"/>
    <s v="DDL, IAO 27.1."/>
    <s v="NO APLICA"/>
    <s v="NO APLICA"/>
    <s v="NO APLICA"/>
    <s v="NO APLICA"/>
    <s v="NO APLICA"/>
    <d v="2016-08-31T00:00:00"/>
    <d v="2016-09-07T00:00:00"/>
    <d v="2016-09-14T00:00:00"/>
    <d v="2016-09-28T00:00:00"/>
    <s v="NO APLICA"/>
    <d v="2016-10-12T00:00:00"/>
    <d v="2016-10-17T00:00:00"/>
    <s v="NO APLICA"/>
    <s v="NO APLICA"/>
    <s v="NO APLICA"/>
    <d v="2016-11-07T00:00:00"/>
    <s v="NO APLICA"/>
    <d v="2016-11-07T00:00:00"/>
    <s v="DATO PENDIENTE"/>
    <s v="NO APLICA"/>
    <s v="NO APLICA"/>
    <s v="NO APLICA"/>
    <m/>
    <m/>
    <m/>
    <m/>
    <m/>
    <m/>
    <m/>
    <m/>
    <m/>
    <m/>
    <m/>
    <m/>
    <m/>
    <m/>
    <s v="NO APLICA"/>
    <s v="NO APLICA"/>
    <s v="NO APLICA"/>
    <d v="2017-01-25T00:00:00"/>
    <m/>
    <m/>
    <m/>
    <m/>
    <m/>
    <m/>
    <m/>
    <m/>
    <m/>
    <m/>
    <m/>
    <m/>
    <m/>
    <m/>
    <m/>
    <m/>
    <m/>
    <m/>
    <m/>
    <m/>
    <m/>
    <m/>
    <m/>
    <m/>
    <m/>
    <m/>
    <m/>
    <m/>
    <n v="0"/>
    <m/>
    <m/>
    <m/>
    <m/>
    <m/>
    <m/>
    <m/>
    <n v="90"/>
    <s v="DESDE LA NOTIFICACIÓN DE LA ENTREGA DEL ANTICIPO"/>
    <d v="2017-01-26T00:00:00"/>
    <d v="2017-04-26T00:00:00"/>
    <m/>
    <m/>
    <m/>
    <m/>
    <m/>
    <m/>
    <m/>
    <m/>
    <m/>
    <m/>
    <m/>
    <m/>
    <m/>
    <m/>
    <m/>
    <m/>
    <m/>
    <m/>
    <m/>
    <m/>
    <m/>
    <m/>
    <m/>
    <m/>
    <m/>
    <m/>
    <m/>
    <m/>
    <m/>
    <m/>
    <m/>
    <m/>
    <m/>
    <m/>
    <m/>
    <m/>
    <m/>
    <n v="0.2"/>
    <n v="0.4"/>
    <n v="0.6"/>
    <n v="0.8"/>
    <n v="0.8"/>
    <n v="0.8"/>
    <n v="1"/>
    <n v="1"/>
    <n v="1"/>
    <n v="1"/>
    <n v="1"/>
    <n v="1"/>
    <n v="1"/>
    <n v="1"/>
    <n v="1"/>
    <n v="1"/>
    <n v="1"/>
    <n v="1"/>
    <n v="1"/>
    <x v="0"/>
    <n v="1"/>
    <n v="1"/>
    <n v="1"/>
    <x v="0"/>
    <s v="si"/>
    <s v="si"/>
    <s v="si"/>
    <s v="si"/>
    <s v="si"/>
    <s v="si"/>
    <s v="si"/>
    <x v="0"/>
    <s v="si"/>
    <s v="si"/>
    <s v="si"/>
    <m/>
    <m/>
    <m/>
    <m/>
    <m/>
    <m/>
    <m/>
    <m/>
    <m/>
    <m/>
    <m/>
    <m/>
    <s v="AUTORIZADO MEDIANTE OFICIO Nro. MINFIN-SRF-2017-0216-O DE 17 DE MARZO DE 2017"/>
    <m/>
  </r>
  <r>
    <x v="2"/>
    <s v="BIENES"/>
    <x v="1"/>
    <s v="Mejoramiento de la eficiencia y fiabilidad de la red"/>
    <x v="1"/>
    <x v="1"/>
    <x v="0"/>
    <s v="SUCUMBIOS"/>
    <x v="4"/>
    <n v="1"/>
    <x v="0"/>
    <s v="BID2-RSND-CNELSUC-AU-BI-010"/>
    <s v="ADQUISICIÓN DE EQUIPOS PARA SUPERVISIÓN, PRUEBAS Y CONTROL DE LA CALIDAD DE SERVICIO"/>
    <s v="Item 3"/>
    <s v="LPN"/>
    <s v="ex-post"/>
    <s v="EJECUTADO BID"/>
    <s v="BID2-RSND-CNELSUC-AU-BI-010"/>
    <s v="PROTECO COASIN S.A."/>
    <s v="ECUATORIANA"/>
    <s v="PERSONA JURÍDICA"/>
    <n v="1790051765001"/>
    <m/>
    <m/>
    <m/>
    <m/>
    <m/>
    <n v="0"/>
    <n v="0"/>
    <m/>
    <n v="0"/>
    <n v="0"/>
    <n v="0.12"/>
    <n v="0"/>
    <n v="0"/>
    <n v="0"/>
    <m/>
    <m/>
    <m/>
    <m/>
    <m/>
    <n v="810.54"/>
    <m/>
    <m/>
    <m/>
    <n v="0"/>
    <m/>
    <m/>
    <m/>
    <m/>
    <m/>
    <m/>
    <m/>
    <m/>
    <m/>
    <m/>
    <m/>
    <n v="0"/>
    <n v="0"/>
    <s v="DDL, IAO 27.1."/>
    <s v="NO APLICA"/>
    <s v="NO APLICA"/>
    <s v="NO APLICA"/>
    <s v="NO APLICA"/>
    <s v="NO APLICA"/>
    <d v="2016-08-31T00:00:00"/>
    <d v="2016-09-07T00:00:00"/>
    <d v="2016-09-14T00:00:00"/>
    <d v="2016-09-28T00:00:00"/>
    <s v="NO APLICA"/>
    <d v="2016-10-12T00:00:00"/>
    <d v="2016-10-17T00:00:00"/>
    <s v="NO APLICA"/>
    <s v="NO APLICA"/>
    <s v="NO APLICA"/>
    <d v="2016-11-07T00:00:00"/>
    <s v="NO APLICA"/>
    <d v="2016-11-07T00:00:00"/>
    <s v="DATO PENDIENTE"/>
    <s v="NO APLICA"/>
    <s v="NO APLICA"/>
    <s v="NO APLICA"/>
    <m/>
    <m/>
    <m/>
    <m/>
    <m/>
    <m/>
    <m/>
    <m/>
    <m/>
    <m/>
    <m/>
    <m/>
    <m/>
    <m/>
    <s v="NO APLICA"/>
    <s v="NO APLICA"/>
    <s v="NO APLICA"/>
    <d v="2017-01-25T00:00:00"/>
    <m/>
    <m/>
    <m/>
    <m/>
    <m/>
    <m/>
    <m/>
    <m/>
    <m/>
    <m/>
    <m/>
    <m/>
    <m/>
    <m/>
    <m/>
    <m/>
    <m/>
    <m/>
    <m/>
    <m/>
    <m/>
    <m/>
    <m/>
    <m/>
    <m/>
    <m/>
    <m/>
    <m/>
    <n v="0"/>
    <m/>
    <m/>
    <m/>
    <m/>
    <m/>
    <m/>
    <m/>
    <n v="90"/>
    <s v="DESDE LA NOTIFICACIÓN DE LA ENTREGA DEL ANTICIPO"/>
    <d v="2017-01-26T00:00:00"/>
    <d v="2017-04-26T00:00:00"/>
    <m/>
    <m/>
    <m/>
    <m/>
    <m/>
    <m/>
    <m/>
    <m/>
    <m/>
    <m/>
    <m/>
    <m/>
    <m/>
    <m/>
    <m/>
    <m/>
    <m/>
    <m/>
    <m/>
    <m/>
    <m/>
    <m/>
    <m/>
    <m/>
    <m/>
    <m/>
    <m/>
    <m/>
    <m/>
    <m/>
    <m/>
    <m/>
    <m/>
    <m/>
    <m/>
    <m/>
    <m/>
    <n v="0.2"/>
    <n v="0.4"/>
    <n v="0.6"/>
    <n v="0.8"/>
    <n v="0.8"/>
    <n v="0.8"/>
    <n v="1"/>
    <n v="1"/>
    <n v="1"/>
    <n v="1"/>
    <n v="1"/>
    <n v="1"/>
    <n v="1"/>
    <n v="1"/>
    <n v="1"/>
    <n v="1"/>
    <n v="1"/>
    <n v="1"/>
    <n v="1"/>
    <x v="0"/>
    <n v="1"/>
    <n v="1"/>
    <n v="1"/>
    <x v="0"/>
    <s v="si"/>
    <s v="si"/>
    <s v="si"/>
    <s v="si"/>
    <s v="si"/>
    <s v="si"/>
    <s v="si"/>
    <x v="0"/>
    <s v="si"/>
    <s v="si"/>
    <s v="si"/>
    <m/>
    <m/>
    <m/>
    <m/>
    <m/>
    <m/>
    <m/>
    <m/>
    <m/>
    <m/>
    <m/>
    <m/>
    <s v="AUTORIZADO MEDIANTE OFICIO Nro. MINFIN-SRF-2017-0216-O DE 17 DE MARZO DE 2017"/>
    <m/>
  </r>
  <r>
    <x v="2"/>
    <s v="BIENES"/>
    <x v="1"/>
    <s v="Mejoramiento de la eficiencia y fiabilidad de la red"/>
    <x v="1"/>
    <x v="1"/>
    <x v="0"/>
    <s v="SUCUMBIOS"/>
    <x v="4"/>
    <n v="1"/>
    <x v="0"/>
    <s v="BID2-RSND-CNELSUC-AU-BI-010"/>
    <s v="ADQUISICIÓN DE EQUIPOS PARA SUPERVISIÓN, PRUEBAS Y CONTROL DE LA CALIDAD DE SERVICIO"/>
    <s v="Item 7"/>
    <s v="LPN"/>
    <s v="ex-post"/>
    <s v="EJECUTADO BID"/>
    <s v="BID2-RSND-CNELSUC-AU-BI-010"/>
    <s v="PROTECO COASIN S.A."/>
    <s v="ECUATORIANA"/>
    <s v="PERSONA JURÍDICA"/>
    <n v="1790051765001"/>
    <m/>
    <m/>
    <m/>
    <m/>
    <m/>
    <n v="0"/>
    <n v="0"/>
    <m/>
    <n v="0"/>
    <n v="0"/>
    <n v="0.12"/>
    <n v="0"/>
    <n v="0"/>
    <n v="0"/>
    <m/>
    <m/>
    <m/>
    <m/>
    <m/>
    <n v="28966.05"/>
    <m/>
    <m/>
    <m/>
    <n v="0"/>
    <m/>
    <m/>
    <m/>
    <m/>
    <m/>
    <m/>
    <m/>
    <m/>
    <m/>
    <m/>
    <m/>
    <n v="0"/>
    <n v="0"/>
    <s v="DDL, IAO 27.1."/>
    <s v="NO APLICA"/>
    <s v="NO APLICA"/>
    <s v="NO APLICA"/>
    <s v="NO APLICA"/>
    <s v="NO APLICA"/>
    <d v="2016-08-31T00:00:00"/>
    <d v="2016-09-07T00:00:00"/>
    <d v="2016-09-14T00:00:00"/>
    <d v="2016-09-28T00:00:00"/>
    <s v="NO APLICA"/>
    <d v="2016-10-12T00:00:00"/>
    <d v="2016-10-17T00:00:00"/>
    <s v="NO APLICA"/>
    <s v="NO APLICA"/>
    <s v="NO APLICA"/>
    <d v="2016-11-07T00:00:00"/>
    <s v="NO APLICA"/>
    <d v="2016-11-07T00:00:00"/>
    <s v="DATO PENDIENTE"/>
    <s v="NO APLICA"/>
    <s v="NO APLICA"/>
    <s v="NO APLICA"/>
    <m/>
    <m/>
    <m/>
    <m/>
    <m/>
    <m/>
    <m/>
    <m/>
    <m/>
    <m/>
    <m/>
    <m/>
    <m/>
    <m/>
    <s v="NO APLICA"/>
    <s v="NO APLICA"/>
    <s v="NO APLICA"/>
    <d v="2017-01-25T00:00:00"/>
    <m/>
    <m/>
    <m/>
    <m/>
    <m/>
    <m/>
    <m/>
    <m/>
    <m/>
    <m/>
    <m/>
    <m/>
    <m/>
    <m/>
    <m/>
    <m/>
    <m/>
    <m/>
    <m/>
    <m/>
    <m/>
    <m/>
    <m/>
    <m/>
    <m/>
    <m/>
    <m/>
    <m/>
    <n v="0"/>
    <m/>
    <m/>
    <m/>
    <m/>
    <m/>
    <m/>
    <m/>
    <n v="90"/>
    <s v="DESDE LA NOTIFICACIÓN DE LA ENTREGA DEL ANTICIPO"/>
    <d v="2017-01-26T00:00:00"/>
    <d v="2017-04-26T00:00:00"/>
    <m/>
    <m/>
    <m/>
    <m/>
    <m/>
    <m/>
    <m/>
    <m/>
    <m/>
    <m/>
    <m/>
    <m/>
    <m/>
    <m/>
    <m/>
    <m/>
    <m/>
    <m/>
    <m/>
    <m/>
    <m/>
    <m/>
    <m/>
    <m/>
    <m/>
    <m/>
    <m/>
    <m/>
    <m/>
    <m/>
    <m/>
    <m/>
    <m/>
    <m/>
    <m/>
    <m/>
    <m/>
    <n v="0.2"/>
    <n v="0.4"/>
    <n v="0.6"/>
    <n v="0.8"/>
    <n v="0.8"/>
    <n v="0.8"/>
    <n v="1"/>
    <n v="1"/>
    <n v="1"/>
    <n v="1"/>
    <n v="1"/>
    <n v="1"/>
    <n v="1"/>
    <n v="1"/>
    <n v="1"/>
    <n v="1"/>
    <n v="1"/>
    <n v="1"/>
    <n v="1"/>
    <x v="0"/>
    <n v="1"/>
    <n v="1"/>
    <n v="1"/>
    <x v="0"/>
    <s v="si"/>
    <s v="si"/>
    <s v="si"/>
    <s v="si"/>
    <s v="si"/>
    <s v="si"/>
    <s v="si"/>
    <x v="0"/>
    <s v="si"/>
    <s v="si"/>
    <s v="si"/>
    <m/>
    <m/>
    <m/>
    <m/>
    <m/>
    <m/>
    <m/>
    <m/>
    <m/>
    <m/>
    <m/>
    <m/>
    <s v="AUTORIZADO MEDIANTE OFICIO Nro. MINFIN-SRF-2017-0216-O DE 17 DE MARZO DE 2017"/>
    <m/>
  </r>
  <r>
    <x v="2"/>
    <s v="BIENES"/>
    <x v="1"/>
    <s v="Mejoramiento de la eficiencia y fiabilidad de la red"/>
    <x v="1"/>
    <x v="1"/>
    <x v="0"/>
    <s v="SUCUMBIOS"/>
    <x v="4"/>
    <n v="1"/>
    <x v="0"/>
    <s v="BID2-RSND-CNELSUC-AU-BI-010"/>
    <s v="ADQUISICIÓN DE EQUIPOS PARA SUPERVISIÓN, PRUEBAS Y CONTROL DE LA CALIDAD DE SERVICIO"/>
    <s v="Item 5"/>
    <s v="LPN"/>
    <s v="ex-post"/>
    <s v="EJECUTADO BID"/>
    <s v="BID2-RSND-CNELSUC-AU-BI-010"/>
    <s v="MACRONIVEL S.A"/>
    <s v="ECUATORIANA"/>
    <s v="PERSONA JURÍDICA"/>
    <s v="0992715723001"/>
    <m/>
    <m/>
    <m/>
    <m/>
    <m/>
    <n v="0"/>
    <n v="0"/>
    <m/>
    <n v="0"/>
    <n v="0"/>
    <n v="0.12"/>
    <n v="0"/>
    <n v="0"/>
    <n v="0"/>
    <m/>
    <m/>
    <m/>
    <m/>
    <m/>
    <n v="21591.37"/>
    <n v="63600.259999999995"/>
    <n v="0.14000000000000001"/>
    <n v="8904.0364000000009"/>
    <n v="72504.296399999992"/>
    <m/>
    <m/>
    <m/>
    <m/>
    <m/>
    <m/>
    <m/>
    <m/>
    <m/>
    <m/>
    <m/>
    <n v="-63600.259999999995"/>
    <n v="-63600.259999999995"/>
    <s v="DDL, IAO 27.1."/>
    <s v="NO APLICA"/>
    <s v="NO APLICA"/>
    <s v="NO APLICA"/>
    <s v="NO APLICA"/>
    <s v="NO APLICA"/>
    <d v="2016-08-31T00:00:00"/>
    <d v="2016-09-07T00:00:00"/>
    <d v="2016-09-14T00:00:00"/>
    <d v="2016-09-28T00:00:00"/>
    <s v="NO APLICA"/>
    <d v="2016-10-12T00:00:00"/>
    <d v="2016-10-17T00:00:00"/>
    <s v="NO APLICA"/>
    <s v="NO APLICA"/>
    <s v="NO APLICA"/>
    <d v="2016-11-07T00:00:00"/>
    <s v="NO APLICA"/>
    <d v="2016-11-07T00:00:00"/>
    <s v="DATO PENDIENTE"/>
    <s v="NO APLICA"/>
    <s v="NO APLICA"/>
    <s v="NO APLICA"/>
    <m/>
    <m/>
    <m/>
    <m/>
    <m/>
    <m/>
    <m/>
    <m/>
    <m/>
    <m/>
    <m/>
    <m/>
    <m/>
    <m/>
    <s v="NO APLICA"/>
    <s v="NO APLICA"/>
    <s v="NO APLICA"/>
    <d v="2017-01-25T00:00:00"/>
    <n v="31800.13"/>
    <m/>
    <m/>
    <m/>
    <m/>
    <m/>
    <m/>
    <m/>
    <m/>
    <m/>
    <m/>
    <m/>
    <m/>
    <m/>
    <m/>
    <m/>
    <m/>
    <m/>
    <m/>
    <m/>
    <m/>
    <m/>
    <m/>
    <m/>
    <m/>
    <m/>
    <m/>
    <m/>
    <n v="31800.13"/>
    <m/>
    <m/>
    <m/>
    <m/>
    <m/>
    <m/>
    <m/>
    <n v="90"/>
    <s v="DESDE LA NOTIFICACIÓN DE LA ENTREGA DEL ANTICIPO"/>
    <d v="2017-01-26T00:00:00"/>
    <d v="2017-04-26T00:00:00"/>
    <m/>
    <m/>
    <m/>
    <m/>
    <m/>
    <m/>
    <m/>
    <m/>
    <m/>
    <m/>
    <m/>
    <m/>
    <m/>
    <m/>
    <m/>
    <m/>
    <m/>
    <m/>
    <m/>
    <m/>
    <m/>
    <m/>
    <m/>
    <m/>
    <m/>
    <m/>
    <m/>
    <m/>
    <m/>
    <m/>
    <m/>
    <m/>
    <m/>
    <m/>
    <m/>
    <m/>
    <m/>
    <n v="0.2"/>
    <n v="0.4"/>
    <n v="0.6"/>
    <n v="0.8"/>
    <n v="0.8"/>
    <n v="0.8"/>
    <n v="1"/>
    <n v="1"/>
    <n v="1"/>
    <n v="1"/>
    <n v="1"/>
    <n v="1"/>
    <n v="1"/>
    <n v="1"/>
    <n v="1"/>
    <n v="1"/>
    <n v="1"/>
    <n v="1"/>
    <n v="1"/>
    <x v="0"/>
    <n v="1"/>
    <n v="1"/>
    <n v="1"/>
    <x v="0"/>
    <s v="si"/>
    <s v="si"/>
    <s v="si"/>
    <s v="si"/>
    <s v="si"/>
    <s v="si"/>
    <s v="si"/>
    <x v="0"/>
    <s v="si"/>
    <s v="si"/>
    <s v="si"/>
    <m/>
    <m/>
    <m/>
    <m/>
    <m/>
    <m/>
    <m/>
    <m/>
    <m/>
    <m/>
    <m/>
    <m/>
    <s v="AUTORIZADO MEDIANTE OFICIO Nro. MINFIN-SRF-2017-0216-O DE 17 DE MARZO DE 2017"/>
    <m/>
  </r>
  <r>
    <x v="2"/>
    <s v="BIENES"/>
    <x v="1"/>
    <s v="Mejoramiento de la eficiencia y fiabilidad de la red"/>
    <x v="1"/>
    <x v="1"/>
    <x v="0"/>
    <s v="SUCUMBIOS"/>
    <x v="4"/>
    <n v="1"/>
    <x v="0"/>
    <s v="BID2-RSND-CNELSUC-AU-BI-010"/>
    <s v="ADQUISICIÓN DE EQUIPOS PARA SUPERVISIÓN, PRUEBAS Y CONTROL DE LA CALIDAD DE SERVICIO"/>
    <s v="Item 6"/>
    <s v="LPN"/>
    <s v="ex-post"/>
    <s v="EJECUTADO BID"/>
    <s v="BID2-RSND-CNELSUC-AU-BI-010"/>
    <s v="MACRONIVEL S.A"/>
    <s v="ECUATORIANA"/>
    <s v="PERSONA JURÍDICA"/>
    <s v="0992715723001"/>
    <m/>
    <m/>
    <m/>
    <m/>
    <m/>
    <n v="0"/>
    <n v="0"/>
    <m/>
    <n v="0"/>
    <n v="0"/>
    <n v="0.12"/>
    <n v="0"/>
    <n v="0"/>
    <n v="0"/>
    <m/>
    <m/>
    <m/>
    <m/>
    <m/>
    <n v="42008.89"/>
    <m/>
    <m/>
    <m/>
    <n v="0"/>
    <m/>
    <m/>
    <m/>
    <m/>
    <m/>
    <m/>
    <m/>
    <m/>
    <m/>
    <m/>
    <m/>
    <n v="0"/>
    <n v="0"/>
    <s v="DDL, IAO 27.1."/>
    <s v="NO APLICA"/>
    <s v="NO APLICA"/>
    <s v="NO APLICA"/>
    <s v="NO APLICA"/>
    <s v="NO APLICA"/>
    <d v="2016-08-31T00:00:00"/>
    <d v="2016-09-07T00:00:00"/>
    <d v="2016-09-14T00:00:00"/>
    <d v="2016-09-28T00:00:00"/>
    <s v="NO APLICA"/>
    <d v="2016-10-12T00:00:00"/>
    <d v="2016-10-17T00:00:00"/>
    <s v="NO APLICA"/>
    <s v="NO APLICA"/>
    <s v="NO APLICA"/>
    <d v="2016-11-07T00:00:00"/>
    <s v="NO APLICA"/>
    <d v="2016-11-07T00:00:00"/>
    <s v="DATO PENDIENTE"/>
    <s v="NO APLICA"/>
    <s v="NO APLICA"/>
    <s v="NO APLICA"/>
    <m/>
    <m/>
    <m/>
    <m/>
    <m/>
    <m/>
    <m/>
    <m/>
    <m/>
    <m/>
    <m/>
    <m/>
    <m/>
    <m/>
    <s v="NO APLICA"/>
    <s v="NO APLICA"/>
    <s v="NO APLICA"/>
    <d v="2017-01-25T00:00:00"/>
    <m/>
    <m/>
    <m/>
    <m/>
    <m/>
    <m/>
    <m/>
    <m/>
    <m/>
    <m/>
    <m/>
    <m/>
    <m/>
    <m/>
    <m/>
    <m/>
    <m/>
    <m/>
    <m/>
    <m/>
    <m/>
    <m/>
    <m/>
    <m/>
    <m/>
    <m/>
    <m/>
    <m/>
    <n v="0"/>
    <m/>
    <m/>
    <m/>
    <m/>
    <m/>
    <m/>
    <m/>
    <n v="90"/>
    <s v="DESDE LA NOTIFICACIÓN DE LA ENTREGA DEL ANTICIPO"/>
    <d v="2017-01-26T00:00:00"/>
    <d v="2017-04-26T00:00:00"/>
    <m/>
    <m/>
    <m/>
    <m/>
    <m/>
    <m/>
    <m/>
    <m/>
    <m/>
    <m/>
    <m/>
    <m/>
    <m/>
    <m/>
    <m/>
    <m/>
    <m/>
    <m/>
    <m/>
    <m/>
    <m/>
    <m/>
    <m/>
    <m/>
    <m/>
    <m/>
    <m/>
    <m/>
    <m/>
    <m/>
    <m/>
    <m/>
    <m/>
    <m/>
    <m/>
    <m/>
    <m/>
    <n v="0.2"/>
    <n v="0.4"/>
    <n v="0.6"/>
    <n v="0.8"/>
    <n v="0.8"/>
    <n v="0.8"/>
    <n v="1"/>
    <n v="1"/>
    <n v="1"/>
    <n v="1"/>
    <n v="1"/>
    <n v="1"/>
    <n v="1"/>
    <n v="1"/>
    <n v="1"/>
    <n v="1"/>
    <n v="1"/>
    <n v="1"/>
    <n v="1"/>
    <x v="0"/>
    <n v="1"/>
    <n v="1"/>
    <n v="1"/>
    <x v="0"/>
    <s v="si"/>
    <s v="si"/>
    <s v="si"/>
    <s v="si"/>
    <s v="si"/>
    <s v="si"/>
    <s v="si"/>
    <x v="0"/>
    <s v="si"/>
    <s v="si"/>
    <s v="si"/>
    <m/>
    <m/>
    <m/>
    <m/>
    <m/>
    <m/>
    <m/>
    <m/>
    <m/>
    <m/>
    <m/>
    <m/>
    <s v="AUTORIZADO MEDIANTE OFICIO Nro. MINFIN-SRF-2017-0216-O DE 17 DE MARZO DE 2017"/>
    <m/>
  </r>
  <r>
    <x v="2"/>
    <s v="BIENES"/>
    <x v="1"/>
    <s v="Mejoramiento de la eficiencia y fiabilidad de la red"/>
    <x v="1"/>
    <x v="1"/>
    <x v="0"/>
    <s v="SUCUMBIOS"/>
    <x v="4"/>
    <n v="1"/>
    <x v="0"/>
    <s v="BID2-RSND-CNELSUC-AU-BI-010"/>
    <s v="ADQUISICIÓN DE EQUIPOS PARA SUPERVISIÓN, PRUEBAS Y CONTROL DE LA CALIDAD DE SERVICIO"/>
    <s v="Item 4"/>
    <s v="LPN"/>
    <s v="ex-post"/>
    <s v="EJECUTADO BID"/>
    <s v="BID2-RSND-CNELSUC-AU-BI-010"/>
    <s v="QUEMCO CIA. LTDA."/>
    <s v="ECUATORIANA"/>
    <s v="PERSONA JURÍDICA"/>
    <n v="1790395405001"/>
    <m/>
    <m/>
    <m/>
    <m/>
    <m/>
    <n v="0"/>
    <n v="0"/>
    <m/>
    <n v="0"/>
    <n v="0"/>
    <n v="0.12"/>
    <n v="0"/>
    <n v="0"/>
    <n v="0"/>
    <m/>
    <m/>
    <m/>
    <m/>
    <m/>
    <m/>
    <n v="7400"/>
    <n v="0.14000000000000001"/>
    <n v="1036"/>
    <n v="8436"/>
    <m/>
    <m/>
    <m/>
    <m/>
    <m/>
    <m/>
    <m/>
    <m/>
    <m/>
    <m/>
    <m/>
    <n v="-7400"/>
    <n v="-7400"/>
    <s v="DDL, IAO 27.1."/>
    <s v="NO APLICA"/>
    <s v="NO APLICA"/>
    <s v="NO APLICA"/>
    <s v="NO APLICA"/>
    <s v="NO APLICA"/>
    <d v="2016-08-31T00:00:00"/>
    <d v="2016-09-07T00:00:00"/>
    <d v="2016-09-14T00:00:00"/>
    <d v="2016-09-28T00:00:00"/>
    <s v="NO APLICA"/>
    <d v="2016-10-12T00:00:00"/>
    <d v="2016-10-17T00:00:00"/>
    <s v="NO APLICA"/>
    <s v="NO APLICA"/>
    <s v="NO APLICA"/>
    <d v="2016-11-07T00:00:00"/>
    <s v="NO APLICA"/>
    <d v="2016-11-07T00:00:00"/>
    <s v="DATO PENDIENTE"/>
    <s v="NO APLICA"/>
    <s v="NO APLICA"/>
    <s v="NO APLICA"/>
    <m/>
    <m/>
    <m/>
    <m/>
    <m/>
    <m/>
    <m/>
    <m/>
    <m/>
    <m/>
    <m/>
    <m/>
    <m/>
    <m/>
    <s v="NO APLICA"/>
    <s v="NO APLICA"/>
    <s v="NO APLICA"/>
    <d v="2017-01-25T00:00:00"/>
    <m/>
    <m/>
    <m/>
    <m/>
    <m/>
    <m/>
    <m/>
    <m/>
    <m/>
    <m/>
    <m/>
    <m/>
    <m/>
    <m/>
    <m/>
    <m/>
    <m/>
    <m/>
    <m/>
    <m/>
    <m/>
    <m/>
    <m/>
    <m/>
    <m/>
    <m/>
    <m/>
    <m/>
    <n v="0"/>
    <m/>
    <m/>
    <m/>
    <m/>
    <m/>
    <m/>
    <m/>
    <n v="90"/>
    <s v="DESDE LA NOTIFICACIÓN DE LA ENTREGA DEL ANTICIPO"/>
    <d v="2017-01-26T00:00:00"/>
    <d v="2017-04-26T00:00:00"/>
    <m/>
    <m/>
    <m/>
    <m/>
    <m/>
    <m/>
    <m/>
    <m/>
    <m/>
    <m/>
    <m/>
    <m/>
    <m/>
    <m/>
    <m/>
    <m/>
    <m/>
    <m/>
    <m/>
    <m/>
    <m/>
    <m/>
    <m/>
    <m/>
    <m/>
    <m/>
    <m/>
    <m/>
    <m/>
    <m/>
    <m/>
    <m/>
    <m/>
    <m/>
    <m/>
    <m/>
    <m/>
    <n v="0.2"/>
    <n v="0.4"/>
    <n v="0.6"/>
    <n v="0.8"/>
    <n v="0.8"/>
    <n v="0.8"/>
    <n v="1"/>
    <n v="1"/>
    <n v="1"/>
    <n v="1"/>
    <n v="1"/>
    <n v="1"/>
    <n v="1"/>
    <n v="1"/>
    <n v="1"/>
    <n v="1"/>
    <n v="1"/>
    <n v="1"/>
    <n v="1"/>
    <x v="0"/>
    <n v="1"/>
    <n v="1"/>
    <n v="1"/>
    <x v="0"/>
    <s v="si"/>
    <s v="si"/>
    <s v="si"/>
    <s v="si"/>
    <s v="si"/>
    <s v="si"/>
    <s v="si"/>
    <x v="0"/>
    <s v="si"/>
    <s v="si"/>
    <s v="si"/>
    <m/>
    <m/>
    <m/>
    <m/>
    <m/>
    <m/>
    <m/>
    <m/>
    <m/>
    <m/>
    <m/>
    <m/>
    <s v="AUTORIZADO MEDIANTE OFICIO Nro. MINFIN-SRF-2017-0216-O DE 17 DE MARZO DE 2017"/>
    <m/>
  </r>
  <r>
    <x v="2"/>
    <s v="BIENES"/>
    <x v="1"/>
    <s v="Mejoramiento de la eficiencia y fiabilidad de la red"/>
    <x v="1"/>
    <x v="1"/>
    <x v="0"/>
    <s v="SUCUMBIOS"/>
    <x v="3"/>
    <n v="1"/>
    <x v="0"/>
    <s v="BID2-RSND-CNELSUC-AU-BI-008"/>
    <s v="ADQUISICIÓN DE EQUIPOS PARA SUPERVISIÓN, PRUEBAS Y CONTROL DE LA CALIDAD DE SERVICIO"/>
    <m/>
    <s v="LPN"/>
    <s v="ex-post"/>
    <s v="EJECUTADO BID"/>
    <s v="268-16"/>
    <s v="MACRONIVEL S.A"/>
    <s v="ECUATORIANA"/>
    <s v="PERSONA JURÍDICA"/>
    <s v="0992715723001"/>
    <s v="NO APLICA"/>
    <s v="NO APLICA"/>
    <s v="ING. JORGE LARA"/>
    <s v="099 8902835"/>
    <m/>
    <n v="113000"/>
    <n v="0"/>
    <n v="113000"/>
    <n v="0"/>
    <n v="113000"/>
    <n v="0.12"/>
    <n v="13560"/>
    <n v="0"/>
    <n v="126560.00000000001"/>
    <n v="111349.2"/>
    <n v="1650.8000000000029"/>
    <m/>
    <m/>
    <n v="113000"/>
    <m/>
    <n v="111349.2"/>
    <n v="0.14000000000000001"/>
    <m/>
    <n v="126938.08799999999"/>
    <m/>
    <m/>
    <m/>
    <m/>
    <m/>
    <m/>
    <m/>
    <m/>
    <m/>
    <m/>
    <m/>
    <n v="1650.8000000000029"/>
    <n v="1650.8000000000029"/>
    <m/>
    <s v="NO APLICA"/>
    <s v="NO APLICA"/>
    <s v="NO APLICA"/>
    <s v="NO APLICA"/>
    <s v="NO APLICA"/>
    <m/>
    <m/>
    <m/>
    <m/>
    <m/>
    <m/>
    <m/>
    <s v="NO APLICA"/>
    <s v="NO APLICA"/>
    <s v="NO APLICA"/>
    <d v="2016-04-01T00:00:00"/>
    <s v="NO APLICA"/>
    <s v="DATO PENDIENTE"/>
    <d v="2016-09-09T00:00:00"/>
    <s v="NO APLICA"/>
    <s v="NO APLICA"/>
    <s v="NO APLICA"/>
    <m/>
    <m/>
    <m/>
    <m/>
    <m/>
    <m/>
    <m/>
    <m/>
    <m/>
    <m/>
    <m/>
    <m/>
    <m/>
    <s v="ü"/>
    <s v="NO APLICA"/>
    <s v="NO APLICA"/>
    <s v="NO APLICA"/>
    <d v="2016-10-10T00:00:00"/>
    <n v="55674.6"/>
    <s v="Pago 3/3 - Liquidación 100%"/>
    <d v="2017-04-25T00:00:00"/>
    <n v="55674.6"/>
    <m/>
    <m/>
    <m/>
    <m/>
    <m/>
    <m/>
    <m/>
    <m/>
    <m/>
    <m/>
    <m/>
    <m/>
    <m/>
    <m/>
    <m/>
    <m/>
    <m/>
    <m/>
    <m/>
    <m/>
    <m/>
    <m/>
    <m/>
    <m/>
    <n v="111349.2"/>
    <m/>
    <m/>
    <m/>
    <m/>
    <m/>
    <m/>
    <m/>
    <n v="90"/>
    <s v="DESDE LA NOTIFICACIÓN DE LA ENTREGA DEL ANTICIPO"/>
    <d v="2016-10-11T00:00:00"/>
    <d v="2017-01-09T00:00:00"/>
    <m/>
    <m/>
    <m/>
    <m/>
    <m/>
    <m/>
    <m/>
    <m/>
    <m/>
    <m/>
    <m/>
    <m/>
    <m/>
    <m/>
    <m/>
    <m/>
    <m/>
    <m/>
    <m/>
    <m/>
    <m/>
    <m/>
    <m/>
    <m/>
    <m/>
    <m/>
    <m/>
    <m/>
    <m/>
    <m/>
    <m/>
    <m/>
    <m/>
    <n v="0.05"/>
    <n v="0.1"/>
    <n v="0.15"/>
    <n v="0.2"/>
    <n v="0.3"/>
    <n v="0.5"/>
    <n v="1"/>
    <n v="1"/>
    <n v="1"/>
    <n v="1"/>
    <n v="1"/>
    <n v="1"/>
    <n v="1"/>
    <n v="1"/>
    <n v="1"/>
    <n v="1"/>
    <n v="1"/>
    <n v="1"/>
    <n v="1"/>
    <n v="1"/>
    <n v="1"/>
    <n v="1"/>
    <n v="1"/>
    <x v="0"/>
    <n v="1"/>
    <n v="1"/>
    <n v="1"/>
    <x v="0"/>
    <s v="si"/>
    <s v="si"/>
    <s v="si"/>
    <s v="si"/>
    <s v="si"/>
    <s v="si"/>
    <s v="si"/>
    <x v="0"/>
    <s v="si"/>
    <s v="si"/>
    <s v="si"/>
    <m/>
    <m/>
    <m/>
    <m/>
    <m/>
    <m/>
    <m/>
    <m/>
    <m/>
    <m/>
    <s v="Este proceso ya esta al 100% pero como es parte de un proyecto que comprede 4 procesos de bienes y estos comprenden varios lotes, en tanto todos no esten ejecutados al 100% no puede reportase con este estado"/>
    <m/>
    <m/>
    <m/>
  </r>
  <r>
    <x v="2"/>
    <s v="BIENES"/>
    <x v="1"/>
    <s v="Mejoramiento de la eficiencia y fiabilidad de la red"/>
    <x v="1"/>
    <x v="1"/>
    <x v="0"/>
    <s v="SUCUMBIOS"/>
    <x v="3"/>
    <n v="1"/>
    <x v="0"/>
    <s v="BID2-RSND-CNELSUC-AU-BI-005"/>
    <s v="ADQUISICIÓN DE EQUIPOS PARA SUPERVISIÓN, PRUEBAS Y CONTROL DE LA CALIDAD DE SERVICIO"/>
    <m/>
    <s v="LPN"/>
    <s v="ex-post"/>
    <s v="EJECUTADO BID"/>
    <s v="265-16"/>
    <s v="COIMPORELECSA"/>
    <s v="ECUATORIANA"/>
    <s v="PERSONA JURÍDICA"/>
    <s v="0 991197257001"/>
    <s v="NO APLICA"/>
    <s v="NO APLICA"/>
    <s v="DATO PENDIENTE"/>
    <s v="DATO PENDIENTE"/>
    <m/>
    <n v="232000"/>
    <n v="0"/>
    <n v="232000"/>
    <n v="0"/>
    <n v="232000"/>
    <n v="0.12"/>
    <n v="27840"/>
    <n v="0"/>
    <n v="259840.00000000003"/>
    <n v="224805"/>
    <n v="7195"/>
    <m/>
    <m/>
    <n v="232000"/>
    <m/>
    <n v="224805"/>
    <n v="0.14000000000000001"/>
    <m/>
    <n v="256277.69999999998"/>
    <m/>
    <m/>
    <m/>
    <m/>
    <m/>
    <m/>
    <m/>
    <m/>
    <m/>
    <m/>
    <m/>
    <n v="7195"/>
    <n v="7195"/>
    <s v="DDL, IAO 27.1."/>
    <s v="NO APLICA"/>
    <s v="NO APLICA"/>
    <s v="NO APLICA"/>
    <s v="NO APLICA"/>
    <s v="NO APLICA"/>
    <d v="2015-09-11T00:00:00"/>
    <d v="2015-10-01T00:00:00"/>
    <s v="08-0CT-2015"/>
    <d v="2015-10-23T00:00:00"/>
    <s v="NO APLICA"/>
    <d v="2015-11-06T00:00:00"/>
    <d v="2015-11-10T00:00:00"/>
    <s v="NO APLICA"/>
    <s v="NO APLICA"/>
    <s v="NO APLICA"/>
    <d v="2015-11-19T00:00:00"/>
    <s v="NO APLICA"/>
    <s v="DATO PENDIENTE"/>
    <d v="2016-07-26T00:00:00"/>
    <s v="NO APLICA"/>
    <s v="NO APLICA"/>
    <s v="NO APLICA"/>
    <m/>
    <s v="ü"/>
    <m/>
    <m/>
    <m/>
    <m/>
    <m/>
    <m/>
    <m/>
    <m/>
    <m/>
    <m/>
    <m/>
    <s v="ü"/>
    <s v="NO APLICA"/>
    <s v="NO APLICA"/>
    <s v="NO APLICA"/>
    <d v="2016-10-10T00:00:00"/>
    <n v="112402.5"/>
    <m/>
    <m/>
    <m/>
    <m/>
    <m/>
    <m/>
    <m/>
    <m/>
    <m/>
    <m/>
    <m/>
    <m/>
    <m/>
    <m/>
    <m/>
    <m/>
    <m/>
    <m/>
    <m/>
    <m/>
    <m/>
    <m/>
    <m/>
    <m/>
    <m/>
    <m/>
    <m/>
    <n v="112402.5"/>
    <m/>
    <m/>
    <m/>
    <m/>
    <m/>
    <m/>
    <m/>
    <n v="180"/>
    <s v="DESDE LA NOTIFICACIÓN DE LA ENTREGA DEL ANTICIPO"/>
    <d v="2016-10-11T00:00:00"/>
    <d v="2017-04-09T00:00:00"/>
    <m/>
    <m/>
    <m/>
    <m/>
    <m/>
    <m/>
    <m/>
    <m/>
    <m/>
    <m/>
    <m/>
    <m/>
    <m/>
    <m/>
    <m/>
    <m/>
    <m/>
    <m/>
    <m/>
    <m/>
    <m/>
    <m/>
    <m/>
    <m/>
    <m/>
    <m/>
    <m/>
    <m/>
    <m/>
    <m/>
    <m/>
    <m/>
    <m/>
    <n v="0.05"/>
    <n v="0.1"/>
    <n v="0.15"/>
    <n v="0.2"/>
    <n v="0.2"/>
    <n v="0.4"/>
    <n v="0.9"/>
    <n v="0.9"/>
    <n v="0.9"/>
    <n v="0.9"/>
    <n v="1"/>
    <n v="1"/>
    <n v="1"/>
    <n v="1"/>
    <n v="1"/>
    <n v="1"/>
    <n v="1"/>
    <n v="1"/>
    <n v="1"/>
    <n v="1"/>
    <n v="1"/>
    <n v="1"/>
    <n v="1"/>
    <x v="0"/>
    <n v="1"/>
    <n v="1"/>
    <n v="1"/>
    <x v="0"/>
    <s v="si"/>
    <s v="si"/>
    <s v="si"/>
    <s v="si"/>
    <s v="si"/>
    <s v="si"/>
    <s v="si"/>
    <x v="0"/>
    <s v="si"/>
    <s v="si"/>
    <s v="si"/>
    <m/>
    <m/>
    <m/>
    <m/>
    <m/>
    <m/>
    <m/>
    <m/>
    <m/>
    <m/>
    <m/>
    <m/>
    <m/>
    <m/>
  </r>
  <r>
    <x v="2"/>
    <s v="BIENES"/>
    <x v="0"/>
    <s v="Proyectos de expansión y refuerzo en el Sistema Nacional de Distribución"/>
    <x v="3"/>
    <x v="3"/>
    <x v="0"/>
    <s v="SUCUMBIOS"/>
    <x v="5"/>
    <n v="2"/>
    <x v="0"/>
    <s v="BID2-RSND-CNELSUC-ST-BI-011"/>
    <s v="ADQUISICIÓN S/E MÓVIL"/>
    <m/>
    <s v="LPI"/>
    <s v="ex-ante"/>
    <s v="CONTRATADO"/>
    <s v="CONTRATO Nro. 138-17"/>
    <s v="SISTEMAS ELECTRICOS S.A. SISELEC"/>
    <s v="ECUATORIANA"/>
    <s v="PERSONA JURÍDICA"/>
    <s v="0 991273123001"/>
    <m/>
    <m/>
    <m/>
    <m/>
    <m/>
    <n v="900000"/>
    <n v="0"/>
    <n v="899999.99999999988"/>
    <n v="0"/>
    <n v="899999.99999999988"/>
    <n v="0.12"/>
    <n v="107999.99999999999"/>
    <n v="0"/>
    <n v="1008000"/>
    <n v="881989.06"/>
    <n v="18010.939999999944"/>
    <m/>
    <m/>
    <n v="899999.99999999988"/>
    <m/>
    <n v="857750"/>
    <n v="0.12"/>
    <n v="102930"/>
    <n v="960680.00000000012"/>
    <m/>
    <m/>
    <m/>
    <m/>
    <m/>
    <m/>
    <m/>
    <m/>
    <m/>
    <m/>
    <m/>
    <m/>
    <n v="0"/>
    <m/>
    <d v="2017-05-19T00:00:00"/>
    <d v="2017-05-25T00:00:00"/>
    <s v="NO APLICA"/>
    <s v="NO APLICA"/>
    <s v="NO APLICA"/>
    <d v="2017-06-02T00:00:00"/>
    <m/>
    <m/>
    <d v="2017-07-17T00:00:00"/>
    <m/>
    <m/>
    <d v="2017-07-27T00:00:00"/>
    <s v="NO APLICA"/>
    <s v="NO APLICA"/>
    <d v="2017-11-17T00:00:00"/>
    <d v="2017-11-17T00:00:00"/>
    <s v="NO APLICA"/>
    <d v="2017-11-17T00:00:00"/>
    <d v="2018-02-06T00:00:00"/>
    <s v="DATO PENDIENTE"/>
    <s v="DATO PENDIENTE"/>
    <s v="DATO PENDIENTE"/>
    <m/>
    <m/>
    <m/>
    <m/>
    <m/>
    <m/>
    <m/>
    <m/>
    <m/>
    <m/>
    <m/>
    <m/>
    <m/>
    <m/>
    <m/>
    <s v="NO APLICA"/>
    <s v="NO APLICA"/>
    <d v="2018-03-20T00:00:00"/>
    <n v="428875"/>
    <s v="ANTICIPO"/>
    <m/>
    <m/>
    <m/>
    <m/>
    <m/>
    <m/>
    <m/>
    <m/>
    <m/>
    <m/>
    <m/>
    <m/>
    <m/>
    <m/>
    <m/>
    <m/>
    <m/>
    <m/>
    <m/>
    <m/>
    <m/>
    <m/>
    <m/>
    <m/>
    <m/>
    <m/>
    <n v="428875"/>
    <m/>
    <m/>
    <m/>
    <m/>
    <m/>
    <m/>
    <m/>
    <n v="270"/>
    <s v="DESDE LA NOTIFICACIÓN DE LA ENTREGA DEL ANTICIPO"/>
    <d v="2018-03-21T00:00:00"/>
    <d v="2018-12-16T00:00:00"/>
    <m/>
    <m/>
    <m/>
    <m/>
    <m/>
    <m/>
    <m/>
    <m/>
    <m/>
    <m/>
    <m/>
    <m/>
    <m/>
    <m/>
    <m/>
    <m/>
    <m/>
    <m/>
    <m/>
    <m/>
    <m/>
    <m/>
    <m/>
    <m/>
    <m/>
    <m/>
    <m/>
    <m/>
    <m/>
    <m/>
    <m/>
    <m/>
    <m/>
    <m/>
    <m/>
    <m/>
    <m/>
    <n v="0"/>
    <n v="0"/>
    <n v="0"/>
    <n v="0"/>
    <n v="0"/>
    <n v="0"/>
    <n v="0"/>
    <n v="0"/>
    <n v="0.5"/>
    <n v="0.5"/>
    <n v="0.5"/>
    <n v="0.5"/>
    <n v="0.74"/>
    <n v="0.74"/>
    <n v="0.74"/>
    <n v="0.74"/>
    <n v="1"/>
    <n v="1"/>
    <n v="1"/>
    <x v="0"/>
    <n v="1"/>
    <n v="1"/>
    <n v="1"/>
    <x v="0"/>
    <s v="no"/>
    <s v="no"/>
    <s v="no"/>
    <s v="no"/>
    <s v="no"/>
    <s v="no"/>
    <s v="no"/>
    <x v="1"/>
    <s v="si"/>
    <s v="si"/>
    <s v="si"/>
    <s v="En plazo de entrega. Finaliza Diciembre 2018 y fiscalización en enero de 2019"/>
    <m/>
    <m/>
    <s v="Se tiene un 100% para la primera fase que comprende la revisión especificaciones y planos y un 67% para la segunda fase. El proyecto de manera global presenta un avance del 74%. "/>
    <s v="Se tiene un 100% para la primera fase que comprende la revisión especificaciones y planos y un 67% para la segunda fase. El proyecto de manera global presenta un avance del 74%. "/>
    <s v="En espera de que la S/E Móvil llegue."/>
    <s v="Por liquidar"/>
    <m/>
    <s v="Liquidado"/>
    <m/>
    <m/>
    <m/>
    <s v="AUTORIZADO MEDIANTE OFICIO Nro. MINFIN-SRF-2017-0216-O DE 17 DE MARZO DE 2017"/>
    <m/>
  </r>
  <r>
    <x v="3"/>
    <s v="BIENES"/>
    <x v="0"/>
    <s v="Proyectos de expansión y refuerzo en el Sistema Nacional de Distribución"/>
    <x v="0"/>
    <x v="0"/>
    <x v="0"/>
    <s v="CAÑAR"/>
    <x v="6"/>
    <n v="1"/>
    <x v="0"/>
    <s v="BID2-RSND-EEAZ-DI-BI-001"/>
    <s v="EQUIPOS DE CALIDAD DE ENERGÍA E INGENIERÍA"/>
    <s v="120-AJ"/>
    <s v="LPI"/>
    <s v="ex-ante"/>
    <s v="EJECUTADO BID"/>
    <s v="120-AJ"/>
    <s v="ALEMINSA S.A."/>
    <s v="ECUATORIANA"/>
    <s v="PERSONA JURÍDICA"/>
    <s v="0 991297480001"/>
    <s v="NO APLICA"/>
    <s v="NO APLICA"/>
    <s v="ING. DIEGO MOGROVEJO CARRASCO"/>
    <s v="TELF.  (07) 2240-377     EXT. 145       CEL. 0993-270-723."/>
    <m/>
    <n v="252112.24"/>
    <n v="0"/>
    <n v="252112.24"/>
    <n v="0"/>
    <n v="252112.24"/>
    <n v="0.12"/>
    <n v="30253.468799999999"/>
    <n v="0"/>
    <n v="282365.70880000002"/>
    <n v="187320.47"/>
    <n v="64791.76999999999"/>
    <m/>
    <m/>
    <n v="252112.22999999998"/>
    <n v="62420.47"/>
    <n v="187320.47"/>
    <n v="0.14000000000000001"/>
    <n v="8738.8658000000014"/>
    <n v="71159.335800000001"/>
    <m/>
    <m/>
    <m/>
    <m/>
    <m/>
    <m/>
    <m/>
    <m/>
    <m/>
    <m/>
    <m/>
    <n v="64791.76999999999"/>
    <n v="64791.76999999999"/>
    <s v="REMITIDO POR CORREO POR MAURICIO RUIZ EL 16.mar.2016, 06:42"/>
    <d v="2016-03-11T00:00:00"/>
    <d v="2016-03-15T00:00:00"/>
    <s v="NO APLICA"/>
    <s v="NO APLICA"/>
    <s v="NO APLICA"/>
    <d v="2016-03-18T00:00:00"/>
    <d v="2016-04-20T00:00:00"/>
    <d v="2016-04-25T00:00:00"/>
    <d v="2016-05-06T00:00:00"/>
    <s v="NO APLICA"/>
    <s v="DATO NO REPORTADO"/>
    <d v="2016-05-28T00:00:00"/>
    <s v="NO APLICA"/>
    <s v="NO APLICA"/>
    <d v="2016-09-09T00:00:00"/>
    <d v="2016-09-12T00:00:00"/>
    <s v="NO APLICA"/>
    <d v="2016-09-28T00:00:00"/>
    <d v="2016-09-28T00:00:00"/>
    <d v="2016-01-26T00:00:00"/>
    <s v="CAN/CEC-1554 DEL 14 DE AGOSTO DE 2017"/>
    <s v="ECA2774"/>
    <m/>
    <m/>
    <m/>
    <m/>
    <m/>
    <m/>
    <m/>
    <m/>
    <m/>
    <m/>
    <m/>
    <m/>
    <m/>
    <m/>
    <m/>
    <s v="NO APLICA "/>
    <s v="NO APLICA"/>
    <d v="2016-11-29T00:00:00"/>
    <n v="31210.235000000001"/>
    <m/>
    <m/>
    <m/>
    <m/>
    <m/>
    <m/>
    <m/>
    <m/>
    <m/>
    <m/>
    <m/>
    <m/>
    <m/>
    <m/>
    <m/>
    <m/>
    <m/>
    <m/>
    <m/>
    <m/>
    <m/>
    <m/>
    <m/>
    <m/>
    <m/>
    <m/>
    <m/>
    <n v="31210.235000000001"/>
    <m/>
    <m/>
    <m/>
    <m/>
    <m/>
    <m/>
    <m/>
    <n v="90"/>
    <s v="DESDE LA NOTIFICACIÓN DE LA ENTREGA DEL ANTICIPO"/>
    <d v="2016-11-30T00:00:00"/>
    <d v="2017-02-28T00:00:00"/>
    <m/>
    <m/>
    <m/>
    <m/>
    <m/>
    <m/>
    <m/>
    <m/>
    <m/>
    <m/>
    <m/>
    <m/>
    <m/>
    <m/>
    <m/>
    <m/>
    <m/>
    <m/>
    <m/>
    <m/>
    <m/>
    <m/>
    <m/>
    <m/>
    <m/>
    <m/>
    <m/>
    <m/>
    <m/>
    <m/>
    <m/>
    <m/>
    <m/>
    <m/>
    <m/>
    <m/>
    <n v="0.75"/>
    <n v="0.75"/>
    <n v="0.75"/>
    <n v="0.75"/>
    <n v="1"/>
    <n v="1"/>
    <n v="1"/>
    <n v="1"/>
    <n v="1"/>
    <n v="1"/>
    <n v="1"/>
    <n v="1"/>
    <n v="1"/>
    <n v="1"/>
    <n v="1"/>
    <n v="1"/>
    <n v="1"/>
    <n v="1"/>
    <n v="1"/>
    <n v="1"/>
    <x v="0"/>
    <n v="1"/>
    <n v="1"/>
    <n v="1"/>
    <x v="0"/>
    <s v="si"/>
    <s v="si"/>
    <s v="si"/>
    <s v="si"/>
    <s v="si"/>
    <s v="si"/>
    <s v="si"/>
    <x v="0"/>
    <s v="si"/>
    <s v="si"/>
    <s v="si"/>
    <m/>
    <m/>
    <m/>
    <m/>
    <m/>
    <m/>
    <m/>
    <m/>
    <m/>
    <m/>
    <s v="LOS ITEM´S ADJUDICADOS :1, 4, 7 Y 11 "/>
    <m/>
    <m/>
    <m/>
  </r>
  <r>
    <x v="3"/>
    <s v="BIENES"/>
    <x v="0"/>
    <s v="Proyectos de expansión y refuerzo en el Sistema Nacional de Distribución"/>
    <x v="0"/>
    <x v="0"/>
    <x v="0"/>
    <s v="CAÑAR"/>
    <x v="4"/>
    <n v="1"/>
    <x v="0"/>
    <s v="BID2-RSND-EEAZ-DI-BI-001"/>
    <s v="EQUIPOS DE CALIDAD DE ENERGÍA E INGENIERÍA"/>
    <s v="121-AJ"/>
    <s v="LPI"/>
    <s v="ex-ante"/>
    <s v="EJECUTADO BID"/>
    <s v="121- AJ"/>
    <s v="PROTECO COASIN S.A."/>
    <s v="ECUATORIANA"/>
    <s v="PERSONA JURÍDICA"/>
    <n v="1790051765001"/>
    <s v="NO APLICA"/>
    <s v="NO APLICA"/>
    <s v="ING. DIEGO MOGROVEJO CARRASCO"/>
    <s v="TELF.  (07) 2240-377     EXT. 145       CEL. 0993-270-723."/>
    <m/>
    <n v="0"/>
    <n v="0"/>
    <m/>
    <n v="0"/>
    <n v="0"/>
    <n v="0.12"/>
    <n v="0"/>
    <n v="0"/>
    <n v="0"/>
    <m/>
    <m/>
    <m/>
    <m/>
    <m/>
    <n v="124900"/>
    <m/>
    <n v="0.14000000000000001"/>
    <n v="17486"/>
    <n v="142386"/>
    <m/>
    <m/>
    <m/>
    <m/>
    <m/>
    <m/>
    <m/>
    <m/>
    <m/>
    <m/>
    <m/>
    <n v="0"/>
    <n v="0"/>
    <s v="REMITIDO POR CORREO POR MAURICIO RUIZ EL 16.mar.2016, 06:42"/>
    <d v="2016-03-11T00:00:00"/>
    <d v="2016-03-15T00:00:00"/>
    <s v="NO APLICA"/>
    <s v="NO APLICA"/>
    <s v="NO APLICA"/>
    <d v="2016-03-18T00:00:00"/>
    <d v="2016-04-20T00:00:00"/>
    <d v="2016-04-25T00:00:00"/>
    <d v="2016-05-06T00:00:00"/>
    <s v="NO APLICA"/>
    <s v="DATO NO REPORTADO"/>
    <d v="2016-05-28T00:00:00"/>
    <s v="NO APLICA"/>
    <s v="NO APLICA"/>
    <d v="2016-09-09T00:00:00"/>
    <d v="2016-09-12T00:00:00"/>
    <s v="NO APLICA"/>
    <d v="2016-09-28T00:00:00"/>
    <d v="2016-09-28T00:00:00"/>
    <d v="2016-01-26T00:00:00"/>
    <s v="CAN/CEC-1554 DEL 14 DE AGOSTO DE 2017"/>
    <s v="ECA2775"/>
    <m/>
    <m/>
    <m/>
    <m/>
    <m/>
    <m/>
    <m/>
    <m/>
    <m/>
    <m/>
    <m/>
    <m/>
    <m/>
    <m/>
    <m/>
    <s v="NO APLICA "/>
    <s v="NO APLICA"/>
    <d v="2016-11-15T00:00:00"/>
    <n v="62450"/>
    <s v="Pago 2/2 Liquidación "/>
    <d v="2017-04-18T00:00:00"/>
    <n v="62450"/>
    <m/>
    <m/>
    <m/>
    <m/>
    <m/>
    <m/>
    <m/>
    <m/>
    <m/>
    <m/>
    <m/>
    <m/>
    <m/>
    <m/>
    <m/>
    <m/>
    <m/>
    <m/>
    <m/>
    <m/>
    <m/>
    <m/>
    <m/>
    <m/>
    <n v="124900"/>
    <m/>
    <m/>
    <m/>
    <m/>
    <m/>
    <m/>
    <m/>
    <n v="90"/>
    <s v="DESDE LA NOTIFICACIÓN DE LA ENTREGA DEL ANTICIPO"/>
    <d v="2016-11-16T00:00:00"/>
    <d v="2017-02-14T00:00:00"/>
    <m/>
    <m/>
    <m/>
    <m/>
    <m/>
    <m/>
    <m/>
    <m/>
    <m/>
    <m/>
    <m/>
    <m/>
    <m/>
    <m/>
    <m/>
    <m/>
    <m/>
    <m/>
    <m/>
    <m/>
    <m/>
    <m/>
    <m/>
    <m/>
    <m/>
    <m/>
    <m/>
    <m/>
    <m/>
    <m/>
    <m/>
    <m/>
    <m/>
    <m/>
    <m/>
    <m/>
    <n v="1"/>
    <n v="1"/>
    <n v="1"/>
    <n v="1"/>
    <n v="1"/>
    <n v="1"/>
    <n v="1"/>
    <n v="1"/>
    <n v="1"/>
    <n v="1"/>
    <n v="1"/>
    <n v="1"/>
    <n v="1"/>
    <n v="1"/>
    <n v="1"/>
    <n v="1"/>
    <n v="1"/>
    <n v="1"/>
    <n v="1"/>
    <n v="1"/>
    <x v="0"/>
    <n v="1"/>
    <n v="1"/>
    <n v="1"/>
    <x v="0"/>
    <s v="si"/>
    <s v="si"/>
    <s v="si"/>
    <s v="si"/>
    <s v="si"/>
    <s v="si"/>
    <s v="si"/>
    <x v="0"/>
    <s v="si"/>
    <s v="si"/>
    <s v="si"/>
    <m/>
    <m/>
    <m/>
    <m/>
    <m/>
    <m/>
    <m/>
    <m/>
    <m/>
    <m/>
    <s v="ITEMS ADJUDICADOS: 2, 3, 5, 6, 8, 9 y 10 "/>
    <m/>
    <m/>
    <m/>
  </r>
  <r>
    <x v="4"/>
    <s v="BIENES"/>
    <x v="0"/>
    <s v="Proyectos de expansión y refuerzo en el Sistema Nacional de Distribución"/>
    <x v="0"/>
    <x v="0"/>
    <x v="0"/>
    <s v="COTOPAXI"/>
    <x v="7"/>
    <n v="7"/>
    <x v="0"/>
    <s v="BID2-RSND-ELEPCO-DI-BI-002"/>
    <s v="ADQUISICIÓN EQUIPO TRAILER PARA LAVADO DE AISLACIÓN CON VOLTAJE Y AGUA A PRESIÓN"/>
    <m/>
    <s v="LPI"/>
    <s v="ex-ante"/>
    <s v="EJECUTADO BID"/>
    <s v="BID2-RSND-ELEPCO-DI-BI-002"/>
    <s v="ALTA TENSIÓN ALTATEN S.A."/>
    <s v="ECUATORIANA"/>
    <s v="PERSONA JURÍDICA"/>
    <n v="1791189159001"/>
    <s v="NO APLICA"/>
    <s v="NO APLICA"/>
    <s v="DATO PENDIENTE"/>
    <s v="DATO PENDIENTE"/>
    <m/>
    <n v="306943.45"/>
    <n v="0"/>
    <n v="306943.45"/>
    <n v="0"/>
    <n v="306943.45"/>
    <n v="0.12"/>
    <n v="36833.214"/>
    <n v="0"/>
    <n v="343776.66400000005"/>
    <n v="268000"/>
    <n v="38943.450000000012"/>
    <m/>
    <m/>
    <n v="306943.45"/>
    <m/>
    <n v="268000"/>
    <n v="0.14000000000000001"/>
    <m/>
    <n v="305520"/>
    <m/>
    <m/>
    <m/>
    <m/>
    <m/>
    <m/>
    <m/>
    <m/>
    <m/>
    <m/>
    <m/>
    <n v="38943.450000000012"/>
    <n v="38943.450000000012"/>
    <s v="REMITIDO POR ELEPCO  MEDIANTE CORREO DE MIRIAN CANDO EL 22.JUL.2016, 18:10"/>
    <d v="2016-07-18T00:00:00"/>
    <d v="2016-07-25T00:00:00"/>
    <s v="NO APLICA"/>
    <s v="NO APLICA"/>
    <s v="NO APLICA"/>
    <d v="2016-07-26T00:00:00"/>
    <d v="2016-08-22T00:00:00"/>
    <d v="2016-09-13T00:00:00"/>
    <d v="2016-09-06T00:00:00"/>
    <d v="2016-10-10T00:00:00"/>
    <d v="2016-09-26T00:00:00"/>
    <d v="2016-11-10T00:00:00"/>
    <s v="NO APLICA"/>
    <s v="NO APLICA"/>
    <d v="2016-11-21T00:00:00"/>
    <d v="2016-11-21T00:00:00"/>
    <s v="NO APLICA"/>
    <d v="2016-11-21T00:00:00"/>
    <d v="2016-11-30T00:00:00"/>
    <d v="2016-01-26T00:00:00"/>
    <s v="CAN/CEC-1554 DEL 14 DE AGOSTO DE 2017"/>
    <s v="ECA2771"/>
    <s v="NO ESTA PUBLICADO"/>
    <s v="NO ESTA PUBLICADO"/>
    <s v="NO ESTA PUBLICADO"/>
    <s v="ü"/>
    <s v="ü"/>
    <s v="NO ESTA PUBLICADO"/>
    <s v="NO ESTA PUBLICADO"/>
    <s v="NO ESTA PUBLICADO"/>
    <s v="NO ESTA PUBLICADO"/>
    <s v="NO ESTA PUBLICADO"/>
    <s v="NO ESTA PUBLICADO"/>
    <s v="NO APLICA"/>
    <s v="NO ESTA PUBLICADO"/>
    <s v="NO ESTA PUBLICADO"/>
    <s v="PENDIENTE"/>
    <s v="NO APLICA"/>
    <s v="NO APLICA"/>
    <d v="2016-12-13T00:00:00"/>
    <n v="134000"/>
    <m/>
    <m/>
    <m/>
    <m/>
    <m/>
    <m/>
    <m/>
    <m/>
    <m/>
    <m/>
    <m/>
    <m/>
    <m/>
    <m/>
    <m/>
    <m/>
    <m/>
    <m/>
    <m/>
    <m/>
    <m/>
    <m/>
    <m/>
    <m/>
    <m/>
    <m/>
    <m/>
    <n v="134000"/>
    <m/>
    <m/>
    <m/>
    <m/>
    <m/>
    <m/>
    <m/>
    <n v="120"/>
    <s v="DESDE LA NOTIFICACIÓN DE LA ENTREGA DEL ANTICIPO"/>
    <d v="2016-12-14T00:00:00"/>
    <d v="2017-04-13T00:00:00"/>
    <m/>
    <m/>
    <m/>
    <m/>
    <m/>
    <m/>
    <m/>
    <m/>
    <m/>
    <m/>
    <m/>
    <m/>
    <m/>
    <m/>
    <m/>
    <m/>
    <m/>
    <m/>
    <m/>
    <m/>
    <m/>
    <m/>
    <m/>
    <m/>
    <m/>
    <m/>
    <m/>
    <m/>
    <m/>
    <m/>
    <m/>
    <m/>
    <m/>
    <m/>
    <m/>
    <m/>
    <m/>
    <n v="0"/>
    <n v="0"/>
    <n v="0"/>
    <n v="0"/>
    <n v="0.95"/>
    <n v="0.95"/>
    <n v="0.98"/>
    <n v="0.98"/>
    <n v="1"/>
    <n v="1"/>
    <n v="1"/>
    <n v="1"/>
    <n v="1"/>
    <n v="1"/>
    <n v="1"/>
    <n v="1"/>
    <n v="1"/>
    <n v="1"/>
    <n v="1"/>
    <x v="0"/>
    <n v="1"/>
    <n v="1"/>
    <n v="1"/>
    <x v="0"/>
    <s v="si"/>
    <s v="si"/>
    <s v="si"/>
    <s v="si"/>
    <s v="si"/>
    <s v="si"/>
    <s v="si"/>
    <x v="0"/>
    <s v="si"/>
    <s v="si"/>
    <s v="si"/>
    <m/>
    <m/>
    <m/>
    <m/>
    <m/>
    <m/>
    <m/>
    <m/>
    <m/>
    <m/>
    <s v="LA SECRETARIA DE GESTIÓN DE RIEGOS EMITIÓ EL PLAN DE CONTINGENCIA “AMENAZA DE ERUPCIÓN DEL VOLCÁN COTOPAXI”, EN EL CUAL SE DETERMINA QUE EL  COTOPAXI ES  CONSIDERADO  UNO  DE  LOS  VOLCANES  MÁS  ACTIVOS  DEL  MUNDO REPRESENTANDO  UNA  CONSTANTE  AMENAZA  PARA  AQUELLAS  POBLACIONES  DE  INFLUENCIA DIRECTA E INDIRECTA POR EVENTOS ASOCIADOS._x000a_SE JUSTIFICA LA CONTRATACIÓN DIRECTA EN BASE A LA DECLARACIÓN DE ALERTA AMARILLA, EN BASE A LOS SIGUIENTES DOCUMENTOS:_x000a__x000a_1. RESOLUCIÓN NO.SGR-042-2015 DE 14 DE AGOSTO DE 2015, DECLARACIÓN DE ALERTA AMARILLA._x000a_2. DECRETO EJECUTIVO NO.755 DE 15 DE AGOSTO DE 2015, DECLARACIÓN DE ESTADO DE EXCEPCIÓN EN TODO EL TERRITORIO NACIONAL, PARA ENFRENTAR EL PROCESO ERUPTIVO DEL VOLCÁN COTOPAXI._x000a_3. “PLAN DE CONTINGENCIA AMENAZA DE ERUPCIÓN DEL VOLCÁN COTOPAXI”, EMITIDO POR LA SECRETARÍA DE GESTIÓN DE RIESGOS._x000a_4. RESOLUCIÓN NRO. 01-PE-2015 DE 07 DE SEPTIEMBRE DE 2015, DECLARACIÓN DEL ESTADO DE EMERGENCIA INSTITUCIONAL DE ELEPCOSA._x000a_Adquisición de equipo trailer para lavado de aisladores en caliente mediante agua a presión para uso  en el área de servicio de la Empresa Eléctrica Provincial Cotopaxi, que se encuentra directamente afectada por la posible erupción del volcán Cotopaxi (5.890 m de altura). Este equipo se requiere para el lavado y evacuación del polvo volcánico que se acumule en los aisladores de las líneas, redes y subestaciones."/>
    <m/>
    <m/>
    <d v="2015-12-30T00:00:00"/>
  </r>
  <r>
    <x v="4"/>
    <s v="BIENES"/>
    <x v="0"/>
    <s v="Proyectos de expansión y refuerzo en el Sistema Nacional de Distribución"/>
    <x v="3"/>
    <x v="3"/>
    <x v="1"/>
    <s v="COTOPAXI"/>
    <x v="8"/>
    <n v="8"/>
    <x v="0"/>
    <s v="BID2-RSND-ELEPCO-ST-BI-004"/>
    <s v=" ADQUISICIÓN DE UNA SUBESTACIÓN MOVIL: 16/20 MVA-69/13.8 KV"/>
    <m/>
    <s v="LPI"/>
    <s v="ex-ante"/>
    <s v="EJECUTADO BID"/>
    <s v="CONVENIO No.005/2017 (P)"/>
    <s v="SISTEMAS ELÉCTRICOS S.A. SISELEC"/>
    <s v="ECUATORIANA"/>
    <s v="PERSONA JURÍDICA"/>
    <s v="0 991273123001"/>
    <m/>
    <m/>
    <s v="DATO PENDIENTE"/>
    <m/>
    <m/>
    <n v="832000"/>
    <n v="0"/>
    <n v="837592.4"/>
    <n v="0"/>
    <n v="837592.4"/>
    <n v="0.12"/>
    <n v="100511.088"/>
    <n v="0"/>
    <n v="938103.48800000013"/>
    <n v="832000"/>
    <n v="0"/>
    <m/>
    <m/>
    <n v="837592.4"/>
    <m/>
    <n v="832000"/>
    <n v="0.14000000000000001"/>
    <m/>
    <n v="948479.99999999988"/>
    <m/>
    <m/>
    <m/>
    <m/>
    <m/>
    <m/>
    <m/>
    <m/>
    <m/>
    <m/>
    <m/>
    <n v="0"/>
    <n v="0"/>
    <s v="REMITIDO POR ELEPCO MEDIANTE CORREO DE MIRIAN CANDO DEL 19 DE OCT, 19:26"/>
    <d v="2016-10-18T00:00:00"/>
    <d v="2016-10-21T00:00:00"/>
    <s v="NO APLICA"/>
    <s v="NO APLICA"/>
    <s v="NO APLICA"/>
    <d v="2016-10-21T00:00:00"/>
    <d v="2016-11-20T00:00:00"/>
    <d v="2016-11-25T00:00:00"/>
    <d v="2016-12-05T00:00:00"/>
    <s v="NO APLICA"/>
    <d v="2016-12-28T00:00:00"/>
    <d v="2016-12-30T00:00:00"/>
    <s v="NO APLICA"/>
    <s v="NO APLICA"/>
    <d v="2017-01-16T00:00:00"/>
    <d v="2017-01-16T00:00:00"/>
    <s v="NO APLICA"/>
    <d v="2017-01-23T00:00:00"/>
    <d v="2017-01-31T00:00:00"/>
    <s v="DATO PENDIENTE"/>
    <m/>
    <m/>
    <s v="ü"/>
    <s v="ü"/>
    <s v="NO ESTA PUBLICADO"/>
    <s v="ü"/>
    <s v="ü"/>
    <s v="NO APLICA"/>
    <s v="NO ESTA PUBLICADO"/>
    <s v="NO ESTA PUBLICADO"/>
    <s v="NO ESTA PUBLICADO"/>
    <s v="NO ESTA PUBLICADO"/>
    <s v="NO ESTA PUBLICADO"/>
    <m/>
    <s v="NO ESTA PUBLICADO"/>
    <s v="NO ESTA PUBLICADO"/>
    <s v="PENDIENTE"/>
    <s v="NO APLICA"/>
    <s v="NO APLICA"/>
    <d v="2017-03-08T00:00:00"/>
    <n v="416000"/>
    <m/>
    <m/>
    <m/>
    <m/>
    <m/>
    <m/>
    <m/>
    <m/>
    <m/>
    <m/>
    <m/>
    <m/>
    <m/>
    <m/>
    <m/>
    <m/>
    <m/>
    <m/>
    <m/>
    <m/>
    <m/>
    <m/>
    <m/>
    <m/>
    <m/>
    <m/>
    <m/>
    <n v="416000"/>
    <m/>
    <m/>
    <m/>
    <m/>
    <m/>
    <m/>
    <m/>
    <n v="240"/>
    <s v="DESDE LA NOTIFICACIÓN DE LA ENTREGA DEL ANTICIPO"/>
    <d v="2017-03-09T00:00:00"/>
    <d v="2017-11-04T00:00:00"/>
    <m/>
    <m/>
    <m/>
    <m/>
    <m/>
    <m/>
    <m/>
    <m/>
    <m/>
    <m/>
    <m/>
    <m/>
    <m/>
    <m/>
    <m/>
    <m/>
    <m/>
    <m/>
    <m/>
    <m/>
    <m/>
    <m/>
    <m/>
    <m/>
    <m/>
    <m/>
    <m/>
    <m/>
    <m/>
    <m/>
    <m/>
    <m/>
    <m/>
    <m/>
    <n v="1"/>
    <n v="1"/>
    <n v="1"/>
    <n v="1"/>
    <n v="1"/>
    <n v="1"/>
    <n v="1"/>
    <n v="1"/>
    <n v="1"/>
    <n v="1"/>
    <n v="1"/>
    <n v="1"/>
    <n v="1"/>
    <n v="1"/>
    <n v="1"/>
    <n v="1"/>
    <n v="1"/>
    <n v="1"/>
    <n v="1"/>
    <n v="1"/>
    <n v="1"/>
    <n v="1"/>
    <x v="0"/>
    <n v="1"/>
    <n v="1"/>
    <n v="1"/>
    <x v="0"/>
    <s v="no"/>
    <s v="no"/>
    <s v="no"/>
    <s v="no"/>
    <s v="no"/>
    <s v="si"/>
    <s v="si"/>
    <x v="0"/>
    <s v="si"/>
    <s v="si"/>
    <s v="si"/>
    <s v="Contratista está realizando cambio de relés que no cumplían especificaciones. Se espera liquidar proyecto en Agosto de 2018."/>
    <m/>
    <m/>
    <s v="¿Está liquidado este contrato?"/>
    <s v="No está liquidado, pero se considera saldo para proyecciones"/>
    <s v="Se liquida, se paga 416.000 el 07/dic/2018. Liquidado "/>
    <m/>
    <m/>
    <m/>
    <m/>
    <s v="LA SECRETARIA DE GESTIÓN DE RIEGOS EMITIÓ EL PLAN DE CONTINGENCIA “AMENAZA DE ERUPCIÓN DEL VOLCÁN COTOPAXI”, EN EL CUAL SE DETERMINA QUE EL  COTOPAXI ES  CONSIDERADO  UNO  DE  LOS  VOLCANES  MÁS  ACTIVOS  DEL  MUNDO REPRESENTANDO  UNA  CONSTANTE  AMENAZA  PARA  AQUELLAS  POBLACIONES  DE  INFLUENCIA DIRECTA E INDIRECTA POR EVENTOS ASOCIADOS._x000a_SE JUSTIFICA LA CONTRATACIÓN DIRECTA EN BASE A LA DECLARACIÓN DE ALERTA AMARILLA, EN BASE A LOS SIGUIENTES DOCUMENTOS:_x000a__x000a_1. RESOLUCIÓN NO.SGR-042-2015 DE 14 DE AGOSTO DE 2015, DECLARACIÓN DE ALERTA AMARILLA._x000a_2. DECRETO EJECUTIVO NO.755 DE 15 DE AGOSTO DE 2015, DECLARACIÓN DE ESTADO DE EXCEPCIÓN EN TODO EL TERRITORIO NACIONAL, PARA ENFRENTAR EL PROCESO ERUPTIVO DEL VOLCÁN COTOPAXI._x000a_3. “PLAN DE CONTINGENCIA AMENAZA DE ERUPCIÓN DEL VOLCÁN COTOPAXI”, EMITIDO POR LA SECRETARÍA DE GESTIÓN DE RIESGOS._x000a_4. RESOLUCIÓN NRO. 01-PE-2015 DE 07 DE SEPTIEMBRE DE 2015, DECLARACIÓN DEL ESTADO DE EMERGENCIA INSTITUCIONAL DE ELEPCOSA._x000a_Adquisición de equipo trailer para lavado de aisladores en caliente mediante agua a presión para uso  en el área de servicio de la Empresa Eléctrica Provincial Cotopaxi, que se encuentra directamente afectada por la posible erupción del volcán Cotopaxi (5.890 m de altura). Este equipo se requiere para el lavado y evacuación del polvo volcánico que se acumule en los aisladores de las líneas, redes y subestaciones."/>
    <m/>
    <m/>
    <d v="2015-12-30T00:00:00"/>
  </r>
  <r>
    <x v="4"/>
    <s v="BIENES"/>
    <x v="0"/>
    <s v="Proyectos de expansión y refuerzo en el Sistema Nacional de Distribución"/>
    <x v="3"/>
    <x v="3"/>
    <x v="1"/>
    <s v="COTOPAXI"/>
    <x v="9"/>
    <m/>
    <x v="0"/>
    <s v="BID2-RSND-ELEPCO-ST-BI-005"/>
    <s v="ADQUISICION DE PARARRAYOS 69 KV"/>
    <m/>
    <m/>
    <m/>
    <s v="PENDIENTE  PARA NO OBJECIÓN DEL BID "/>
    <m/>
    <m/>
    <m/>
    <m/>
    <m/>
    <m/>
    <m/>
    <m/>
    <m/>
    <m/>
    <n v="19750"/>
    <m/>
    <n v="19750"/>
    <m/>
    <m/>
    <n v="0.12"/>
    <n v="2370"/>
    <n v="0"/>
    <n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x v="1"/>
    <n v="0"/>
    <n v="0"/>
    <n v="0"/>
    <x v="1"/>
    <m/>
    <m/>
    <m/>
    <m/>
    <m/>
    <m/>
    <m/>
    <x v="2"/>
    <m/>
    <m/>
    <m/>
    <m/>
    <m/>
    <m/>
    <m/>
    <m/>
    <m/>
    <m/>
    <m/>
    <m/>
    <m/>
    <m/>
    <m/>
    <m/>
    <m/>
  </r>
  <r>
    <x v="5"/>
    <s v="BIENES"/>
    <x v="2"/>
    <s v="Fortalecimiento Institucional"/>
    <x v="4"/>
    <x v="4"/>
    <x v="0"/>
    <s v="AZUAY"/>
    <x v="10"/>
    <s v="(CORPORATIVO 1)"/>
    <x v="1"/>
    <s v="BID2-RSND-EECS-RI-BI-001"/>
    <s v="REFORZAMIENTO DEL ÁREA TÉCNICA: LICENCIAS DE CONFIABILIDAD Y UBICACIÓN DE RECONECTADORES."/>
    <m/>
    <s v="LPN"/>
    <s v="ex-post"/>
    <s v="EJECUTADO BID"/>
    <n v="17395"/>
    <s v="TRADUREP REPRESENTACIONES S.A."/>
    <s v="ECUATORIANA"/>
    <s v="PERSONA JURÍDICA"/>
    <s v="0992772840001"/>
    <m/>
    <m/>
    <m/>
    <m/>
    <m/>
    <n v="0"/>
    <n v="0"/>
    <n v="0"/>
    <n v="0"/>
    <n v="0"/>
    <n v="0.12"/>
    <n v="0"/>
    <n v="0"/>
    <n v="0"/>
    <m/>
    <m/>
    <m/>
    <m/>
    <m/>
    <m/>
    <n v="0"/>
    <m/>
    <m/>
    <m/>
    <m/>
    <m/>
    <m/>
    <m/>
    <m/>
    <m/>
    <m/>
    <m/>
    <m/>
    <m/>
    <m/>
    <n v="0"/>
    <n v="0"/>
    <m/>
    <s v="NO APLICA"/>
    <s v="NO APLICA"/>
    <s v="NO APLICA"/>
    <s v="NO APLICA"/>
    <s v="NO APLICA"/>
    <d v="2015-10-08T00:00:00"/>
    <d v="2015-10-29T00:00:00"/>
    <d v="2015-11-08T00:00:00"/>
    <d v="2015-11-09T00:00:00"/>
    <m/>
    <m/>
    <m/>
    <s v="NO APLICA"/>
    <s v="NO APLICA"/>
    <s v="NO APLICA"/>
    <m/>
    <m/>
    <d v="2016-07-04T00:00:00"/>
    <d v="2016-08-17T00:00:00"/>
    <s v="NO APLICA"/>
    <s v="NO APLICA"/>
    <s v="NO APLICA"/>
    <m/>
    <m/>
    <m/>
    <m/>
    <m/>
    <m/>
    <m/>
    <m/>
    <m/>
    <m/>
    <m/>
    <m/>
    <m/>
    <s v="ü"/>
    <s v="NO APLICA"/>
    <s v="NO APLICA"/>
    <s v="NO APLICA"/>
    <m/>
    <m/>
    <m/>
    <m/>
    <m/>
    <m/>
    <m/>
    <m/>
    <m/>
    <m/>
    <m/>
    <m/>
    <m/>
    <m/>
    <m/>
    <m/>
    <m/>
    <m/>
    <m/>
    <m/>
    <m/>
    <m/>
    <m/>
    <m/>
    <m/>
    <m/>
    <m/>
    <m/>
    <m/>
    <n v="0"/>
    <m/>
    <m/>
    <m/>
    <m/>
    <m/>
    <m/>
    <m/>
    <n v="15"/>
    <m/>
    <m/>
    <m/>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4"/>
    <s v="BIENES"/>
    <x v="2"/>
    <s v="Fortalecimiento Institucional"/>
    <x v="4"/>
    <x v="4"/>
    <x v="0"/>
    <s v="COTOPAXI"/>
    <x v="10"/>
    <s v="(CORPORATIVO 1)"/>
    <x v="1"/>
    <s v="BID2-RSND-EECS-RI-BI-001"/>
    <s v="REFORZAMIENTO DEL ÁREA TÉCNICA: LICENCIAS DE CONFIABILIDAD Y UBICACIÓN DE RECONECTADORES."/>
    <m/>
    <s v="LPN"/>
    <s v="ex-post"/>
    <s v="EJECUTADO BID"/>
    <n v="17395"/>
    <s v="TRADUREP REPRESENTACIONES S.A."/>
    <s v="ECUATORIANA"/>
    <s v="PERSONA JURÍDICA"/>
    <s v="0992772840001"/>
    <m/>
    <m/>
    <m/>
    <m/>
    <m/>
    <n v="2790.9"/>
    <n v="0"/>
    <n v="2790.9"/>
    <n v="0"/>
    <n v="2790.9"/>
    <n v="0.12"/>
    <n v="334.90800000000002"/>
    <n v="0"/>
    <n v="3125.8080000000004"/>
    <n v="2790.9"/>
    <n v="0"/>
    <m/>
    <m/>
    <n v="2790.9"/>
    <m/>
    <n v="2790.9"/>
    <m/>
    <m/>
    <m/>
    <m/>
    <m/>
    <m/>
    <m/>
    <m/>
    <m/>
    <m/>
    <m/>
    <m/>
    <m/>
    <m/>
    <n v="0"/>
    <n v="0"/>
    <m/>
    <s v="NO APLICA"/>
    <s v="NO APLICA"/>
    <s v="NO APLICA"/>
    <s v="NO APLICA"/>
    <s v="NO APLICA"/>
    <d v="2015-10-08T00:00:00"/>
    <d v="2015-10-29T00:00:00"/>
    <d v="2015-11-08T00:00:00"/>
    <d v="2015-11-09T00:00:00"/>
    <m/>
    <m/>
    <m/>
    <s v="NO APLICA"/>
    <s v="NO APLICA"/>
    <s v="NO APLICA"/>
    <m/>
    <m/>
    <d v="2016-07-04T00:00:00"/>
    <d v="2016-08-17T00:00:00"/>
    <s v="NO APLICA"/>
    <s v="NO APLICA"/>
    <s v="NO APLICA"/>
    <m/>
    <m/>
    <m/>
    <m/>
    <m/>
    <m/>
    <m/>
    <m/>
    <m/>
    <m/>
    <m/>
    <m/>
    <m/>
    <s v="ü"/>
    <s v="NO APLICA"/>
    <s v="NO APLICA"/>
    <s v="NO APLICA"/>
    <m/>
    <m/>
    <s v="PAGO 01 "/>
    <d v="2016-12-07T00:00:00"/>
    <n v="2790.9"/>
    <m/>
    <m/>
    <m/>
    <m/>
    <m/>
    <m/>
    <m/>
    <m/>
    <m/>
    <m/>
    <m/>
    <m/>
    <m/>
    <m/>
    <m/>
    <m/>
    <m/>
    <m/>
    <m/>
    <m/>
    <m/>
    <m/>
    <m/>
    <m/>
    <n v="2790.9"/>
    <m/>
    <m/>
    <m/>
    <m/>
    <m/>
    <m/>
    <m/>
    <n v="15"/>
    <m/>
    <m/>
    <m/>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6"/>
    <s v="BIENES"/>
    <x v="2"/>
    <s v="Fortalecimiento Institucional"/>
    <x v="4"/>
    <x v="4"/>
    <x v="0"/>
    <s v="GALAPAGOS"/>
    <x v="10"/>
    <s v="(CORPORATIVO 1)"/>
    <x v="1"/>
    <s v="BID2-RSND-EECS-RI-BI-001"/>
    <s v="REFORZAMIENTO DEL ÁREA TÉCNICA: LICENCIAS DE CONFIABILIDAD Y UBICACIÓN DE RECONECTADORES."/>
    <m/>
    <s v="LPN"/>
    <s v="ex-post"/>
    <s v="EJECUTADO BID"/>
    <n v="17395"/>
    <s v="TRADUREP REPRESENTACIONES S.A."/>
    <s v="ECUATORIANA"/>
    <s v="PERSONA JURÍDICA"/>
    <s v="0992772840001"/>
    <m/>
    <m/>
    <m/>
    <m/>
    <m/>
    <n v="6991.07"/>
    <n v="0"/>
    <n v="6991.07"/>
    <n v="0"/>
    <n v="6991.07"/>
    <n v="0.12"/>
    <n v="838.9283999999999"/>
    <n v="0"/>
    <n v="7829.9984000000004"/>
    <n v="6991.07"/>
    <n v="0"/>
    <m/>
    <m/>
    <n v="6991.07"/>
    <m/>
    <n v="6991.07"/>
    <m/>
    <m/>
    <m/>
    <m/>
    <m/>
    <m/>
    <m/>
    <m/>
    <m/>
    <m/>
    <m/>
    <m/>
    <m/>
    <m/>
    <n v="0"/>
    <n v="0"/>
    <m/>
    <s v="NO APLICA"/>
    <s v="NO APLICA"/>
    <s v="NO APLICA"/>
    <s v="NO APLICA"/>
    <s v="NO APLICA"/>
    <d v="2015-10-08T00:00:00"/>
    <d v="2015-10-29T00:00:00"/>
    <d v="2015-11-08T00:00:00"/>
    <d v="2015-11-09T00:00:00"/>
    <m/>
    <m/>
    <m/>
    <s v="NO APLICA"/>
    <s v="NO APLICA"/>
    <s v="NO APLICA"/>
    <m/>
    <m/>
    <d v="2016-07-04T00:00:00"/>
    <d v="2016-08-17T00:00:00"/>
    <s v="NO APLICA"/>
    <s v="NO APLICA"/>
    <s v="NO APLICA"/>
    <m/>
    <m/>
    <m/>
    <m/>
    <m/>
    <m/>
    <m/>
    <m/>
    <m/>
    <m/>
    <m/>
    <m/>
    <m/>
    <s v="ü"/>
    <s v="NO APLICA"/>
    <s v="NO APLICA"/>
    <s v="NO APLICA"/>
    <m/>
    <m/>
    <m/>
    <d v="2016-10-03T00:00:00"/>
    <n v="6991.07"/>
    <m/>
    <m/>
    <m/>
    <m/>
    <m/>
    <m/>
    <m/>
    <m/>
    <m/>
    <m/>
    <m/>
    <m/>
    <m/>
    <m/>
    <m/>
    <m/>
    <m/>
    <m/>
    <m/>
    <m/>
    <m/>
    <m/>
    <m/>
    <m/>
    <n v="6991.07"/>
    <m/>
    <m/>
    <m/>
    <m/>
    <m/>
    <m/>
    <m/>
    <n v="15"/>
    <m/>
    <m/>
    <m/>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7"/>
    <s v="BIENES"/>
    <x v="2"/>
    <s v="Fortalecimiento Institucional"/>
    <x v="4"/>
    <x v="4"/>
    <x v="0"/>
    <s v="IMBABURA"/>
    <x v="10"/>
    <s v="(CORPORATIVO 1)"/>
    <x v="1"/>
    <s v="BID2-RSND-EECS-RI-BI-001"/>
    <s v="REFORZAMIENTO DEL ÁREA TÉCNICA: LICENCIAS DE CONFIABILIDAD Y UBICACIÓN DE RECONECTADORES."/>
    <m/>
    <s v="LPN"/>
    <s v="ex-post"/>
    <s v="EJECUTADO BID"/>
    <n v="17395"/>
    <s v="TRADUREP REPRESENTACIONES S.A."/>
    <s v="ECUATORIANA"/>
    <s v="PERSONA JURÍDICA"/>
    <s v="0992772840001"/>
    <m/>
    <m/>
    <m/>
    <m/>
    <m/>
    <n v="6991.07"/>
    <n v="0"/>
    <n v="6991.07"/>
    <n v="0"/>
    <n v="6991.07"/>
    <n v="0.12"/>
    <n v="838.9283999999999"/>
    <n v="0"/>
    <n v="7829.9984000000004"/>
    <n v="6991.07"/>
    <n v="0"/>
    <m/>
    <m/>
    <n v="6991.07"/>
    <m/>
    <n v="6991.07"/>
    <m/>
    <m/>
    <m/>
    <m/>
    <m/>
    <m/>
    <m/>
    <m/>
    <m/>
    <m/>
    <m/>
    <m/>
    <m/>
    <m/>
    <n v="0"/>
    <n v="0"/>
    <m/>
    <s v="NO APLICA"/>
    <s v="NO APLICA"/>
    <s v="NO APLICA"/>
    <s v="NO APLICA"/>
    <s v="NO APLICA"/>
    <d v="2015-10-08T00:00:00"/>
    <d v="2015-10-29T00:00:00"/>
    <d v="2015-11-08T00:00:00"/>
    <d v="2015-11-09T00:00:00"/>
    <m/>
    <m/>
    <m/>
    <s v="NO APLICA"/>
    <s v="NO APLICA"/>
    <s v="NO APLICA"/>
    <m/>
    <m/>
    <d v="2016-07-04T00:00:00"/>
    <d v="2016-08-17T00:00:00"/>
    <s v="NO APLICA"/>
    <s v="NO APLICA"/>
    <s v="NO APLICA"/>
    <m/>
    <m/>
    <m/>
    <m/>
    <m/>
    <m/>
    <m/>
    <m/>
    <m/>
    <m/>
    <m/>
    <m/>
    <m/>
    <s v="ü"/>
    <s v="NO APLICA"/>
    <s v="NO APLICA"/>
    <s v="NO APLICA"/>
    <m/>
    <m/>
    <m/>
    <d v="2016-07-28T00:00:00"/>
    <n v="6991.07"/>
    <m/>
    <m/>
    <m/>
    <m/>
    <m/>
    <m/>
    <m/>
    <m/>
    <m/>
    <m/>
    <m/>
    <m/>
    <m/>
    <m/>
    <m/>
    <m/>
    <m/>
    <m/>
    <m/>
    <m/>
    <m/>
    <m/>
    <m/>
    <m/>
    <n v="6991.07"/>
    <m/>
    <m/>
    <m/>
    <m/>
    <m/>
    <m/>
    <m/>
    <n v="15"/>
    <m/>
    <m/>
    <m/>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8"/>
    <s v="BIENES"/>
    <x v="2"/>
    <s v="Fortalecimiento Institucional"/>
    <x v="4"/>
    <x v="4"/>
    <x v="0"/>
    <s v="PICHINCHA"/>
    <x v="10"/>
    <s v="(CORPORATIVO 1)"/>
    <x v="1"/>
    <s v="BID2-RSND-EECS-RI-BI-001"/>
    <s v="REFORZAMIENTO DEL ÁREA TÉCNICA: LICENCIAS DE CONFIABILIDAD Y UBICACIÓN DE RECONECTADORES."/>
    <m/>
    <s v="LPN"/>
    <s v="ex-post"/>
    <s v="EJECUTADO BID"/>
    <n v="17395"/>
    <s v="TRADUREP REPRESENTACIONES S.A."/>
    <s v="ECUATORIANA"/>
    <s v="PERSONA JURÍDICA"/>
    <s v="0992772840001"/>
    <m/>
    <m/>
    <m/>
    <m/>
    <m/>
    <n v="28360.84"/>
    <n v="0"/>
    <n v="28360.840000000004"/>
    <n v="0"/>
    <n v="28360.840000000004"/>
    <n v="0.12"/>
    <n v="3403.3008000000004"/>
    <n v="0"/>
    <n v="31764.140800000008"/>
    <n v="28360.84"/>
    <n v="0"/>
    <m/>
    <m/>
    <n v="28360.840000000004"/>
    <m/>
    <n v="28360.84"/>
    <m/>
    <m/>
    <m/>
    <m/>
    <m/>
    <m/>
    <m/>
    <m/>
    <m/>
    <m/>
    <m/>
    <m/>
    <m/>
    <m/>
    <n v="0"/>
    <n v="0"/>
    <s v="DDL, IAO 21.1."/>
    <s v="NO APLICA"/>
    <s v="NO APLICA"/>
    <s v="NO APLICA"/>
    <s v="NO APLICA"/>
    <s v="NO APLICA"/>
    <d v="2015-10-08T00:00:00"/>
    <d v="2015-10-29T00:00:00"/>
    <d v="2015-11-08T00:00:00"/>
    <d v="2015-11-09T00:00:00"/>
    <m/>
    <m/>
    <m/>
    <s v="NO APLICA"/>
    <s v="NO APLICA"/>
    <s v="NO APLICA"/>
    <m/>
    <m/>
    <d v="2016-07-04T00:00:00"/>
    <d v="2016-08-17T00:00:00"/>
    <s v="NO APLICA"/>
    <s v="NO APLICA"/>
    <s v="NO APLICA"/>
    <m/>
    <s v="ü"/>
    <m/>
    <m/>
    <m/>
    <m/>
    <m/>
    <m/>
    <m/>
    <m/>
    <m/>
    <m/>
    <m/>
    <s v="ü"/>
    <s v="NO APLICA"/>
    <s v="NO APLICA"/>
    <s v="NO APLICA"/>
    <m/>
    <m/>
    <m/>
    <d v="2016-08-10T00:00:00"/>
    <n v="28360.84"/>
    <m/>
    <m/>
    <m/>
    <m/>
    <m/>
    <m/>
    <m/>
    <m/>
    <m/>
    <m/>
    <m/>
    <m/>
    <m/>
    <m/>
    <m/>
    <m/>
    <m/>
    <m/>
    <m/>
    <m/>
    <m/>
    <m/>
    <m/>
    <m/>
    <n v="28360.84"/>
    <m/>
    <m/>
    <m/>
    <m/>
    <m/>
    <m/>
    <m/>
    <n v="15"/>
    <m/>
    <m/>
    <m/>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9"/>
    <s v="BIENES"/>
    <x v="2"/>
    <s v="Fortalecimiento Institucional"/>
    <x v="4"/>
    <x v="4"/>
    <x v="0"/>
    <s v="CHIMBORAZO"/>
    <x v="10"/>
    <s v="(CORPORATIVO 1)"/>
    <x v="1"/>
    <s v="BID2-RSND-EECS-RI-BI-001"/>
    <s v="REFORZAMIENTO DEL ÁREA TÉCNICA: LICENCIAS DE CONFIABILIDAD Y UBICACIÓN DE RECONECTADORES."/>
    <m/>
    <s v="LPN"/>
    <s v="ex-post"/>
    <s v="EJECUTADO BID"/>
    <n v="17395"/>
    <s v="TRADUREP REPRESENTACIONES S.A."/>
    <s v="ECUATORIANA"/>
    <s v="PERSONA JURÍDICA"/>
    <s v="0992772840001"/>
    <m/>
    <m/>
    <m/>
    <m/>
    <m/>
    <n v="6991.07"/>
    <n v="0"/>
    <n v="6991.07"/>
    <n v="0"/>
    <n v="6991.07"/>
    <n v="0.12"/>
    <n v="838.9283999999999"/>
    <n v="0"/>
    <n v="7829.9984000000004"/>
    <n v="6991.07"/>
    <n v="0"/>
    <m/>
    <m/>
    <n v="6991.07"/>
    <m/>
    <n v="6991.07"/>
    <m/>
    <m/>
    <m/>
    <m/>
    <m/>
    <m/>
    <m/>
    <m/>
    <m/>
    <m/>
    <m/>
    <m/>
    <m/>
    <m/>
    <n v="0"/>
    <n v="0"/>
    <m/>
    <s v="NO APLICA"/>
    <s v="NO APLICA"/>
    <s v="NO APLICA"/>
    <s v="NO APLICA"/>
    <s v="NO APLICA"/>
    <d v="2015-10-08T00:00:00"/>
    <d v="2015-10-29T00:00:00"/>
    <d v="2015-11-08T00:00:00"/>
    <d v="2015-11-09T00:00:00"/>
    <m/>
    <m/>
    <m/>
    <s v="NO APLICA"/>
    <s v="NO APLICA"/>
    <s v="NO APLICA"/>
    <m/>
    <m/>
    <d v="2016-07-04T00:00:00"/>
    <d v="2016-08-17T00:00:00"/>
    <s v="NO APLICA"/>
    <s v="NO APLICA"/>
    <s v="NO APLICA"/>
    <m/>
    <m/>
    <m/>
    <m/>
    <m/>
    <m/>
    <m/>
    <m/>
    <m/>
    <m/>
    <m/>
    <m/>
    <m/>
    <s v="ü"/>
    <s v="NO APLICA"/>
    <s v="NO APLICA"/>
    <s v="NO APLICA"/>
    <m/>
    <m/>
    <m/>
    <d v="2016-09-27T00:00:00"/>
    <n v="6991.07"/>
    <m/>
    <m/>
    <m/>
    <m/>
    <m/>
    <m/>
    <m/>
    <m/>
    <m/>
    <m/>
    <m/>
    <m/>
    <m/>
    <m/>
    <m/>
    <m/>
    <m/>
    <m/>
    <m/>
    <m/>
    <m/>
    <m/>
    <m/>
    <m/>
    <n v="6991.07"/>
    <m/>
    <m/>
    <m/>
    <m/>
    <m/>
    <m/>
    <m/>
    <n v="15"/>
    <m/>
    <m/>
    <m/>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10"/>
    <s v="BIENES"/>
    <x v="2"/>
    <s v="Fortalecimiento Institucional"/>
    <x v="4"/>
    <x v="4"/>
    <x v="0"/>
    <s v="LOJA"/>
    <x v="10"/>
    <s v="(CORPORATIVO 1)"/>
    <x v="1"/>
    <s v="BID2-RSND-EECS-RI-BI-001"/>
    <s v="REFORZAMIENTO DEL ÁREA TÉCNICA: LICENCIAS DE CONFIABILIDAD Y UBICACIÓN DE RECONECTADORES."/>
    <m/>
    <s v="LPN"/>
    <s v="ex-post"/>
    <s v="EJECUTADO BID"/>
    <n v="17395"/>
    <s v="TRADUREP REPRESENTACIONES S.A."/>
    <s v="ECUATORIANA"/>
    <s v="PERSONA JURÍDICA"/>
    <s v="0992772840001"/>
    <m/>
    <m/>
    <m/>
    <m/>
    <m/>
    <n v="4200.24"/>
    <n v="0"/>
    <n v="4200.24"/>
    <n v="0"/>
    <n v="4200.24"/>
    <n v="0.12"/>
    <n v="504.02879999999993"/>
    <n v="0"/>
    <n v="4704.2687999999998"/>
    <n v="4200.17"/>
    <n v="6.9999999999708962E-2"/>
    <m/>
    <m/>
    <n v="4200.24"/>
    <m/>
    <n v="4200.17"/>
    <m/>
    <m/>
    <m/>
    <m/>
    <m/>
    <m/>
    <m/>
    <m/>
    <m/>
    <m/>
    <m/>
    <m/>
    <m/>
    <m/>
    <n v="6.9999999999708962E-2"/>
    <n v="6.9999999999708962E-2"/>
    <m/>
    <s v="NO APLICA"/>
    <s v="NO APLICA"/>
    <s v="NO APLICA"/>
    <s v="NO APLICA"/>
    <s v="NO APLICA"/>
    <d v="2015-10-08T00:00:00"/>
    <d v="2015-10-29T00:00:00"/>
    <d v="2015-11-08T00:00:00"/>
    <d v="2015-11-09T00:00:00"/>
    <m/>
    <m/>
    <m/>
    <s v="NO APLICA"/>
    <s v="NO APLICA"/>
    <s v="NO APLICA"/>
    <m/>
    <m/>
    <d v="2016-07-04T00:00:00"/>
    <d v="2016-08-17T00:00:00"/>
    <s v="NO APLICA"/>
    <s v="NO APLICA"/>
    <s v="NO APLICA"/>
    <m/>
    <m/>
    <m/>
    <m/>
    <m/>
    <m/>
    <m/>
    <m/>
    <m/>
    <m/>
    <m/>
    <m/>
    <m/>
    <s v="ü"/>
    <s v="NO APLICA"/>
    <s v="NO APLICA"/>
    <s v="NO APLICA"/>
    <m/>
    <m/>
    <m/>
    <d v="2016-10-07T00:00:00"/>
    <n v="4200.17"/>
    <m/>
    <m/>
    <m/>
    <m/>
    <m/>
    <m/>
    <m/>
    <m/>
    <m/>
    <m/>
    <m/>
    <m/>
    <m/>
    <m/>
    <m/>
    <m/>
    <m/>
    <m/>
    <m/>
    <m/>
    <m/>
    <m/>
    <m/>
    <m/>
    <n v="4200.17"/>
    <m/>
    <m/>
    <m/>
    <m/>
    <m/>
    <m/>
    <m/>
    <n v="15"/>
    <m/>
    <m/>
    <m/>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11"/>
    <s v="BIENES"/>
    <x v="2"/>
    <s v="Fortalecimiento Institucional"/>
    <x v="4"/>
    <x v="4"/>
    <x v="0"/>
    <s v="BOLIVAR"/>
    <x v="10"/>
    <s v="(CORPORATIVO 1)"/>
    <x v="1"/>
    <s v="BID2-RSND-EECS-RI-BI-001"/>
    <s v="REFORZAMIENTO DEL ÁREA TÉCNICA: LICENCIAS DE CONFIABILIDAD Y UBICACIÓN DE RECONECTADORES."/>
    <m/>
    <s v="LPN"/>
    <s v="ex-post"/>
    <s v="EJECUTADO BID"/>
    <n v="17395"/>
    <s v="TRADUREP REPRESENTACIONES S.A."/>
    <s v="ECUATORIANA"/>
    <s v="PERSONA JURÍDICA"/>
    <s v="0992772840001"/>
    <s v="NO APLICA"/>
    <s v="NO APLICA"/>
    <s v="DATO PENDIENTE"/>
    <s v="DATO PENDIENTE"/>
    <m/>
    <n v="6991.07"/>
    <n v="0"/>
    <n v="6991.07"/>
    <n v="0"/>
    <n v="6991.07"/>
    <n v="0.12"/>
    <n v="838.9283999999999"/>
    <n v="0"/>
    <n v="7829.9984000000004"/>
    <n v="6991.07"/>
    <n v="0"/>
    <m/>
    <m/>
    <n v="6991.07"/>
    <m/>
    <n v="6991.07"/>
    <n v="0.14000000000000001"/>
    <n v="978.74980000000005"/>
    <n v="7969.8197999999993"/>
    <m/>
    <m/>
    <m/>
    <m/>
    <m/>
    <m/>
    <m/>
    <m/>
    <m/>
    <m/>
    <m/>
    <n v="0"/>
    <n v="0"/>
    <m/>
    <s v="NO APLICA"/>
    <s v="NO APLICA"/>
    <s v="NO APLICA"/>
    <s v="NO APLICA"/>
    <s v="NO APLICA"/>
    <d v="2015-10-08T00:00:00"/>
    <d v="2015-10-29T00:00:00"/>
    <d v="2015-11-08T00:00:00"/>
    <d v="2015-11-09T00:00:00"/>
    <m/>
    <m/>
    <m/>
    <s v="NO APLICA"/>
    <s v="NO APLICA"/>
    <s v="NO APLICA"/>
    <m/>
    <m/>
    <d v="2016-07-04T00:00:00"/>
    <d v="2016-08-17T00:00:00"/>
    <s v="NO APLICA"/>
    <s v="NO APLICA"/>
    <s v="NO APLICA"/>
    <m/>
    <m/>
    <m/>
    <m/>
    <m/>
    <m/>
    <m/>
    <m/>
    <m/>
    <m/>
    <m/>
    <m/>
    <m/>
    <s v="ü"/>
    <s v="NO APLICA"/>
    <s v="NO APLICA"/>
    <s v="NO APLICA"/>
    <m/>
    <m/>
    <s v="Pago 1/1 -Liquidacion  "/>
    <d v="2017-02-14T00:00:00"/>
    <n v="6991.07"/>
    <m/>
    <m/>
    <m/>
    <m/>
    <m/>
    <m/>
    <m/>
    <m/>
    <m/>
    <m/>
    <m/>
    <m/>
    <m/>
    <m/>
    <m/>
    <m/>
    <m/>
    <m/>
    <m/>
    <m/>
    <m/>
    <m/>
    <m/>
    <m/>
    <n v="6991.07"/>
    <m/>
    <m/>
    <m/>
    <m/>
    <m/>
    <m/>
    <m/>
    <n v="15"/>
    <m/>
    <m/>
    <m/>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0"/>
    <s v="BIENES"/>
    <x v="2"/>
    <s v="Fortalecimiento Institucional"/>
    <x v="4"/>
    <x v="4"/>
    <x v="0"/>
    <s v="EL ORO"/>
    <x v="10"/>
    <s v="(CORPORATIVO 1)"/>
    <x v="1"/>
    <s v="BID2-RSND-EECS-RI-BI-001"/>
    <s v="REFORZAMIENTO DEL ÁREA TÉCNICA: LICENCIAS DE CONFIABILIDAD Y UBICACIÓN DE RECONECTADORES."/>
    <m/>
    <s v="LPN"/>
    <s v="ex-post"/>
    <s v="EJECUTADO BID"/>
    <n v="17395"/>
    <s v="TRADUREP REPRESENTACIONES S.A."/>
    <s v="ECUATORIANA"/>
    <s v="PERSONA JURÍDICA"/>
    <s v="0992772840001"/>
    <s v="NO APLICA"/>
    <s v="NO APLICA"/>
    <s v="DATO PENDIENTE"/>
    <s v="DATO PENDIENTE"/>
    <m/>
    <n v="6991.07"/>
    <n v="0"/>
    <n v="6991.07"/>
    <n v="0"/>
    <n v="6991.07"/>
    <n v="0.12"/>
    <n v="838.9283999999999"/>
    <n v="0"/>
    <n v="7829.9984000000004"/>
    <n v="6991.07"/>
    <n v="0"/>
    <m/>
    <m/>
    <n v="6991.07"/>
    <m/>
    <n v="6991.07"/>
    <n v="0.14000000000000001"/>
    <n v="978.74980000000005"/>
    <n v="7969.8197999999993"/>
    <m/>
    <m/>
    <m/>
    <m/>
    <m/>
    <m/>
    <m/>
    <m/>
    <m/>
    <m/>
    <m/>
    <n v="0"/>
    <n v="0"/>
    <m/>
    <s v="NO APLICA"/>
    <s v="NO APLICA"/>
    <s v="NO APLICA"/>
    <s v="NO APLICA"/>
    <s v="NO APLICA"/>
    <d v="2015-10-08T00:00:00"/>
    <d v="2015-10-29T00:00:00"/>
    <d v="2015-11-08T00:00:00"/>
    <d v="2015-11-09T00:00:00"/>
    <m/>
    <m/>
    <m/>
    <s v="NO APLICA"/>
    <s v="NO APLICA"/>
    <s v="NO APLICA"/>
    <m/>
    <m/>
    <d v="2016-07-04T00:00:00"/>
    <d v="2016-08-17T00:00:00"/>
    <s v="NO APLICA"/>
    <s v="NO APLICA"/>
    <s v="NO APLICA"/>
    <m/>
    <m/>
    <m/>
    <m/>
    <m/>
    <m/>
    <m/>
    <m/>
    <m/>
    <m/>
    <m/>
    <m/>
    <m/>
    <s v="ü"/>
    <s v="NO APLICA"/>
    <s v="NO APLICA"/>
    <s v="NO APLICA"/>
    <m/>
    <m/>
    <s v="Pago 1/1 Liquidación 100%"/>
    <d v="2017-02-20T00:00:00"/>
    <n v="6991.07"/>
    <m/>
    <m/>
    <m/>
    <m/>
    <m/>
    <m/>
    <m/>
    <m/>
    <m/>
    <m/>
    <m/>
    <m/>
    <m/>
    <m/>
    <m/>
    <m/>
    <m/>
    <m/>
    <m/>
    <m/>
    <m/>
    <m/>
    <m/>
    <m/>
    <n v="6991.07"/>
    <m/>
    <m/>
    <m/>
    <m/>
    <m/>
    <m/>
    <m/>
    <n v="15"/>
    <m/>
    <m/>
    <m/>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12"/>
    <s v="BIENES"/>
    <x v="2"/>
    <s v="Fortalecimiento Institucional"/>
    <x v="4"/>
    <x v="4"/>
    <x v="0"/>
    <s v="ESMERALDAS"/>
    <x v="10"/>
    <s v="(CORPORATIVO 1)"/>
    <x v="1"/>
    <s v="BID2-RSND-EECS-RI-BI-001"/>
    <s v="REFORZAMIENTO DEL ÁREA TÉCNICA: LICENCIAS DE CONFIABILIDAD Y UBICACIÓN DE RECONECTADORES."/>
    <m/>
    <s v="LPN"/>
    <s v="ex-post"/>
    <s v="EJECUTADO BID"/>
    <n v="17395"/>
    <s v="TRADUREP REPRESENTACIONES S.A."/>
    <s v="ECUATORIANA"/>
    <s v="PERSONA JURÍDICA"/>
    <s v="0992772840001"/>
    <s v="NO APLICA"/>
    <s v="NO APLICA"/>
    <s v="DATO PENDIENTE"/>
    <s v="DATO PENDIENTE"/>
    <m/>
    <n v="6991.07"/>
    <n v="0"/>
    <n v="6991.07"/>
    <n v="0"/>
    <n v="6991.07"/>
    <n v="0.12"/>
    <n v="838.9283999999999"/>
    <n v="0"/>
    <n v="7829.9984000000004"/>
    <n v="6991.07"/>
    <n v="0"/>
    <m/>
    <m/>
    <n v="6991.07"/>
    <m/>
    <n v="6991.07"/>
    <n v="0.14000000000000001"/>
    <n v="978.74980000000005"/>
    <n v="7969.8197999999993"/>
    <m/>
    <m/>
    <m/>
    <m/>
    <m/>
    <m/>
    <m/>
    <m/>
    <m/>
    <m/>
    <m/>
    <n v="0"/>
    <n v="0"/>
    <s v="PUBLICADO EN EL PORTAL WEB DE CNEL"/>
    <s v="NO APLICA"/>
    <s v="NO APLICA"/>
    <s v="NO APLICA"/>
    <s v="NO APLICA"/>
    <s v="NO APLICA"/>
    <d v="2015-10-08T00:00:00"/>
    <d v="2015-10-29T00:00:00"/>
    <d v="2015-11-08T00:00:00"/>
    <d v="2015-11-09T00:00:00"/>
    <s v="NO APLICA"/>
    <s v="DATO PENDIENTE"/>
    <s v="DATO PENDIENTE"/>
    <s v="NO APLICA"/>
    <s v="NO APLICA"/>
    <s v="NO APLICA"/>
    <s v="DATO PENDIENTE"/>
    <s v="NO APLICA"/>
    <d v="2016-07-04T00:00:00"/>
    <d v="2016-08-17T00:00:00"/>
    <s v="NO APLICA"/>
    <s v="NO APLICA"/>
    <s v="NO APLICA"/>
    <m/>
    <s v="ü"/>
    <m/>
    <m/>
    <m/>
    <m/>
    <m/>
    <m/>
    <m/>
    <m/>
    <m/>
    <m/>
    <m/>
    <s v="ü"/>
    <s v="NO APLICA"/>
    <s v="NO APLICA"/>
    <s v="NO APLICA"/>
    <m/>
    <m/>
    <s v="Pago 1/1 - Liquidación; 100%"/>
    <d v="2017-02-20T00:00:00"/>
    <n v="6991.07"/>
    <m/>
    <m/>
    <m/>
    <m/>
    <m/>
    <m/>
    <m/>
    <m/>
    <m/>
    <m/>
    <m/>
    <m/>
    <m/>
    <m/>
    <m/>
    <m/>
    <m/>
    <m/>
    <m/>
    <m/>
    <m/>
    <m/>
    <m/>
    <m/>
    <n v="6991.07"/>
    <m/>
    <m/>
    <m/>
    <m/>
    <m/>
    <m/>
    <m/>
    <n v="15"/>
    <m/>
    <m/>
    <m/>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13"/>
    <s v="BIENES"/>
    <x v="2"/>
    <s v="Fortalecimiento Institucional"/>
    <x v="4"/>
    <x v="4"/>
    <x v="0"/>
    <s v="GUAYAS"/>
    <x v="10"/>
    <s v="(CORPORATIVO 1)"/>
    <x v="1"/>
    <s v="BID2-RSND-EECS-RI-BI-001"/>
    <s v="REFORZAMIENTO DEL ÁREA TÉCNICA: LICENCIAS DE CONFIABILIDAD Y UBICACIÓN DE RECONECTADORES."/>
    <m/>
    <s v="LPN"/>
    <s v="ex-post"/>
    <s v="EJECUTADO BID"/>
    <n v="17395"/>
    <s v="TRADUREP REPRESENTACIONES S.A."/>
    <s v="ECUATORIANA"/>
    <s v="PERSONA JURÍDICA"/>
    <s v="0992772840001"/>
    <s v="NO APLICA"/>
    <s v="NO APLICA"/>
    <s v="DATO PENDIENTE"/>
    <s v="DATO PENDIENTE"/>
    <m/>
    <n v="2790.9"/>
    <n v="0"/>
    <n v="2790.9"/>
    <n v="0"/>
    <n v="2790.9"/>
    <n v="0.12"/>
    <n v="334.90800000000002"/>
    <n v="0"/>
    <n v="3125.8080000000004"/>
    <n v="2790.9"/>
    <n v="0"/>
    <m/>
    <m/>
    <n v="2790.9"/>
    <m/>
    <n v="2790.9"/>
    <n v="0.14000000000000001"/>
    <n v="390.72600000000006"/>
    <n v="3181.6259999999997"/>
    <m/>
    <m/>
    <m/>
    <m/>
    <m/>
    <m/>
    <m/>
    <m/>
    <m/>
    <m/>
    <m/>
    <n v="0"/>
    <n v="0"/>
    <m/>
    <s v="NO APLICA"/>
    <s v="NO APLICA"/>
    <s v="NO APLICA"/>
    <s v="NO APLICA"/>
    <s v="NO APLICA"/>
    <d v="2015-10-08T00:00:00"/>
    <d v="2015-10-29T00:00:00"/>
    <d v="2015-11-08T00:00:00"/>
    <d v="2015-11-09T00:00:00"/>
    <m/>
    <m/>
    <m/>
    <s v="NO APLICA"/>
    <s v="NO APLICA"/>
    <s v="NO APLICA"/>
    <m/>
    <m/>
    <d v="2016-07-04T00:00:00"/>
    <d v="2016-08-17T00:00:00"/>
    <s v="NO APLICA"/>
    <s v="NO APLICA"/>
    <s v="NO APLICA"/>
    <m/>
    <m/>
    <m/>
    <m/>
    <m/>
    <m/>
    <m/>
    <m/>
    <m/>
    <m/>
    <m/>
    <m/>
    <m/>
    <s v="ü"/>
    <s v="NO APLICA"/>
    <s v="NO APLICA"/>
    <s v="NO APLICA"/>
    <m/>
    <m/>
    <s v="PAGO 1/1 - LIQUIDACION 100%"/>
    <d v="2017-02-20T00:00:00"/>
    <n v="2790.9"/>
    <m/>
    <m/>
    <m/>
    <m/>
    <m/>
    <m/>
    <m/>
    <m/>
    <m/>
    <m/>
    <m/>
    <m/>
    <m/>
    <m/>
    <m/>
    <m/>
    <m/>
    <m/>
    <m/>
    <m/>
    <m/>
    <m/>
    <m/>
    <m/>
    <n v="2790.9"/>
    <m/>
    <m/>
    <m/>
    <m/>
    <m/>
    <m/>
    <m/>
    <n v="15"/>
    <m/>
    <m/>
    <m/>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14"/>
    <s v="BIENES"/>
    <x v="2"/>
    <s v="Fortalecimiento Institucional"/>
    <x v="4"/>
    <x v="4"/>
    <x v="0"/>
    <s v="GUAYAS"/>
    <x v="10"/>
    <s v="(CORPORATIVO 1)"/>
    <x v="1"/>
    <s v="BID2-RSND-EECS-RI-BI-001"/>
    <s v="REFORZAMIENTO DEL ÁREA TÉCNICA: LICENCIAS DE CONFIABILIDAD Y UBICACIÓN DE RECONECTADORES."/>
    <m/>
    <s v="LPN"/>
    <s v="ex-post"/>
    <s v="EJECUTADO BID"/>
    <n v="17395"/>
    <s v="TRADUREP REPRESENTACIONES S.A."/>
    <s v="ECUATORIANA"/>
    <s v="PERSONA JURÍDICA"/>
    <s v="0992772840001"/>
    <s v="NO APLICA"/>
    <s v="NO APLICA"/>
    <s v="DATO PENDIENTE"/>
    <s v="DATO PENDIENTE"/>
    <m/>
    <n v="13982.14"/>
    <n v="0"/>
    <n v="13982.14"/>
    <n v="0"/>
    <n v="13982.14"/>
    <n v="0.12"/>
    <n v="1677.8567999999998"/>
    <n v="0"/>
    <n v="15659.996800000001"/>
    <n v="13982.14"/>
    <n v="0"/>
    <m/>
    <m/>
    <n v="13982.14"/>
    <m/>
    <n v="13982.14"/>
    <n v="0.14000000000000001"/>
    <n v="1957.4996000000001"/>
    <n v="15939.639599999999"/>
    <m/>
    <m/>
    <m/>
    <m/>
    <m/>
    <m/>
    <m/>
    <m/>
    <m/>
    <m/>
    <m/>
    <n v="0"/>
    <n v="0"/>
    <m/>
    <s v="NO APLICA"/>
    <s v="NO APLICA"/>
    <s v="NO APLICA"/>
    <s v="NO APLICA"/>
    <s v="NO APLICA"/>
    <d v="2015-10-08T00:00:00"/>
    <d v="2015-10-29T00:00:00"/>
    <d v="2015-11-08T00:00:00"/>
    <d v="2015-11-09T00:00:00"/>
    <m/>
    <m/>
    <m/>
    <s v="NO APLICA"/>
    <s v="NO APLICA"/>
    <s v="NO APLICA"/>
    <m/>
    <m/>
    <d v="2016-07-04T00:00:00"/>
    <d v="2016-08-17T00:00:00"/>
    <s v="NO APLICA"/>
    <s v="NO APLICA"/>
    <s v="NO APLICA"/>
    <m/>
    <m/>
    <m/>
    <m/>
    <m/>
    <m/>
    <m/>
    <m/>
    <m/>
    <m/>
    <m/>
    <m/>
    <m/>
    <s v="ü"/>
    <s v="NO APLICA"/>
    <s v="NO APLICA"/>
    <s v="NO APLICA"/>
    <m/>
    <m/>
    <s v="PAGO 1/1 - LIQUIDACION 100%"/>
    <d v="2017-02-20T00:00:00"/>
    <n v="13982.14"/>
    <m/>
    <m/>
    <m/>
    <m/>
    <m/>
    <m/>
    <m/>
    <m/>
    <m/>
    <m/>
    <m/>
    <m/>
    <m/>
    <m/>
    <m/>
    <m/>
    <m/>
    <m/>
    <m/>
    <m/>
    <m/>
    <m/>
    <m/>
    <m/>
    <n v="13982.14"/>
    <m/>
    <m/>
    <m/>
    <m/>
    <m/>
    <m/>
    <m/>
    <n v="15"/>
    <m/>
    <m/>
    <m/>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15"/>
    <s v="BIENES"/>
    <x v="2"/>
    <s v="Fortalecimiento Institucional"/>
    <x v="4"/>
    <x v="4"/>
    <x v="0"/>
    <s v="LOS RÍOS"/>
    <x v="10"/>
    <s v="(CORPORATIVO 1)"/>
    <x v="1"/>
    <s v="BID2-RSND-EECS-RI-BI-001"/>
    <s v="REFORZAMIENTO DEL ÁREA TÉCNICA: LICENCIAS DE CONFIABILIDAD Y UBICACIÓN DE RECONECTADORES."/>
    <m/>
    <s v="LPN"/>
    <s v="ex-post"/>
    <s v="EJECUTADO BID"/>
    <n v="17395"/>
    <s v="TRADUREP REPRESENTACIONES S.A."/>
    <s v="ECUATORIANA"/>
    <s v="PERSONA JURÍDICA"/>
    <s v="0992772840001"/>
    <s v="NO APLICA"/>
    <s v="NO APLICA"/>
    <s v="DATO PENDIENTE"/>
    <s v="DATO PENDIENTE"/>
    <m/>
    <n v="6991.07"/>
    <n v="0"/>
    <n v="6991.07"/>
    <n v="0"/>
    <n v="6991.07"/>
    <n v="0.12"/>
    <n v="838.9283999999999"/>
    <n v="0"/>
    <n v="7829.9984000000004"/>
    <n v="6991.07"/>
    <n v="0"/>
    <m/>
    <m/>
    <n v="6991.07"/>
    <m/>
    <n v="6991.07"/>
    <n v="0.14000000000000001"/>
    <n v="978.74980000000005"/>
    <n v="7969.8197999999993"/>
    <m/>
    <m/>
    <m/>
    <m/>
    <m/>
    <m/>
    <m/>
    <m/>
    <m/>
    <m/>
    <m/>
    <n v="0"/>
    <n v="0"/>
    <m/>
    <s v="NO APLICA"/>
    <s v="NO APLICA"/>
    <s v="NO APLICA"/>
    <s v="NO APLICA"/>
    <s v="NO APLICA"/>
    <d v="2015-10-08T00:00:00"/>
    <d v="2015-10-29T00:00:00"/>
    <d v="2015-11-08T00:00:00"/>
    <d v="2015-11-09T00:00:00"/>
    <m/>
    <m/>
    <m/>
    <s v="NO APLICA"/>
    <s v="NO APLICA"/>
    <s v="NO APLICA"/>
    <m/>
    <m/>
    <d v="2016-07-04T00:00:00"/>
    <d v="2016-08-17T00:00:00"/>
    <s v="NO APLICA"/>
    <s v="NO APLICA"/>
    <s v="NO APLICA"/>
    <m/>
    <m/>
    <m/>
    <m/>
    <m/>
    <m/>
    <m/>
    <m/>
    <m/>
    <m/>
    <m/>
    <m/>
    <m/>
    <s v="ü"/>
    <s v="NO APLICA"/>
    <s v="NO APLICA"/>
    <s v="NO APLICA"/>
    <m/>
    <m/>
    <s v="PAGO 1/1 - LIQUIDACION 100%"/>
    <d v="2017-02-20T00:00:00"/>
    <n v="6991.07"/>
    <m/>
    <m/>
    <m/>
    <m/>
    <m/>
    <m/>
    <m/>
    <m/>
    <m/>
    <m/>
    <m/>
    <m/>
    <m/>
    <m/>
    <m/>
    <m/>
    <m/>
    <m/>
    <m/>
    <m/>
    <m/>
    <m/>
    <m/>
    <m/>
    <n v="6991.07"/>
    <m/>
    <m/>
    <m/>
    <m/>
    <m/>
    <m/>
    <m/>
    <n v="15"/>
    <m/>
    <m/>
    <m/>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16"/>
    <s v="BIENES"/>
    <x v="2"/>
    <s v="Fortalecimiento Institucional"/>
    <x v="4"/>
    <x v="4"/>
    <x v="0"/>
    <s v="MANABI"/>
    <x v="10"/>
    <s v="(CORPORATIVO 1)"/>
    <x v="1"/>
    <s v="BID2-RSND-EECS-RI-BI-001"/>
    <s v="REFORZAMIENTO DEL ÁREA TÉCNICA: LICENCIAS DE CONFIABILIDAD Y UBICACIÓN DE RECONECTADORES."/>
    <m/>
    <s v="LPN"/>
    <s v="ex-post"/>
    <s v="EJECUTADO BID"/>
    <n v="17395"/>
    <s v="TRADUREP REPRESENTACIONES S.A."/>
    <s v="ECUATORIANA"/>
    <s v="PERSONA JURÍDICA"/>
    <s v="0992772840001"/>
    <s v="NO APLICA"/>
    <s v="NO APLICA"/>
    <s v="DATO PENDIENTE"/>
    <s v="DATO PENDIENTE"/>
    <m/>
    <n v="6991.07"/>
    <n v="0"/>
    <n v="6991.07"/>
    <n v="0"/>
    <n v="6991.07"/>
    <n v="0.12"/>
    <n v="838.9283999999999"/>
    <n v="0"/>
    <n v="7829.9984000000004"/>
    <n v="6991.07"/>
    <n v="0"/>
    <m/>
    <m/>
    <n v="6991.07"/>
    <m/>
    <n v="6991.07"/>
    <n v="0.14000000000000001"/>
    <n v="978.74980000000005"/>
    <n v="7969.8197999999993"/>
    <m/>
    <m/>
    <m/>
    <m/>
    <m/>
    <m/>
    <m/>
    <m/>
    <m/>
    <m/>
    <m/>
    <n v="0"/>
    <n v="0"/>
    <m/>
    <s v="NO APLICA"/>
    <s v="NO APLICA"/>
    <s v="NO APLICA"/>
    <s v="NO APLICA"/>
    <s v="NO APLICA"/>
    <d v="2015-10-08T00:00:00"/>
    <d v="2015-10-29T00:00:00"/>
    <d v="2015-11-08T00:00:00"/>
    <d v="2015-11-09T00:00:00"/>
    <m/>
    <m/>
    <m/>
    <s v="NO APLICA"/>
    <s v="NO APLICA"/>
    <s v="NO APLICA"/>
    <m/>
    <m/>
    <d v="2016-07-04T00:00:00"/>
    <d v="2016-08-17T00:00:00"/>
    <s v="NO APLICA"/>
    <s v="NO APLICA"/>
    <s v="NO APLICA"/>
    <m/>
    <m/>
    <m/>
    <m/>
    <m/>
    <m/>
    <m/>
    <m/>
    <m/>
    <m/>
    <m/>
    <m/>
    <m/>
    <s v="ü"/>
    <s v="NO APLICA"/>
    <s v="NO APLICA"/>
    <s v="NO APLICA"/>
    <m/>
    <m/>
    <s v="PAGO 1/1 LIQUIDACION 100%"/>
    <d v="2017-02-20T00:00:00"/>
    <n v="6991.07"/>
    <m/>
    <m/>
    <m/>
    <m/>
    <m/>
    <m/>
    <m/>
    <m/>
    <m/>
    <m/>
    <m/>
    <m/>
    <m/>
    <m/>
    <m/>
    <m/>
    <m/>
    <m/>
    <m/>
    <m/>
    <m/>
    <m/>
    <m/>
    <m/>
    <n v="6991.07"/>
    <m/>
    <m/>
    <m/>
    <m/>
    <m/>
    <m/>
    <m/>
    <n v="15"/>
    <m/>
    <m/>
    <m/>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17"/>
    <s v="BIENES"/>
    <x v="2"/>
    <s v="Fortalecimiento Institucional"/>
    <x v="4"/>
    <x v="4"/>
    <x v="0"/>
    <s v="GUAYAS"/>
    <x v="10"/>
    <s v="(CORPORATIVO 1)"/>
    <x v="1"/>
    <s v="BID2-RSND-EECS-RI-BI-001"/>
    <s v="REFORZAMIENTO DEL ÁREA TÉCNICA: LICENCIAS DE CONFIABILIDAD Y UBICACIÓN DE RECONECTADORES."/>
    <m/>
    <s v="LPN"/>
    <s v="ex-post"/>
    <s v="EJECUTADO BID"/>
    <n v="17395"/>
    <s v="TRADUREP REPRESENTACIONES S.A."/>
    <s v="ECUATORIANA"/>
    <s v="PERSONA JURÍDICA"/>
    <s v="0992772840001"/>
    <s v="NO APLICA"/>
    <s v="NO APLICA"/>
    <s v="DATO PENDIENTE"/>
    <s v="DATO PENDIENTE"/>
    <m/>
    <n v="6991.07"/>
    <n v="0"/>
    <n v="6991.07"/>
    <n v="0"/>
    <n v="6991.07"/>
    <n v="0.12"/>
    <n v="838.9283999999999"/>
    <n v="0"/>
    <n v="7829.9984000000004"/>
    <n v="6991.07"/>
    <n v="0"/>
    <m/>
    <m/>
    <n v="6991.07"/>
    <m/>
    <n v="6991.07"/>
    <n v="0.14000000000000001"/>
    <n v="978.74980000000005"/>
    <n v="7969.8197999999993"/>
    <m/>
    <m/>
    <m/>
    <m/>
    <m/>
    <m/>
    <m/>
    <m/>
    <m/>
    <m/>
    <m/>
    <n v="0"/>
    <n v="0"/>
    <m/>
    <s v="NO APLICA"/>
    <s v="NO APLICA"/>
    <s v="NO APLICA"/>
    <s v="NO APLICA"/>
    <s v="NO APLICA"/>
    <d v="2015-10-08T00:00:00"/>
    <d v="2015-10-29T00:00:00"/>
    <d v="2015-11-08T00:00:00"/>
    <d v="2015-11-09T00:00:00"/>
    <m/>
    <m/>
    <m/>
    <s v="NO APLICA"/>
    <s v="NO APLICA"/>
    <s v="NO APLICA"/>
    <m/>
    <m/>
    <d v="2016-07-04T00:00:00"/>
    <d v="2016-08-17T00:00:00"/>
    <s v="NO APLICA"/>
    <s v="NO APLICA"/>
    <s v="NO APLICA"/>
    <m/>
    <m/>
    <m/>
    <m/>
    <m/>
    <m/>
    <m/>
    <m/>
    <m/>
    <m/>
    <m/>
    <m/>
    <m/>
    <s v="ü"/>
    <s v="NO APLICA"/>
    <s v="NO APLICA"/>
    <s v="NO APLICA"/>
    <m/>
    <m/>
    <s v="PAGO 1/1 LIQUIDACION 100%"/>
    <d v="2017-02-20T00:00:00"/>
    <n v="6991.07"/>
    <m/>
    <m/>
    <m/>
    <m/>
    <m/>
    <m/>
    <m/>
    <m/>
    <m/>
    <m/>
    <m/>
    <m/>
    <m/>
    <m/>
    <m/>
    <m/>
    <m/>
    <m/>
    <m/>
    <m/>
    <m/>
    <m/>
    <m/>
    <m/>
    <n v="6991.07"/>
    <m/>
    <m/>
    <m/>
    <m/>
    <m/>
    <m/>
    <m/>
    <n v="15"/>
    <m/>
    <m/>
    <m/>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18"/>
    <s v="BIENES"/>
    <x v="2"/>
    <s v="Fortalecimiento Institucional"/>
    <x v="4"/>
    <x v="4"/>
    <x v="0"/>
    <s v="SANTA ELENA"/>
    <x v="10"/>
    <s v="(CORPORATIVO 1)"/>
    <x v="1"/>
    <s v="BID2-RSND-EECS-RI-BI-001"/>
    <s v="REFORZAMIENTO DEL ÁREA TÉCNICA: LICENCIAS DE CONFIABILIDAD Y UBICACIÓN DE RECONECTADORES."/>
    <m/>
    <s v="LPN"/>
    <s v="ex-post"/>
    <s v="EJECUTADO BID"/>
    <n v="17395"/>
    <s v="TRADUREP REPRESENTACIONES S.A."/>
    <s v="ECUATORIANA"/>
    <s v="PERSONA JURÍDICA"/>
    <s v="0992772840001"/>
    <s v="NO APLICA"/>
    <s v="NO APLICA"/>
    <s v="DATO PENDIENTE"/>
    <s v="DATO PENDIENTE"/>
    <m/>
    <n v="6991.07"/>
    <n v="0"/>
    <n v="6991.07"/>
    <n v="0"/>
    <n v="6991.07"/>
    <n v="0.12"/>
    <n v="838.9283999999999"/>
    <n v="0"/>
    <n v="7829.9984000000004"/>
    <n v="6991.07"/>
    <n v="0"/>
    <m/>
    <m/>
    <n v="6991.07"/>
    <m/>
    <n v="6991.07"/>
    <n v="0.14000000000000001"/>
    <n v="978.74980000000005"/>
    <n v="7969.8197999999993"/>
    <m/>
    <m/>
    <m/>
    <m/>
    <m/>
    <m/>
    <m/>
    <m/>
    <m/>
    <m/>
    <m/>
    <n v="0"/>
    <n v="0"/>
    <m/>
    <s v="NO APLICA"/>
    <s v="NO APLICA"/>
    <s v="NO APLICA"/>
    <s v="NO APLICA"/>
    <s v="NO APLICA"/>
    <d v="2015-10-08T00:00:00"/>
    <d v="2015-10-29T00:00:00"/>
    <d v="2015-11-08T00:00:00"/>
    <d v="2015-11-09T00:00:00"/>
    <m/>
    <m/>
    <m/>
    <s v="NO APLICA"/>
    <s v="NO APLICA"/>
    <s v="NO APLICA"/>
    <m/>
    <m/>
    <d v="2016-07-04T00:00:00"/>
    <d v="2016-08-17T00:00:00"/>
    <s v="NO APLICA"/>
    <s v="NO APLICA"/>
    <s v="NO APLICA"/>
    <m/>
    <m/>
    <m/>
    <m/>
    <m/>
    <m/>
    <m/>
    <m/>
    <m/>
    <m/>
    <m/>
    <m/>
    <m/>
    <s v="ü"/>
    <s v="NO APLICA"/>
    <s v="NO APLICA"/>
    <s v="NO APLICA"/>
    <m/>
    <m/>
    <s v="Pago 1/1 Liquidación 100%"/>
    <d v="2017-02-20T00:00:00"/>
    <n v="6991.07"/>
    <m/>
    <m/>
    <m/>
    <m/>
    <m/>
    <m/>
    <m/>
    <m/>
    <m/>
    <m/>
    <m/>
    <m/>
    <m/>
    <m/>
    <m/>
    <m/>
    <m/>
    <m/>
    <m/>
    <m/>
    <m/>
    <m/>
    <m/>
    <m/>
    <n v="6991.07"/>
    <m/>
    <m/>
    <m/>
    <m/>
    <m/>
    <m/>
    <m/>
    <n v="15"/>
    <m/>
    <m/>
    <m/>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1"/>
    <s v="BIENES"/>
    <x v="2"/>
    <s v="Fortalecimiento Institucional"/>
    <x v="4"/>
    <x v="4"/>
    <x v="0"/>
    <s v="SANTO DOMINGO DE LOS TSACHILAS"/>
    <x v="10"/>
    <s v="(CORPORATIVO 1)"/>
    <x v="1"/>
    <s v="BID2-RSND-EECS-RI-BI-001"/>
    <s v="REFORZAMIENTO DEL ÁREA TÉCNICA: LICENCIAS DE CONFIABILIDAD Y UBICACIÓN DE RECONECTADORES."/>
    <m/>
    <s v="LPN"/>
    <s v="ex-post"/>
    <s v="EJECUTADO BID"/>
    <n v="17395"/>
    <s v="TRADUREP REPRESENTACIONES S.A."/>
    <s v="ECUATORIANA"/>
    <s v="PERSONA JURÍDICA"/>
    <s v="0992772840001"/>
    <s v="NO APLICA"/>
    <s v="NO APLICA"/>
    <s v="DATO PENDIENTE"/>
    <s v="DATO PENDIENTE"/>
    <m/>
    <n v="6991.07"/>
    <n v="0"/>
    <n v="6991.07"/>
    <n v="0"/>
    <n v="6991.07"/>
    <n v="0.12"/>
    <n v="838.9283999999999"/>
    <n v="0"/>
    <n v="7829.9984000000004"/>
    <n v="6991.07"/>
    <n v="0"/>
    <m/>
    <m/>
    <n v="6991.07"/>
    <m/>
    <n v="6991.07"/>
    <n v="0.14000000000000001"/>
    <n v="978.74980000000005"/>
    <n v="7969.8197999999993"/>
    <m/>
    <m/>
    <m/>
    <m/>
    <m/>
    <m/>
    <m/>
    <m/>
    <m/>
    <m/>
    <m/>
    <n v="0"/>
    <n v="0"/>
    <m/>
    <s v="NO APLICA"/>
    <s v="NO APLICA"/>
    <s v="NO APLICA"/>
    <s v="NO APLICA"/>
    <s v="NO APLICA"/>
    <d v="2015-10-08T00:00:00"/>
    <d v="2015-10-29T00:00:00"/>
    <d v="2015-11-08T00:00:00"/>
    <d v="2015-11-09T00:00:00"/>
    <m/>
    <m/>
    <m/>
    <s v="NO APLICA"/>
    <s v="NO APLICA"/>
    <s v="NO APLICA"/>
    <m/>
    <m/>
    <d v="2016-07-04T00:00:00"/>
    <d v="2016-08-17T00:00:00"/>
    <s v="NO APLICA"/>
    <s v="NO APLICA"/>
    <s v="NO APLICA"/>
    <m/>
    <m/>
    <m/>
    <m/>
    <m/>
    <m/>
    <m/>
    <m/>
    <m/>
    <m/>
    <m/>
    <m/>
    <m/>
    <s v="ü"/>
    <s v="NO APLICA"/>
    <s v="NO APLICA"/>
    <s v="NO APLICA"/>
    <m/>
    <m/>
    <s v="Pago 1/1 -Liquidacion  "/>
    <d v="2017-02-14T00:00:00"/>
    <n v="6991.07"/>
    <m/>
    <m/>
    <m/>
    <m/>
    <m/>
    <m/>
    <m/>
    <m/>
    <m/>
    <m/>
    <m/>
    <m/>
    <m/>
    <m/>
    <m/>
    <m/>
    <m/>
    <m/>
    <m/>
    <m/>
    <m/>
    <m/>
    <m/>
    <m/>
    <n v="6991.07"/>
    <m/>
    <m/>
    <m/>
    <m/>
    <m/>
    <m/>
    <m/>
    <n v="15"/>
    <m/>
    <m/>
    <m/>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2"/>
    <s v="BIENES"/>
    <x v="2"/>
    <s v="Fortalecimiento Institucional"/>
    <x v="4"/>
    <x v="4"/>
    <x v="0"/>
    <s v="SUCUMBIOS"/>
    <x v="10"/>
    <s v="(CORPORATIVO 1)"/>
    <x v="1"/>
    <s v="BID2-RSND-EECS-RI-BI-001"/>
    <s v="REFORZAMIENTO DEL ÁREA TÉCNICA: LICENCIAS DE CONFIABILIDAD Y UBICACIÓN DE RECONECTADORES."/>
    <m/>
    <s v="LPN"/>
    <s v="ex-post"/>
    <s v="EJECUTADO BID"/>
    <n v="17395"/>
    <s v="TRADUREP REPRESENTACIONES S.A."/>
    <s v="ECUATORIANA"/>
    <s v="PERSONA JURÍDICA"/>
    <s v="0992772840001"/>
    <s v="NO APLICA"/>
    <s v="NO APLICA"/>
    <s v="DATO PENDIENTE"/>
    <s v="DATO PENDIENTE"/>
    <m/>
    <n v="6991.07"/>
    <n v="0"/>
    <n v="6991.07"/>
    <n v="0"/>
    <n v="6991.07"/>
    <n v="0.12"/>
    <n v="838.9283999999999"/>
    <n v="0"/>
    <n v="7829.9984000000004"/>
    <n v="6991.07"/>
    <n v="0"/>
    <m/>
    <m/>
    <n v="6991.07"/>
    <m/>
    <n v="6991.07"/>
    <n v="0.14000000000000001"/>
    <n v="978.74980000000005"/>
    <n v="7969.8197999999993"/>
    <m/>
    <m/>
    <m/>
    <m/>
    <m/>
    <m/>
    <m/>
    <m/>
    <m/>
    <m/>
    <m/>
    <n v="0"/>
    <n v="0"/>
    <m/>
    <s v="NO APLICA"/>
    <s v="NO APLICA"/>
    <s v="NO APLICA"/>
    <s v="NO APLICA"/>
    <s v="NO APLICA"/>
    <d v="2015-10-08T00:00:00"/>
    <d v="2015-10-29T00:00:00"/>
    <d v="2015-11-08T00:00:00"/>
    <d v="2015-11-09T00:00:00"/>
    <m/>
    <m/>
    <m/>
    <s v="NO APLICA"/>
    <s v="NO APLICA"/>
    <s v="NO APLICA"/>
    <m/>
    <s v="NO APLICA"/>
    <d v="2016-07-04T00:00:00"/>
    <d v="2016-08-17T00:00:00"/>
    <s v="NO APLICA"/>
    <s v="NO APLICA"/>
    <s v="NO APLICA"/>
    <m/>
    <m/>
    <m/>
    <m/>
    <m/>
    <m/>
    <m/>
    <m/>
    <m/>
    <m/>
    <m/>
    <m/>
    <m/>
    <s v="ü"/>
    <s v="NO APLICA"/>
    <s v="NO APLICA"/>
    <s v="NO APLICA"/>
    <m/>
    <m/>
    <s v="Pago 1/1 - Liquidación; 100%"/>
    <d v="2017-02-20T00:00:00"/>
    <n v="6991.07"/>
    <m/>
    <m/>
    <m/>
    <m/>
    <m/>
    <m/>
    <m/>
    <m/>
    <m/>
    <m/>
    <m/>
    <m/>
    <m/>
    <m/>
    <m/>
    <m/>
    <m/>
    <m/>
    <m/>
    <m/>
    <m/>
    <m/>
    <m/>
    <m/>
    <n v="6991.07"/>
    <m/>
    <m/>
    <m/>
    <m/>
    <m/>
    <m/>
    <m/>
    <n v="15"/>
    <s v="DATO PENDIENTE"/>
    <s v="DATO PENDIENTE"/>
    <s v="DATO PENDIENTE"/>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CNEL AUN NO CANCELA AL CONTRATISTA PORQUE ESTA EN PROCESO DE APROBACIÓN DEL AVAL POR PARTE DEL MINISTERIO DE FINANZAS"/>
    <m/>
    <m/>
    <m/>
  </r>
  <r>
    <x v="19"/>
    <s v="BIENES"/>
    <x v="2"/>
    <s v="Fortalecimiento Institucional"/>
    <x v="4"/>
    <x v="4"/>
    <x v="0"/>
    <s v="TUNGURAHUA"/>
    <x v="10"/>
    <s v="(CORPORATIVO 1)"/>
    <x v="1"/>
    <s v="BID2-RSND-EECS-RI-BI-001"/>
    <s v="REFORZAMIENTO DEL ÁREA TÉCNICA: LICENCIAS DE CONFIABILIDAD Y UBICACIÓN DE RECONECTADORES."/>
    <m/>
    <s v="LPN"/>
    <s v="ex-post"/>
    <s v="EJECUTADO BID"/>
    <n v="17395"/>
    <s v="TRADUREP REPRESENTACIONES S.A."/>
    <s v="ECUATORIANA"/>
    <s v="PERSONA JURÍDICA"/>
    <s v="0992772840001"/>
    <m/>
    <m/>
    <m/>
    <m/>
    <m/>
    <n v="6991.07"/>
    <n v="0"/>
    <n v="6991.07"/>
    <n v="0"/>
    <n v="6991.07"/>
    <n v="0.12"/>
    <n v="838.9283999999999"/>
    <n v="0"/>
    <n v="7829.9984000000004"/>
    <n v="6991.07"/>
    <n v="0"/>
    <m/>
    <m/>
    <n v="6991.07"/>
    <m/>
    <n v="6991.07"/>
    <m/>
    <m/>
    <m/>
    <m/>
    <m/>
    <m/>
    <m/>
    <m/>
    <m/>
    <m/>
    <m/>
    <m/>
    <m/>
    <m/>
    <n v="0"/>
    <n v="0"/>
    <m/>
    <s v="NO APLICA"/>
    <s v="NO APLICA"/>
    <s v="NO APLICA"/>
    <s v="NO APLICA"/>
    <s v="NO APLICA"/>
    <d v="2015-10-08T00:00:00"/>
    <d v="2015-10-29T00:00:00"/>
    <d v="2015-11-08T00:00:00"/>
    <d v="2015-11-09T00:00:00"/>
    <m/>
    <m/>
    <m/>
    <s v="NO APLICA"/>
    <s v="NO APLICA"/>
    <s v="NO APLICA"/>
    <m/>
    <m/>
    <d v="2016-07-04T00:00:00"/>
    <d v="2016-08-17T00:00:00"/>
    <s v="NO APLICA"/>
    <s v="NO APLICA"/>
    <s v="NO APLICA"/>
    <m/>
    <m/>
    <m/>
    <m/>
    <m/>
    <m/>
    <m/>
    <m/>
    <m/>
    <m/>
    <m/>
    <m/>
    <m/>
    <s v="ü"/>
    <s v="NO APLICA"/>
    <s v="NO APLICA"/>
    <s v="NO APLICA"/>
    <s v="NO APLICA"/>
    <n v="0"/>
    <m/>
    <d v="2016-05-04T00:00:00"/>
    <n v="6991.07"/>
    <m/>
    <m/>
    <m/>
    <m/>
    <m/>
    <m/>
    <m/>
    <m/>
    <m/>
    <m/>
    <m/>
    <m/>
    <m/>
    <m/>
    <m/>
    <m/>
    <m/>
    <m/>
    <m/>
    <m/>
    <m/>
    <m/>
    <m/>
    <m/>
    <n v="6991.07"/>
    <m/>
    <m/>
    <m/>
    <m/>
    <m/>
    <m/>
    <m/>
    <n v="15"/>
    <m/>
    <m/>
    <m/>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3"/>
    <s v="BIENES"/>
    <x v="2"/>
    <s v="Fortalecimiento Institucional"/>
    <x v="4"/>
    <x v="4"/>
    <x v="0"/>
    <s v="CAÑAR"/>
    <x v="10"/>
    <s v="(CORPORATIVO 1)"/>
    <x v="1"/>
    <s v="BID2-RSND-EECS-RI-BI-001"/>
    <s v="REFORZAMIENTO DEL ÁREA TÉCNICA: LICENCIAS DE CONFIABILIDAD Y UBICACIÓN DE RECONECTADORES."/>
    <m/>
    <s v="LPN"/>
    <s v="ex-post"/>
    <s v="EJECUTADO BID"/>
    <n v="17395"/>
    <s v="TRADUREP REPRESENTACIONES S.A."/>
    <s v="ECUATORIANA"/>
    <s v="PERSONA JURÍDICA"/>
    <s v="0992772840001"/>
    <m/>
    <m/>
    <m/>
    <m/>
    <m/>
    <n v="6991.07"/>
    <n v="0"/>
    <n v="6991.07"/>
    <n v="0"/>
    <n v="6991.07"/>
    <n v="0.12"/>
    <n v="838.9283999999999"/>
    <n v="0"/>
    <n v="7829.9984000000004"/>
    <n v="6991.07"/>
    <n v="0"/>
    <m/>
    <m/>
    <n v="6991.07"/>
    <m/>
    <n v="6991.07"/>
    <m/>
    <m/>
    <m/>
    <m/>
    <m/>
    <m/>
    <m/>
    <m/>
    <m/>
    <m/>
    <m/>
    <m/>
    <m/>
    <m/>
    <n v="0"/>
    <n v="0"/>
    <m/>
    <s v="NO APLICA"/>
    <s v="NO APLICA"/>
    <s v="NO APLICA"/>
    <s v="NO APLICA"/>
    <s v="NO APLICA"/>
    <d v="2015-10-08T00:00:00"/>
    <d v="2015-10-29T00:00:00"/>
    <d v="2015-11-08T00:00:00"/>
    <d v="2015-11-09T00:00:00"/>
    <m/>
    <m/>
    <m/>
    <s v="NO APLICA"/>
    <s v="NO APLICA"/>
    <s v="NO APLICA"/>
    <m/>
    <m/>
    <d v="2016-07-04T00:00:00"/>
    <d v="2016-08-17T00:00:00"/>
    <s v="NO APLICA"/>
    <s v="NO APLICA"/>
    <s v="NO APLICA"/>
    <m/>
    <m/>
    <m/>
    <m/>
    <m/>
    <m/>
    <m/>
    <m/>
    <m/>
    <m/>
    <m/>
    <m/>
    <m/>
    <s v="ü"/>
    <s v="NO APLICA"/>
    <s v="NO APLICA"/>
    <s v="NO APLICA"/>
    <m/>
    <m/>
    <m/>
    <d v="2016-10-21T00:00:00"/>
    <n v="6991.07"/>
    <m/>
    <m/>
    <m/>
    <m/>
    <m/>
    <m/>
    <m/>
    <m/>
    <m/>
    <m/>
    <m/>
    <m/>
    <m/>
    <m/>
    <m/>
    <m/>
    <m/>
    <m/>
    <m/>
    <m/>
    <m/>
    <m/>
    <m/>
    <m/>
    <n v="6991.07"/>
    <m/>
    <m/>
    <m/>
    <m/>
    <m/>
    <m/>
    <m/>
    <n v="15"/>
    <m/>
    <m/>
    <m/>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5"/>
    <s v="BIENES"/>
    <x v="1"/>
    <s v="Mejoramiento de la eficiencia y fiabilidad de la red"/>
    <x v="5"/>
    <x v="5"/>
    <x v="0"/>
    <m/>
    <x v="11"/>
    <m/>
    <x v="2"/>
    <s v="BID2-RSND-EECS-AU-BI-002"/>
    <s v="PROVISIÓN, INSTALACIÓN E INTEGRACIÓN DE MEDIDORES PARA LA REDUCCIÓN DE PÉRDIDAS NO TÉCNICAS"/>
    <m/>
    <s v="LPI"/>
    <s v="ex-ante"/>
    <s v="PUBLICADO"/>
    <m/>
    <m/>
    <m/>
    <m/>
    <m/>
    <m/>
    <m/>
    <m/>
    <m/>
    <m/>
    <n v="1151600"/>
    <n v="0"/>
    <n v="1151600"/>
    <n v="0"/>
    <n v="1151600"/>
    <n v="0.12"/>
    <n v="138192"/>
    <n v="0"/>
    <n v="1289792.0000000002"/>
    <m/>
    <m/>
    <m/>
    <m/>
    <m/>
    <m/>
    <m/>
    <m/>
    <m/>
    <m/>
    <m/>
    <m/>
    <m/>
    <m/>
    <m/>
    <m/>
    <m/>
    <m/>
    <m/>
    <m/>
    <m/>
    <m/>
    <m/>
    <m/>
    <d v="2019-06-24T00:00:00"/>
    <d v="2019-09-09T00:00:00"/>
    <m/>
    <m/>
    <m/>
    <m/>
    <m/>
    <m/>
    <m/>
    <m/>
    <m/>
    <m/>
    <m/>
    <m/>
    <m/>
    <m/>
    <m/>
    <m/>
    <m/>
    <m/>
    <m/>
    <m/>
    <m/>
    <m/>
    <m/>
    <m/>
    <m/>
    <m/>
    <m/>
    <m/>
    <m/>
    <m/>
    <m/>
    <m/>
    <m/>
    <m/>
    <m/>
    <m/>
    <m/>
    <m/>
    <m/>
    <m/>
    <m/>
    <m/>
    <m/>
    <m/>
    <m/>
    <m/>
    <m/>
    <m/>
    <m/>
    <m/>
    <m/>
    <m/>
    <m/>
    <m/>
    <m/>
    <m/>
    <m/>
    <m/>
    <m/>
    <m/>
    <m/>
    <m/>
    <m/>
    <m/>
    <m/>
    <m/>
    <m/>
    <m/>
    <m/>
    <m/>
    <m/>
    <m/>
    <m/>
    <m/>
    <m/>
    <m/>
    <m/>
    <m/>
    <m/>
    <m/>
    <m/>
    <m/>
    <m/>
    <m/>
    <m/>
    <m/>
    <m/>
    <m/>
    <m/>
    <m/>
    <m/>
    <m/>
    <m/>
    <m/>
    <m/>
    <m/>
    <m/>
    <m/>
    <m/>
    <m/>
    <m/>
    <m/>
    <m/>
    <m/>
    <m/>
    <m/>
    <m/>
    <m/>
    <m/>
    <m/>
    <m/>
    <m/>
    <m/>
    <m/>
    <m/>
    <m/>
    <m/>
    <m/>
    <m/>
    <m/>
    <m/>
    <m/>
    <m/>
    <m/>
    <m/>
    <n v="0"/>
    <n v="0"/>
    <n v="0"/>
    <n v="0"/>
    <n v="0"/>
    <n v="0"/>
    <n v="0"/>
    <n v="0"/>
    <n v="0"/>
    <x v="2"/>
    <n v="0"/>
    <n v="0"/>
    <n v="0"/>
    <x v="1"/>
    <m/>
    <s v="no"/>
    <s v="no"/>
    <s v="no"/>
    <s v="no"/>
    <s v="no"/>
    <s v="no"/>
    <x v="1"/>
    <s v="no"/>
    <s v="no"/>
    <s v="no"/>
    <m/>
    <m/>
    <m/>
    <m/>
    <m/>
    <m/>
    <m/>
    <m/>
    <s v="No Objeción del BID"/>
    <s v="Publicado"/>
    <s v="MEDIANTE CAN/CEC-1414/2018 DEL 24 DE AGOSTO DE 2018 EL BID EMITE LA NO OBJECIÓN AL DOCUMENTO DE LICITACIÓN DDL PARA EL INICIO DEL PROCESO PRECONTRACTUAL. Mediante Oficio Nro.MEER-SDCE-2018-1013-OF del 27 de agosto de 2018, EL MEER DELEGA  A CENTROSUR COMO CO EJECUTOR A CARGO DE ESTE PROCESO. Mediante Oficio Nro.MEER-SDCE-2018-1012-OF del 27 de agosto de 2018, el MEER notifica a CNEL EP que las Unidades de Negocio: Milagro, Manabí, Los Ríos, Guayas Los Ríos, Guayaquil, El Oro que el proyecto a cargo de CENTROSUR se realizará en su beneficio."/>
    <m/>
    <m/>
    <m/>
  </r>
  <r>
    <x v="5"/>
    <s v="BIENES"/>
    <x v="1"/>
    <s v="Mejoramiento de la eficiencia y fiabilidad de la red"/>
    <x v="5"/>
    <x v="5"/>
    <x v="0"/>
    <m/>
    <x v="4"/>
    <m/>
    <x v="2"/>
    <s v="BID2-RSND-EECS-AU-BI-002"/>
    <m/>
    <s v="LOTE 1: &quot;INFRAESTRUCTURA DE MEDICiÓN AVANZADA - AMI BAJO ESTÁNDAR ANSI&quot; "/>
    <s v="LPI"/>
    <s v="ex-ante"/>
    <m/>
    <m/>
    <m/>
    <m/>
    <m/>
    <m/>
    <m/>
    <m/>
    <m/>
    <m/>
    <m/>
    <m/>
    <n v="0"/>
    <n v="0"/>
    <n v="0"/>
    <n v="0"/>
    <n v="0.12"/>
    <n v="0"/>
    <n v="0"/>
    <n v="0"/>
    <m/>
    <m/>
    <m/>
    <m/>
    <m/>
    <m/>
    <m/>
    <m/>
    <m/>
    <m/>
    <m/>
    <m/>
    <m/>
    <m/>
    <m/>
    <m/>
    <m/>
    <m/>
    <m/>
    <m/>
    <m/>
    <m/>
    <m/>
    <m/>
    <d v="2019-06-24T00:00:00"/>
    <d v="2019-09-09T00:00:00"/>
    <m/>
    <m/>
    <m/>
    <d v="2019-09-09T00:00:00"/>
    <d v="2019-10-24T00:00:00"/>
    <m/>
    <d v="2019-11-08T00:00:00"/>
    <m/>
    <d v="2019-12-09T00:00:00"/>
    <d v="2020-01-08T00:00:00"/>
    <m/>
    <m/>
    <m/>
    <m/>
    <m/>
    <m/>
    <d v="2020-01-23T00:00:00"/>
    <m/>
    <m/>
    <m/>
    <m/>
    <m/>
    <d v="2019-09-09T00:00:00"/>
    <m/>
    <m/>
    <m/>
    <m/>
    <m/>
    <m/>
    <m/>
    <m/>
    <m/>
    <m/>
    <m/>
    <m/>
    <m/>
    <m/>
    <m/>
    <m/>
    <m/>
    <m/>
    <m/>
    <m/>
    <m/>
    <m/>
    <m/>
    <m/>
    <m/>
    <m/>
    <m/>
    <m/>
    <m/>
    <m/>
    <m/>
    <m/>
    <m/>
    <m/>
    <m/>
    <m/>
    <m/>
    <m/>
    <m/>
    <m/>
    <m/>
    <m/>
    <m/>
    <m/>
    <m/>
    <m/>
    <m/>
    <m/>
    <m/>
    <m/>
    <m/>
    <m/>
    <m/>
    <m/>
    <m/>
    <m/>
    <m/>
    <m/>
    <m/>
    <m/>
    <m/>
    <m/>
    <m/>
    <m/>
    <m/>
    <m/>
    <m/>
    <m/>
    <m/>
    <m/>
    <m/>
    <m/>
    <m/>
    <m/>
    <m/>
    <m/>
    <m/>
    <m/>
    <m/>
    <m/>
    <m/>
    <m/>
    <m/>
    <m/>
    <m/>
    <m/>
    <m/>
    <m/>
    <m/>
    <m/>
    <m/>
    <m/>
    <m/>
    <m/>
    <m/>
    <m/>
    <m/>
    <m/>
    <m/>
    <m/>
    <m/>
    <m/>
    <n v="0"/>
    <n v="0"/>
    <n v="0"/>
    <n v="0"/>
    <n v="0"/>
    <n v="0"/>
    <n v="0"/>
    <n v="0"/>
    <n v="0"/>
    <x v="2"/>
    <n v="0"/>
    <n v="0"/>
    <n v="0"/>
    <x v="1"/>
    <m/>
    <s v="no"/>
    <s v="no"/>
    <s v="no"/>
    <s v="no"/>
    <s v="no"/>
    <s v="no"/>
    <x v="1"/>
    <s v="no"/>
    <s v="no"/>
    <s v="no"/>
    <m/>
    <m/>
    <m/>
    <m/>
    <m/>
    <m/>
    <m/>
    <m/>
    <m/>
    <m/>
    <s v="MEDIANTE CAN/CEC-1414/2018 DEL 24 DE AGOSTO DE 2018 EL BID EMITE LA NO OBJECIÓN AL DOCUMENTO DE LICITACIÓN DDL PARA EL INICIO DEL PROCESO PRECONTRACTUAL. Mediante Oficio Nro.MEER-SDCE-2018-1013-OF del 27 de agosto de 2018, EL MEER DELEGA  A CENTROSUR COMO CO EJECUTOR A CARGO DE ESTE PROCESO. Mediante Oficio Nro.MEER-SDCE-2018-1012-OF del 27 de agosto de 2018, el MEER notifica a CNEL EP que las Unidades de Negocio: Milagro, Manabí, Los Ríos, Guayas Los Ríos, Guayaquil, El Oro que el proyecto a cargo de CENTROSUR se realizará en su beneficio."/>
    <m/>
    <m/>
    <m/>
  </r>
  <r>
    <x v="5"/>
    <s v="BIENES"/>
    <x v="1"/>
    <s v="Mejoramiento de la eficiencia y fiabilidad de la red"/>
    <x v="5"/>
    <x v="5"/>
    <x v="0"/>
    <m/>
    <x v="4"/>
    <m/>
    <x v="2"/>
    <s v="BID2-RSND-EECS-AU-BI-002"/>
    <m/>
    <s v="LOTE 2: &quot;INFRAESTRUCTURA DE MEDICiÓN AVANZADA - AMI BAJO ESTÁNDAR lEC&quot;."/>
    <s v="LPI"/>
    <s v="ex-ante"/>
    <m/>
    <m/>
    <m/>
    <m/>
    <m/>
    <m/>
    <m/>
    <m/>
    <m/>
    <m/>
    <m/>
    <m/>
    <n v="0"/>
    <n v="0"/>
    <n v="0"/>
    <n v="0"/>
    <n v="0.12"/>
    <n v="0"/>
    <n v="0"/>
    <n v="0"/>
    <m/>
    <m/>
    <m/>
    <m/>
    <m/>
    <m/>
    <m/>
    <m/>
    <m/>
    <m/>
    <m/>
    <m/>
    <m/>
    <m/>
    <m/>
    <m/>
    <m/>
    <m/>
    <m/>
    <m/>
    <m/>
    <m/>
    <m/>
    <m/>
    <d v="2019-06-24T00:00:00"/>
    <d v="2019-09-09T00:00:00"/>
    <m/>
    <m/>
    <m/>
    <d v="2019-09-09T00:00:00"/>
    <d v="2019-10-24T00:00:00"/>
    <m/>
    <d v="2019-11-08T00:00:00"/>
    <m/>
    <d v="2019-12-09T00:00:00"/>
    <d v="2020-01-08T00:00:00"/>
    <m/>
    <m/>
    <m/>
    <m/>
    <m/>
    <m/>
    <d v="2020-01-23T00:00:00"/>
    <m/>
    <m/>
    <m/>
    <m/>
    <m/>
    <d v="2019-09-09T00:00:00"/>
    <m/>
    <m/>
    <m/>
    <m/>
    <m/>
    <m/>
    <m/>
    <m/>
    <m/>
    <m/>
    <m/>
    <m/>
    <m/>
    <m/>
    <m/>
    <m/>
    <m/>
    <m/>
    <m/>
    <m/>
    <m/>
    <m/>
    <m/>
    <m/>
    <m/>
    <m/>
    <m/>
    <m/>
    <m/>
    <m/>
    <m/>
    <m/>
    <m/>
    <m/>
    <m/>
    <m/>
    <m/>
    <m/>
    <m/>
    <m/>
    <m/>
    <m/>
    <m/>
    <m/>
    <m/>
    <m/>
    <m/>
    <m/>
    <m/>
    <m/>
    <m/>
    <m/>
    <m/>
    <m/>
    <m/>
    <m/>
    <m/>
    <m/>
    <m/>
    <m/>
    <m/>
    <m/>
    <m/>
    <m/>
    <m/>
    <m/>
    <m/>
    <m/>
    <m/>
    <m/>
    <m/>
    <m/>
    <m/>
    <m/>
    <m/>
    <m/>
    <m/>
    <m/>
    <m/>
    <m/>
    <m/>
    <m/>
    <m/>
    <m/>
    <m/>
    <m/>
    <m/>
    <m/>
    <m/>
    <m/>
    <m/>
    <m/>
    <m/>
    <m/>
    <m/>
    <m/>
    <m/>
    <m/>
    <m/>
    <m/>
    <m/>
    <m/>
    <n v="0"/>
    <n v="0"/>
    <n v="0"/>
    <n v="0"/>
    <n v="0"/>
    <n v="0"/>
    <n v="0"/>
    <n v="0"/>
    <n v="0"/>
    <x v="2"/>
    <n v="0"/>
    <n v="0"/>
    <n v="0"/>
    <x v="1"/>
    <m/>
    <s v="no"/>
    <s v="no"/>
    <s v="no"/>
    <s v="no"/>
    <s v="no"/>
    <s v="no"/>
    <x v="1"/>
    <s v="no"/>
    <s v="no"/>
    <s v="no"/>
    <m/>
    <m/>
    <m/>
    <m/>
    <m/>
    <m/>
    <m/>
    <m/>
    <m/>
    <m/>
    <s v="MEDIANTE CAN/CEC-1414/2018 DEL 24 DE AGOSTO DE 2018 EL BID EMITE LA NO OBJECIÓN AL DOCUMENTO DE LICITACIÓN DDL PARA EL INICIO DEL PROCESO PRECONTRACTUAL. Mediante Oficio Nro.MEER-SDCE-2018-1013-OF del 27 de agosto de 2018, EL MEER DELEGA  A CENTROSUR COMO CO EJECUTOR A CARGO DE ESTE PROCESO. Mediante Oficio Nro.MEER-SDCE-2018-1012-OF del 27 de agosto de 2018, el MEER notifica a CNEL EP que las Unidades de Negocio: Milagro, Manabí, Los Ríos, Guayas Los Ríos, Guayaquil, El Oro que el proyecto a cargo de CENTROSUR se realizará en su beneficio."/>
    <m/>
    <m/>
    <m/>
  </r>
  <r>
    <x v="20"/>
    <s v="BIENES"/>
    <x v="1"/>
    <s v="Mejoramiento de la eficiencia y fiabilidad de la red"/>
    <x v="5"/>
    <x v="5"/>
    <x v="0"/>
    <m/>
    <x v="4"/>
    <m/>
    <x v="2"/>
    <s v="BID2-RSND-EECS-AU-BI-002"/>
    <m/>
    <m/>
    <s v="LPI"/>
    <s v="ex-ante"/>
    <m/>
    <m/>
    <m/>
    <m/>
    <m/>
    <m/>
    <m/>
    <m/>
    <m/>
    <m/>
    <m/>
    <n v="8073900"/>
    <n v="0"/>
    <n v="8073900"/>
    <n v="0"/>
    <n v="8073900"/>
    <n v="0.12"/>
    <n v="968868"/>
    <n v="0"/>
    <n v="9042768"/>
    <m/>
    <m/>
    <m/>
    <m/>
    <m/>
    <m/>
    <m/>
    <m/>
    <m/>
    <m/>
    <m/>
    <m/>
    <m/>
    <m/>
    <m/>
    <m/>
    <m/>
    <m/>
    <m/>
    <m/>
    <m/>
    <m/>
    <m/>
    <m/>
    <d v="2019-06-24T00:00:00"/>
    <d v="2019-09-09T00:00:00"/>
    <m/>
    <m/>
    <m/>
    <m/>
    <m/>
    <m/>
    <m/>
    <m/>
    <m/>
    <m/>
    <m/>
    <m/>
    <m/>
    <m/>
    <m/>
    <m/>
    <m/>
    <m/>
    <m/>
    <m/>
    <m/>
    <m/>
    <m/>
    <m/>
    <m/>
    <m/>
    <m/>
    <m/>
    <m/>
    <m/>
    <m/>
    <m/>
    <m/>
    <m/>
    <m/>
    <m/>
    <m/>
    <m/>
    <m/>
    <m/>
    <m/>
    <m/>
    <m/>
    <m/>
    <m/>
    <m/>
    <m/>
    <m/>
    <m/>
    <m/>
    <m/>
    <m/>
    <m/>
    <m/>
    <m/>
    <m/>
    <m/>
    <m/>
    <m/>
    <m/>
    <m/>
    <m/>
    <m/>
    <m/>
    <m/>
    <m/>
    <m/>
    <m/>
    <m/>
    <m/>
    <m/>
    <m/>
    <m/>
    <m/>
    <m/>
    <m/>
    <m/>
    <m/>
    <m/>
    <m/>
    <m/>
    <m/>
    <m/>
    <m/>
    <m/>
    <m/>
    <m/>
    <m/>
    <m/>
    <m/>
    <m/>
    <m/>
    <m/>
    <m/>
    <m/>
    <m/>
    <m/>
    <m/>
    <m/>
    <m/>
    <m/>
    <m/>
    <m/>
    <m/>
    <m/>
    <m/>
    <m/>
    <m/>
    <m/>
    <m/>
    <m/>
    <m/>
    <m/>
    <m/>
    <m/>
    <m/>
    <m/>
    <m/>
    <m/>
    <m/>
    <m/>
    <m/>
    <m/>
    <m/>
    <m/>
    <n v="0"/>
    <n v="0"/>
    <n v="0"/>
    <n v="0"/>
    <n v="0"/>
    <n v="0"/>
    <n v="0"/>
    <n v="0"/>
    <n v="0"/>
    <x v="2"/>
    <n v="0"/>
    <n v="0"/>
    <n v="0"/>
    <x v="1"/>
    <m/>
    <s v="no"/>
    <s v="no"/>
    <s v="no"/>
    <s v="no"/>
    <s v="no"/>
    <s v="no"/>
    <x v="1"/>
    <s v="no"/>
    <s v="no"/>
    <s v="no"/>
    <m/>
    <m/>
    <m/>
    <m/>
    <m/>
    <m/>
    <m/>
    <m/>
    <m/>
    <m/>
    <s v="MEDIANTE CAN/CEC-1414/2018 DEL 24 DE AGOSTO DE 2018 EL BID EMITE LA NO OBJECIÓN AL DOCUMENTO DE LICITACIÓN DDL PARA EL INICIO DEL PROCESO PRECONTRACTUAL. Mediante Oficio Nro.MEER-SDCE-2018-1013-OF del 27 de agosto de 2018, EL MEER DELEGA  A CENTROSUR COMO CO EJECUTOR A CARGO DE ESTE PROCESO. Mediante Oficio Nro.MEER-SDCE-2018-1012-OF del 27 de agosto de 2018, el MEER notifica a CNEL EP que las Unidades de Negocio: Milagro, Manabí, Los Ríos, Guayas Los Ríos, Guayaquil, El Oro que el proyecto a cargo de CENTROSUR se realizará en su beneficio."/>
    <m/>
    <m/>
    <m/>
  </r>
  <r>
    <x v="5"/>
    <s v="BIENES"/>
    <x v="1"/>
    <s v="Mejoramiento de la eficiencia y fiabilidad de la red"/>
    <x v="1"/>
    <x v="1"/>
    <x v="0"/>
    <s v="AZUAY"/>
    <x v="12"/>
    <n v="5"/>
    <x v="0"/>
    <s v="BID2-RSND-EECS-AU-BI-003"/>
    <s v="ADQUISICION E INSTALACIÓN DE EQUIPOS PARA EL REFORZAMIENTO DE SISTEMAS DE AUTOMATIZACIÓN DE SUBESTACIONES"/>
    <m/>
    <s v="CD"/>
    <s v="ex-post"/>
    <s v="CONTRATADO"/>
    <m/>
    <m/>
    <m/>
    <m/>
    <m/>
    <m/>
    <m/>
    <m/>
    <m/>
    <m/>
    <n v="272563.8"/>
    <n v="0"/>
    <n v="250000"/>
    <n v="0"/>
    <n v="250000"/>
    <n v="0.12"/>
    <n v="30000"/>
    <n v="0"/>
    <n v="280000"/>
    <m/>
    <m/>
    <m/>
    <m/>
    <m/>
    <m/>
    <n v="384505.15"/>
    <m/>
    <m/>
    <m/>
    <m/>
    <m/>
    <m/>
    <m/>
    <m/>
    <m/>
    <m/>
    <m/>
    <m/>
    <m/>
    <m/>
    <m/>
    <m/>
    <m/>
    <s v="NO APLICA"/>
    <s v="NO APLICA"/>
    <s v="NO APLICA"/>
    <s v="NO APLICA"/>
    <s v="NO APLICA"/>
    <m/>
    <m/>
    <m/>
    <m/>
    <m/>
    <m/>
    <m/>
    <s v="NO APLICA"/>
    <s v="NO APLICA"/>
    <s v="NO APLICA"/>
    <m/>
    <m/>
    <m/>
    <m/>
    <s v="NO APLICA"/>
    <s v="NO APLICA"/>
    <s v="NO APLICA"/>
    <m/>
    <m/>
    <m/>
    <m/>
    <m/>
    <m/>
    <m/>
    <m/>
    <m/>
    <m/>
    <m/>
    <m/>
    <m/>
    <m/>
    <s v="NO APLICA"/>
    <s v="NO APLICA"/>
    <s v="NO APLICA"/>
    <m/>
    <m/>
    <m/>
    <m/>
    <m/>
    <m/>
    <m/>
    <m/>
    <m/>
    <m/>
    <m/>
    <m/>
    <m/>
    <m/>
    <m/>
    <m/>
    <m/>
    <m/>
    <m/>
    <m/>
    <m/>
    <m/>
    <m/>
    <m/>
    <m/>
    <m/>
    <m/>
    <m/>
    <m/>
    <m/>
    <m/>
    <m/>
    <m/>
    <m/>
    <m/>
    <m/>
    <m/>
    <n v="180"/>
    <m/>
    <m/>
    <m/>
    <m/>
    <m/>
    <m/>
    <m/>
    <m/>
    <m/>
    <m/>
    <m/>
    <m/>
    <m/>
    <m/>
    <m/>
    <m/>
    <m/>
    <m/>
    <m/>
    <m/>
    <m/>
    <m/>
    <m/>
    <m/>
    <m/>
    <m/>
    <m/>
    <m/>
    <m/>
    <m/>
    <m/>
    <m/>
    <m/>
    <m/>
    <m/>
    <m/>
    <m/>
    <m/>
    <m/>
    <m/>
    <m/>
    <m/>
    <m/>
    <m/>
    <m/>
    <n v="0"/>
    <n v="0"/>
    <n v="0"/>
    <n v="0"/>
    <n v="0"/>
    <n v="0"/>
    <n v="0"/>
    <n v="0"/>
    <n v="0"/>
    <n v="0"/>
    <n v="0"/>
    <n v="0"/>
    <n v="0"/>
    <n v="1"/>
    <x v="0"/>
    <n v="1"/>
    <n v="1"/>
    <n v="1"/>
    <x v="0"/>
    <s v="no"/>
    <s v="no"/>
    <s v="no"/>
    <s v="no"/>
    <s v="no"/>
    <s v="no"/>
    <s v="no"/>
    <x v="1"/>
    <s v="no"/>
    <s v="no"/>
    <s v="no"/>
    <s v="En trámite de resolución de observaciones en Centrosur, previo a no objeción del BID"/>
    <m/>
    <m/>
    <m/>
    <m/>
    <s v="Se entrega anticipo 50% por 192.252,57 el 18 de diciembre de 2018"/>
    <s v="Posible complementario"/>
    <m/>
    <m/>
    <m/>
    <s v="SOLICITUD DE NO OBJECIÓN AL BID POR PARTE DEL MERNNR Oficio Nro.MEER-SDCE-2018-0866-OF del 26 de julio de 2018, SE REMITE ALCANCE MEDIANTE  Oficio Nro.MEER-SDCE-2018-1035-OF del 30 de agosto de 2018. SE REMITE ALCANCE MEDIANTE  Oficio Nro.MEER-SDCE-2018-0080-OF del 21 de septiembre de 2018. MEDIANTE CAN/CEC/1637/2018 DEL 01 DE OCTUBRE DE 2018, EL BID EMITE LA NO OBJECIÓN PARA LA CONTRATACIÓN DIRECTA"/>
    <m/>
    <m/>
    <m/>
  </r>
  <r>
    <x v="5"/>
    <s v="FIRMAS CONSULTORAS"/>
    <x v="1"/>
    <s v="Mejoramiento de la eficiencia y fiabilidad de la red"/>
    <x v="5"/>
    <x v="5"/>
    <x v="0"/>
    <s v="NACIONAL"/>
    <x v="13"/>
    <m/>
    <x v="0"/>
    <s v="BID2-RSND-EECS-AU-FC-002"/>
    <s v="UNIDAD DE GESTIÓN PARA LA REDUCCIÓN DE PÉRDIDAS"/>
    <m/>
    <s v="SBC"/>
    <s v="ex-ante"/>
    <s v="PENDIENTE CON PLIEGOS Y CERTIFICACIÓN"/>
    <m/>
    <m/>
    <m/>
    <m/>
    <m/>
    <m/>
    <m/>
    <m/>
    <m/>
    <m/>
    <n v="1113743.58"/>
    <n v="0"/>
    <n v="1113743.58"/>
    <n v="0"/>
    <n v="1113743.58"/>
    <n v="0.12"/>
    <n v="133649.22959999999"/>
    <n v="0"/>
    <n v="1247392.8096000003"/>
    <m/>
    <m/>
    <m/>
    <m/>
    <m/>
    <m/>
    <m/>
    <m/>
    <m/>
    <m/>
    <m/>
    <m/>
    <m/>
    <m/>
    <m/>
    <m/>
    <m/>
    <m/>
    <m/>
    <m/>
    <m/>
    <m/>
    <m/>
    <m/>
    <d v="2019-06-24T00:00:00"/>
    <d v="2019-07-01T00:00:00"/>
    <m/>
    <m/>
    <m/>
    <d v="2019-07-01T00:00:00"/>
    <d v="2019-08-15T00:00:00"/>
    <m/>
    <d v="2019-08-30T00:00:00"/>
    <m/>
    <d v="2019-09-30T00:00:00"/>
    <d v="2019-10-30T00:00:00"/>
    <m/>
    <m/>
    <m/>
    <m/>
    <m/>
    <m/>
    <d v="2019-11-14T00:00:00"/>
    <m/>
    <m/>
    <m/>
    <m/>
    <m/>
    <d v="2019-11-13T00:00:00"/>
    <m/>
    <m/>
    <m/>
    <m/>
    <m/>
    <m/>
    <m/>
    <m/>
    <m/>
    <m/>
    <m/>
    <m/>
    <m/>
    <m/>
    <d v="2019-12-01T00:00:00"/>
    <m/>
    <m/>
    <m/>
    <m/>
    <m/>
    <m/>
    <m/>
    <m/>
    <m/>
    <m/>
    <m/>
    <m/>
    <m/>
    <m/>
    <m/>
    <m/>
    <m/>
    <m/>
    <m/>
    <m/>
    <m/>
    <m/>
    <m/>
    <m/>
    <m/>
    <m/>
    <m/>
    <m/>
    <m/>
    <m/>
    <m/>
    <m/>
    <m/>
    <m/>
    <m/>
    <m/>
    <m/>
    <m/>
    <m/>
    <m/>
    <m/>
    <m/>
    <m/>
    <m/>
    <m/>
    <m/>
    <m/>
    <m/>
    <m/>
    <m/>
    <m/>
    <m/>
    <m/>
    <m/>
    <m/>
    <m/>
    <m/>
    <m/>
    <m/>
    <m/>
    <m/>
    <m/>
    <m/>
    <m/>
    <m/>
    <m/>
    <m/>
    <m/>
    <m/>
    <m/>
    <m/>
    <m/>
    <m/>
    <m/>
    <m/>
    <m/>
    <m/>
    <m/>
    <m/>
    <m/>
    <m/>
    <m/>
    <m/>
    <m/>
    <m/>
    <m/>
    <m/>
    <n v="0"/>
    <n v="0"/>
    <n v="0"/>
    <n v="0"/>
    <n v="0"/>
    <n v="0"/>
    <n v="0"/>
    <n v="0"/>
    <n v="0"/>
    <x v="2"/>
    <n v="0"/>
    <n v="0"/>
    <n v="0"/>
    <x v="1"/>
    <m/>
    <s v="no"/>
    <s v="no"/>
    <s v="no"/>
    <s v="no"/>
    <s v="no"/>
    <s v="no"/>
    <x v="1"/>
    <s v="no"/>
    <s v="no"/>
    <s v="no"/>
    <m/>
    <m/>
    <m/>
    <m/>
    <m/>
    <m/>
    <m/>
    <m/>
    <m/>
    <m/>
    <m/>
    <m/>
    <m/>
    <m/>
  </r>
  <r>
    <x v="8"/>
    <s v="FIRMAS CONSULTORAS"/>
    <x v="1"/>
    <s v="Mejoramiento de la eficiencia y fiabilidad de la red"/>
    <x v="5"/>
    <x v="5"/>
    <x v="0"/>
    <m/>
    <x v="14"/>
    <n v="22"/>
    <x v="0"/>
    <s v="BID2-RSND-EEQ-AU-FC-003"/>
    <s v="CONFIGURACIÓN Y PARAMETRIZACIÓN DEL EDM DE SAP PARA INTERCAMBIAR INFORMACIÓN CON LOS MEDIDORES ESPECIALES."/>
    <m/>
    <s v="SBC"/>
    <s v="ex-ante"/>
    <s v="PENDIENTE CON PLIEGOS Y CERTIFICACIÓN"/>
    <m/>
    <m/>
    <m/>
    <m/>
    <m/>
    <m/>
    <m/>
    <m/>
    <m/>
    <m/>
    <n v="1800000"/>
    <n v="0"/>
    <n v="1800000"/>
    <n v="0"/>
    <n v="1800000"/>
    <n v="0.12"/>
    <n v="216000"/>
    <n v="0"/>
    <n v="2016000.0000000002"/>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
    <n v="0"/>
    <n v="0"/>
    <n v="0"/>
    <n v="0"/>
    <n v="0"/>
    <n v="0"/>
    <n v="0"/>
    <n v="0"/>
    <x v="2"/>
    <n v="0"/>
    <n v="0"/>
    <n v="0"/>
    <x v="1"/>
    <m/>
    <s v="no"/>
    <s v="no"/>
    <s v="no"/>
    <s v="no"/>
    <s v="no"/>
    <s v="no"/>
    <x v="1"/>
    <s v="no"/>
    <s v="no"/>
    <s v="no"/>
    <m/>
    <m/>
    <m/>
    <m/>
    <m/>
    <m/>
    <m/>
    <m/>
    <m/>
    <m/>
    <m/>
    <m/>
    <m/>
    <m/>
  </r>
  <r>
    <x v="19"/>
    <s v="FIRMAS CONSULTORAS"/>
    <x v="1"/>
    <s v="Mejoramiento de la eficiencia y fiabilidad de la red"/>
    <x v="5"/>
    <x v="5"/>
    <x v="0"/>
    <s v="NACIONAL"/>
    <x v="15"/>
    <s v="(CORPORATIVO 7)"/>
    <x v="3"/>
    <s v="BID2-RSND-EECS-AU-FC-003"/>
    <s v="ACOMPAÑAMIENTO PARA EL PROCESO PRECONTRACTUAL Y CONTRACTUAL PARA LA IMPLANTACIÓN DEL AMI"/>
    <m/>
    <s v="CD"/>
    <s v="ex-ante"/>
    <s v="PENDIENTE  PARA NO OBJECIÓN DEL BID "/>
    <m/>
    <m/>
    <m/>
    <m/>
    <m/>
    <m/>
    <m/>
    <m/>
    <m/>
    <m/>
    <n v="27408.89"/>
    <n v="0"/>
    <n v="27408.89"/>
    <n v="0"/>
    <n v="27408.89"/>
    <n v="0.12"/>
    <n v="3289.0667999999996"/>
    <n v="0"/>
    <n v="30697.956800000004"/>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
    <n v="0"/>
    <n v="0"/>
    <n v="0"/>
    <n v="0"/>
    <n v="0"/>
    <n v="0"/>
    <n v="0"/>
    <n v="0"/>
    <x v="2"/>
    <n v="0"/>
    <n v="0"/>
    <n v="0"/>
    <x v="1"/>
    <m/>
    <s v="no"/>
    <s v="no"/>
    <s v="no"/>
    <s v="no"/>
    <s v="no"/>
    <s v="no"/>
    <x v="1"/>
    <s v="no"/>
    <s v="no"/>
    <s v="no"/>
    <m/>
    <m/>
    <m/>
    <m/>
    <m/>
    <m/>
    <m/>
    <m/>
    <m/>
    <m/>
    <m/>
    <m/>
    <m/>
    <m/>
  </r>
  <r>
    <x v="3"/>
    <s v="FIRMAS CONSULTORAS"/>
    <x v="1"/>
    <s v="Mejoramiento de la eficiencia y fiabilidad de la red"/>
    <x v="5"/>
    <x v="5"/>
    <x v="0"/>
    <s v="NACIONAL"/>
    <x v="15"/>
    <s v="(CORPORATIVO 7)"/>
    <x v="3"/>
    <s v="BID2-RSND-EECS-AU-FC-003"/>
    <s v="ACOMPAÑAMIENTO PARA EL PROCESO PRECONTRACTUAL Y CONTRACTUAL PARA LA IMPLANTACIÓN DEL AMI"/>
    <m/>
    <s v="CD"/>
    <s v="ex-ante"/>
    <s v="PENDIENTE  PARA NO OBJECIÓN DEL BID "/>
    <m/>
    <m/>
    <m/>
    <m/>
    <m/>
    <m/>
    <m/>
    <m/>
    <m/>
    <m/>
    <n v="11100"/>
    <n v="0"/>
    <n v="11100"/>
    <n v="0"/>
    <n v="11100"/>
    <n v="0.12"/>
    <n v="1332"/>
    <n v="0"/>
    <n v="12432.000000000002"/>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
    <n v="0"/>
    <n v="0"/>
    <n v="0"/>
    <n v="0"/>
    <n v="0"/>
    <n v="0"/>
    <n v="0"/>
    <n v="0"/>
    <x v="2"/>
    <n v="0"/>
    <n v="0"/>
    <n v="0"/>
    <x v="1"/>
    <m/>
    <s v="no"/>
    <s v="no"/>
    <s v="no"/>
    <s v="no"/>
    <s v="no"/>
    <s v="no"/>
    <x v="1"/>
    <s v="no"/>
    <s v="no"/>
    <s v="no"/>
    <m/>
    <m/>
    <m/>
    <m/>
    <m/>
    <m/>
    <m/>
    <m/>
    <m/>
    <m/>
    <m/>
    <m/>
    <m/>
    <m/>
  </r>
  <r>
    <x v="5"/>
    <s v="FIRMAS CONSULTORAS"/>
    <x v="1"/>
    <s v="Mejoramiento de la eficiencia y fiabilidad de la red"/>
    <x v="5"/>
    <x v="5"/>
    <x v="0"/>
    <s v="NACIONAL"/>
    <x v="15"/>
    <s v="(CORPORATIVO 7)"/>
    <x v="3"/>
    <s v="BID2-RSND-EECS-AU-FC-003"/>
    <s v="ACOMPAÑAMIENTO PARA EL PROCESO PRECONTRACTUAL Y CONTRACTUAL PARA LA IMPLANTACIÓN DEL AMI"/>
    <m/>
    <s v="CD"/>
    <s v="ex-ante"/>
    <s v="PENDIENTE  PARA NO OBJECIÓN DEL BID "/>
    <m/>
    <m/>
    <m/>
    <m/>
    <m/>
    <m/>
    <m/>
    <m/>
    <m/>
    <m/>
    <n v="50000"/>
    <m/>
    <n v="50000"/>
    <m/>
    <n v="50000"/>
    <n v="0.12"/>
    <n v="6000"/>
    <m/>
    <n v="56000.000000000007"/>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
    <n v="0"/>
    <n v="0"/>
    <n v="0"/>
    <n v="0"/>
    <n v="0"/>
    <n v="0"/>
    <n v="0"/>
    <n v="0"/>
    <x v="2"/>
    <n v="0"/>
    <n v="0"/>
    <n v="0"/>
    <x v="1"/>
    <m/>
    <s v="no"/>
    <s v="no"/>
    <s v="no"/>
    <s v="no"/>
    <s v="no"/>
    <s v="no"/>
    <x v="1"/>
    <s v="no"/>
    <s v="no"/>
    <s v="no"/>
    <m/>
    <m/>
    <m/>
    <m/>
    <m/>
    <m/>
    <m/>
    <m/>
    <m/>
    <m/>
    <m/>
    <m/>
    <m/>
    <m/>
  </r>
  <r>
    <x v="4"/>
    <s v="FIRMAS CONSULTORAS"/>
    <x v="1"/>
    <s v="Mejoramiento de la eficiencia y fiabilidad de la red"/>
    <x v="5"/>
    <x v="5"/>
    <x v="0"/>
    <s v="NACIONAL"/>
    <x v="15"/>
    <s v="(CORPORATIVO 7)"/>
    <x v="3"/>
    <s v="BID2-RSND-EECS-AU-FC-003"/>
    <s v="ACOMPAÑAMIENTO PARA EL PROCESO PRECONTRACTUAL Y CONTRACTUAL PARA LA IMPLANTACIÓN DEL AMI"/>
    <m/>
    <s v="CD"/>
    <s v="ex-ante"/>
    <s v="PENDIENTE  PARA NO OBJECIÓN DEL BID "/>
    <m/>
    <m/>
    <m/>
    <m/>
    <m/>
    <m/>
    <m/>
    <m/>
    <m/>
    <m/>
    <n v="41200"/>
    <n v="0"/>
    <n v="41200"/>
    <n v="0"/>
    <n v="41200"/>
    <n v="0.12"/>
    <n v="4944"/>
    <n v="0"/>
    <n v="46144.000000000007"/>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
    <n v="0"/>
    <n v="0"/>
    <n v="0"/>
    <n v="0"/>
    <n v="0"/>
    <n v="0"/>
    <n v="0"/>
    <n v="0"/>
    <x v="2"/>
    <n v="0"/>
    <n v="0"/>
    <n v="0"/>
    <x v="1"/>
    <m/>
    <s v="no"/>
    <s v="no"/>
    <s v="no"/>
    <s v="no"/>
    <s v="no"/>
    <s v="no"/>
    <x v="1"/>
    <s v="no"/>
    <s v="no"/>
    <s v="no"/>
    <m/>
    <m/>
    <m/>
    <m/>
    <m/>
    <m/>
    <m/>
    <m/>
    <m/>
    <m/>
    <m/>
    <m/>
    <m/>
    <m/>
  </r>
  <r>
    <x v="6"/>
    <s v="FIRMAS CONSULTORAS"/>
    <x v="1"/>
    <s v="Mejoramiento de la eficiencia y fiabilidad de la red"/>
    <x v="5"/>
    <x v="5"/>
    <x v="0"/>
    <s v="NACIONAL"/>
    <x v="15"/>
    <s v="(CORPORATIVO 7)"/>
    <x v="3"/>
    <s v="BID2-RSND-EECS-AU-FC-003"/>
    <s v="ACOMPAÑAMIENTO PARA EL PROCESO PRECONTRACTUAL Y CONTRACTUAL PARA LA IMPLANTACIÓN DEL AMI"/>
    <m/>
    <s v="CD"/>
    <s v="ex-ante"/>
    <s v="PENDIENTE  PARA NO OBJECIÓN DEL BID "/>
    <m/>
    <m/>
    <m/>
    <m/>
    <m/>
    <m/>
    <m/>
    <m/>
    <m/>
    <m/>
    <n v="24924"/>
    <n v="0"/>
    <n v="24924"/>
    <n v="0"/>
    <n v="24924"/>
    <n v="0.12"/>
    <n v="2990.88"/>
    <n v="0"/>
    <n v="27914.880000000001"/>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
    <n v="0"/>
    <n v="0"/>
    <n v="0"/>
    <n v="0"/>
    <n v="0"/>
    <n v="0"/>
    <n v="0"/>
    <n v="0"/>
    <x v="2"/>
    <n v="0"/>
    <n v="0"/>
    <n v="0"/>
    <x v="1"/>
    <m/>
    <s v="no"/>
    <s v="no"/>
    <s v="no"/>
    <s v="no"/>
    <s v="no"/>
    <s v="no"/>
    <x v="1"/>
    <s v="no"/>
    <s v="no"/>
    <s v="no"/>
    <m/>
    <m/>
    <m/>
    <m/>
    <m/>
    <m/>
    <m/>
    <m/>
    <m/>
    <m/>
    <m/>
    <m/>
    <m/>
    <m/>
  </r>
  <r>
    <x v="7"/>
    <s v="FIRMAS CONSULTORAS"/>
    <x v="1"/>
    <s v="Mejoramiento de la eficiencia y fiabilidad de la red"/>
    <x v="5"/>
    <x v="5"/>
    <x v="0"/>
    <s v="NACIONAL"/>
    <x v="15"/>
    <m/>
    <x v="3"/>
    <s v="BID2-RSND-EECS-AU-FC-003"/>
    <s v="ACOMPAÑAMIENTO PARA EL PROCESO PRECONTRACTUAL Y CONTRACTUAL PARA LA IMPLANTACIÓN DEL AMI"/>
    <m/>
    <s v="CD"/>
    <s v="ex-ante"/>
    <s v="PENDIENTE  PARA NO OBJECIÓN DEL BID "/>
    <m/>
    <m/>
    <m/>
    <m/>
    <m/>
    <m/>
    <m/>
    <m/>
    <m/>
    <m/>
    <n v="230380.41"/>
    <n v="0"/>
    <n v="230380.41"/>
    <n v="0"/>
    <n v="230380.41"/>
    <n v="0.12"/>
    <n v="27645.6492"/>
    <n v="0"/>
    <n v="258026.05920000002"/>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
    <n v="0"/>
    <n v="0"/>
    <n v="0"/>
    <n v="0"/>
    <n v="0"/>
    <n v="0"/>
    <n v="0"/>
    <n v="0"/>
    <x v="2"/>
    <n v="0"/>
    <n v="0"/>
    <n v="0"/>
    <x v="1"/>
    <m/>
    <s v="no"/>
    <s v="no"/>
    <s v="no"/>
    <s v="no"/>
    <s v="no"/>
    <s v="no"/>
    <x v="1"/>
    <s v="no"/>
    <s v="no"/>
    <s v="no"/>
    <m/>
    <m/>
    <m/>
    <m/>
    <m/>
    <m/>
    <m/>
    <m/>
    <m/>
    <m/>
    <m/>
    <m/>
    <m/>
    <m/>
  </r>
  <r>
    <x v="8"/>
    <s v="FIRMAS CONSULTORAS"/>
    <x v="1"/>
    <s v="Mejoramiento de la eficiencia y fiabilidad de la red"/>
    <x v="5"/>
    <x v="5"/>
    <x v="0"/>
    <s v="NACIONAL"/>
    <x v="15"/>
    <m/>
    <x v="3"/>
    <s v="BID2-RSND-EECS-AU-FC-003"/>
    <s v="ACOMPAÑAMIENTO PARA EL PROCESO PRECONTRACTUAL Y CONTRACTUAL PARA LA IMPLANTACIÓN DEL AMI"/>
    <m/>
    <s v="CD"/>
    <s v="ex-ante"/>
    <s v="PENDIENTE  PARA NO OBJECIÓN DEL BID "/>
    <m/>
    <m/>
    <m/>
    <m/>
    <m/>
    <m/>
    <m/>
    <m/>
    <m/>
    <m/>
    <n v="60000"/>
    <n v="0"/>
    <n v="60000"/>
    <n v="0"/>
    <n v="60000"/>
    <n v="0.12"/>
    <n v="7200"/>
    <n v="0"/>
    <n v="6720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
    <n v="0"/>
    <n v="0"/>
    <n v="0"/>
    <n v="0"/>
    <n v="0"/>
    <n v="0"/>
    <n v="0"/>
    <n v="0"/>
    <x v="2"/>
    <n v="0"/>
    <n v="0"/>
    <n v="0"/>
    <x v="1"/>
    <m/>
    <s v="no"/>
    <s v="no"/>
    <s v="no"/>
    <s v="no"/>
    <s v="no"/>
    <s v="no"/>
    <x v="1"/>
    <s v="no"/>
    <s v="no"/>
    <s v="no"/>
    <m/>
    <m/>
    <m/>
    <m/>
    <m/>
    <m/>
    <m/>
    <m/>
    <m/>
    <m/>
    <m/>
    <m/>
    <m/>
    <m/>
  </r>
  <r>
    <x v="9"/>
    <s v="FIRMAS CONSULTORAS"/>
    <x v="1"/>
    <s v="Mejoramiento de la eficiencia y fiabilidad de la red"/>
    <x v="5"/>
    <x v="5"/>
    <x v="0"/>
    <s v="NACIONAL"/>
    <x v="15"/>
    <m/>
    <x v="3"/>
    <s v="BID2-RSND-EECS-AU-FC-003"/>
    <s v="ACOMPAÑAMIENTO PARA EL PROCESO PRECONTRACTUAL Y CONTRACTUAL PARA LA IMPLANTACIÓN DEL AMI"/>
    <m/>
    <s v="CD"/>
    <s v="ex-ante"/>
    <s v="PENDIENTE  PARA NO OBJECIÓN DEL BID "/>
    <m/>
    <m/>
    <m/>
    <m/>
    <m/>
    <m/>
    <m/>
    <m/>
    <m/>
    <m/>
    <n v="205680.35"/>
    <n v="0"/>
    <n v="205680.35"/>
    <n v="0"/>
    <n v="205680.35"/>
    <n v="0.12"/>
    <n v="24681.642"/>
    <n v="0"/>
    <n v="230361.99200000003"/>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
    <n v="0"/>
    <n v="0"/>
    <n v="0"/>
    <n v="0"/>
    <n v="0"/>
    <n v="0"/>
    <n v="0"/>
    <n v="0"/>
    <x v="2"/>
    <n v="0"/>
    <n v="0"/>
    <n v="0"/>
    <x v="1"/>
    <m/>
    <s v="no"/>
    <s v="no"/>
    <s v="no"/>
    <s v="no"/>
    <s v="no"/>
    <s v="no"/>
    <x v="1"/>
    <s v="no"/>
    <s v="no"/>
    <s v="no"/>
    <m/>
    <m/>
    <m/>
    <m/>
    <m/>
    <m/>
    <m/>
    <m/>
    <m/>
    <m/>
    <m/>
    <m/>
    <m/>
    <m/>
  </r>
  <r>
    <x v="9"/>
    <s v="BIENES"/>
    <x v="0"/>
    <s v=" Proyectos de expansión y refuerzo en el Sistema Nacional de Distribución"/>
    <x v="3"/>
    <x v="3"/>
    <x v="1"/>
    <s v="CHIMBORAZO"/>
    <x v="16"/>
    <m/>
    <x v="0"/>
    <s v="BID2-RSND-EERSA-ST-BI-001"/>
    <s v="ADQUISICIÓN DE TRES CARGADORES DE BATERÍAS PARA LAS SUBESTACIONES Nº 01, Nº 07, Nº 10"/>
    <m/>
    <s v="LPN"/>
    <s v="ex-post"/>
    <s v="EN PROCESO CON PLIEGOS Y CERTIFICACIÓN"/>
    <m/>
    <m/>
    <m/>
    <m/>
    <m/>
    <m/>
    <m/>
    <m/>
    <m/>
    <m/>
    <n v="42857.140000000014"/>
    <m/>
    <n v="42857.140000000014"/>
    <n v="10602.859999999986"/>
    <n v="53460"/>
    <n v="0.12"/>
    <n v="5142.8568000000014"/>
    <n v="1272.3431999999982"/>
    <n v="59875.200000000004"/>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
    <n v="0"/>
    <n v="0"/>
    <n v="0"/>
    <n v="0"/>
    <n v="0"/>
    <n v="0"/>
    <n v="0"/>
    <n v="0"/>
    <x v="2"/>
    <n v="0"/>
    <n v="0"/>
    <n v="0"/>
    <x v="1"/>
    <m/>
    <s v="no"/>
    <s v="no"/>
    <s v="no"/>
    <s v="no"/>
    <s v="no"/>
    <s v="no"/>
    <x v="1"/>
    <s v="no"/>
    <s v="no"/>
    <s v="no"/>
    <m/>
    <m/>
    <m/>
    <m/>
    <m/>
    <m/>
    <m/>
    <m/>
    <m/>
    <m/>
    <m/>
    <m/>
    <m/>
    <m/>
  </r>
  <r>
    <x v="10"/>
    <s v="FIRMAS CONSULTORAS"/>
    <x v="1"/>
    <s v="Mejoramiento de la eficiencia y fiabilidad de la red"/>
    <x v="5"/>
    <x v="5"/>
    <x v="0"/>
    <s v="NACIONAL"/>
    <x v="15"/>
    <m/>
    <x v="3"/>
    <s v="BID2-RSND-EECS-AU-FC-003"/>
    <s v="ACOMPAÑAMIENTO PARA EL PROCESO PRECONTRACTUAL Y CONTRACTUAL PARA LA IMPLANTACIÓN DEL AMI"/>
    <m/>
    <s v="CD"/>
    <s v="ex-ante"/>
    <s v="PENDIENTE  PARA NO OBJECIÓN DEL BID "/>
    <m/>
    <m/>
    <m/>
    <m/>
    <m/>
    <m/>
    <m/>
    <m/>
    <m/>
    <m/>
    <n v="99306.35"/>
    <n v="0"/>
    <n v="99306.35"/>
    <n v="0"/>
    <n v="99306.35"/>
    <n v="0.12"/>
    <n v="11916.762000000001"/>
    <n v="0"/>
    <n v="111223.11200000002"/>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
    <n v="0"/>
    <n v="0"/>
    <n v="0"/>
    <n v="0"/>
    <n v="0"/>
    <n v="0"/>
    <n v="0"/>
    <n v="0"/>
    <x v="2"/>
    <n v="0"/>
    <n v="0"/>
    <n v="0"/>
    <x v="1"/>
    <m/>
    <s v="no"/>
    <s v="no"/>
    <s v="no"/>
    <s v="no"/>
    <s v="no"/>
    <s v="no"/>
    <x v="1"/>
    <s v="no"/>
    <s v="no"/>
    <s v="no"/>
    <m/>
    <m/>
    <m/>
    <m/>
    <m/>
    <m/>
    <m/>
    <m/>
    <m/>
    <m/>
    <m/>
    <m/>
    <m/>
    <m/>
  </r>
  <r>
    <x v="11"/>
    <s v="OBRAS"/>
    <x v="0"/>
    <s v="Proyectos de expansión y refuerzo en el Sistema Nacional de Distribución"/>
    <x v="3"/>
    <x v="3"/>
    <x v="1"/>
    <s v="BOLIVAR"/>
    <x v="17"/>
    <n v="1"/>
    <x v="0"/>
    <s v="BID2-RSND-CNELBOL-ST-OB-001"/>
    <s v="CONSTRUCCIÓN DE LA LÍNEA DE SUBTRANSMISIÓN BABAHOYO-CALUMA"/>
    <m/>
    <s v="LPI"/>
    <s v="ex-ante"/>
    <s v="CONTRATADO"/>
    <s v="No.013-2016-AJ-CNEL-EP-BOL"/>
    <s v="CONSORCIO WORKTRYMECPRO, CONFORMADO POR Worktrymec Electromecánica Cía. Ltda. Ecuador_x000a_Proyectos del Ecuador S.A. Proyecsa. Ecuador_x000a_"/>
    <s v="ECUATORIANA"/>
    <s v="PERSONA JURÍDICA"/>
    <n v="1792131286001"/>
    <s v="DATO PENDIENTE"/>
    <s v="DATO PENDIENTE"/>
    <s v="ING. EDISON MARTÍNEZ"/>
    <s v="099 66 6614"/>
    <m/>
    <n v="3846440.13"/>
    <n v="0"/>
    <n v="3807940.13"/>
    <n v="0"/>
    <n v="3807940.13"/>
    <n v="0.12"/>
    <n v="456952.81559999997"/>
    <n v="0"/>
    <n v="4264892.9456000002"/>
    <m/>
    <m/>
    <m/>
    <m/>
    <n v="3807500"/>
    <m/>
    <n v="3623242.63"/>
    <n v="0.14000000000000001"/>
    <n v="507253.96820000006"/>
    <n v="4130496.5981999994"/>
    <m/>
    <m/>
    <n v="358672.77000000014"/>
    <m/>
    <m/>
    <m/>
    <m/>
    <m/>
    <m/>
    <m/>
    <m/>
    <n v="223197.5"/>
    <n v="-135475.27000000014"/>
    <s v="EL REMITIDO POR GABRIELA SALAS, MEDIANTE CORREO DEL 18.JUL.2016,  14:59"/>
    <d v="2016-04-15T00:00:00"/>
    <d v="2016-07-15T00:00:00"/>
    <s v="NO APLICA"/>
    <s v="NO APLICA"/>
    <s v="NO APLICA"/>
    <d v="2016-07-19T00:00:00"/>
    <d v="2016-08-01T00:00:00"/>
    <d v="2016-08-09T00:00:00"/>
    <d v="2016-09-02T00:00:00"/>
    <s v="NO APLICA"/>
    <d v="2016-09-19T00:00:00"/>
    <d v="2016-09-23T00:00:00"/>
    <s v="NO APLICA"/>
    <s v="NO APLICA"/>
    <d v="2016-11-01T00:00:00"/>
    <d v="2016-11-01T00:00:00"/>
    <s v="NO APLICA"/>
    <d v="2016-11-01T00:00:00"/>
    <d v="2016-11-25T00:00:00"/>
    <d v="2016-01-26T00:00:00"/>
    <s v="CAN/CEC-1554 DEL 14 DE AGOSTO DE 2017"/>
    <s v="ECA2772"/>
    <m/>
    <m/>
    <m/>
    <m/>
    <m/>
    <m/>
    <m/>
    <m/>
    <m/>
    <m/>
    <m/>
    <m/>
    <m/>
    <m/>
    <m/>
    <s v="NO APLICA"/>
    <s v="NO APLICA"/>
    <d v="2016-12-07T00:00:00"/>
    <n v="1811621.3149999999"/>
    <m/>
    <m/>
    <m/>
    <m/>
    <m/>
    <m/>
    <m/>
    <m/>
    <m/>
    <m/>
    <m/>
    <m/>
    <m/>
    <m/>
    <m/>
    <m/>
    <m/>
    <m/>
    <m/>
    <m/>
    <m/>
    <m/>
    <m/>
    <m/>
    <m/>
    <m/>
    <m/>
    <n v="1811621.3149999999"/>
    <m/>
    <m/>
    <m/>
    <m/>
    <m/>
    <m/>
    <m/>
    <n v="360"/>
    <s v="DESDE LA NOTIFICACIÓN DE LA ENTREGA DEL ANTICIPO"/>
    <d v="2016-12-08T00:00:00"/>
    <d v="2017-12-03T00:00:00"/>
    <m/>
    <m/>
    <m/>
    <n v="1"/>
    <d v="2016-12-22T00:00:00"/>
    <d v="2017-05-25T00:00:00"/>
    <n v="154"/>
    <m/>
    <m/>
    <m/>
    <m/>
    <m/>
    <m/>
    <m/>
    <m/>
    <m/>
    <m/>
    <m/>
    <m/>
    <m/>
    <m/>
    <m/>
    <m/>
    <m/>
    <m/>
    <m/>
    <m/>
    <m/>
    <m/>
    <m/>
    <m/>
    <m/>
    <m/>
    <m/>
    <m/>
    <n v="0.06"/>
    <n v="0.06"/>
    <n v="0.06"/>
    <n v="0.06"/>
    <n v="0.4"/>
    <n v="0.5"/>
    <n v="0.53"/>
    <n v="0.59"/>
    <n v="0.66"/>
    <n v="0.75"/>
    <n v="0.94"/>
    <n v="0.94"/>
    <n v="0.94"/>
    <n v="0.94"/>
    <n v="0.98"/>
    <n v="0.98"/>
    <n v="0.98"/>
    <n v="0.98"/>
    <n v="0.98"/>
    <n v="0.98"/>
    <n v="0.98"/>
    <x v="0"/>
    <n v="1"/>
    <n v="1"/>
    <n v="1"/>
    <x v="0"/>
    <s v="no"/>
    <s v="no"/>
    <s v="no"/>
    <s v="no"/>
    <s v="no"/>
    <s v="no"/>
    <s v="no"/>
    <x v="1"/>
    <s v="no"/>
    <s v="no"/>
    <s v="no"/>
    <s v="En trámite de no objeción al BID, suscripción de contrato complementario (9,7 %) y espera de avales del MF"/>
    <s v="En espera de Avales. También de suscripciónde ontrato complementario. Informe técnico está hecho, pero no da trámite Administración de CNEL Bolívar."/>
    <s v="En espera de avales del MEF_x000a_Se está esprando resolución jurídica debido a que las obras están terminadas. Se espera firmar Convenio de pago entre las partes."/>
    <s v="LA OBRA CONTINÚA SUSPENDIDA, A ESPERA DE LA APROBACIÓN DE LOS DISEÑOS DE LA ESTRUCTURA E1 POR PARTE DE TRANSELECTRIC, SE ESTÁN REALIZANDO LAS GESTIONES NECESARIAS PARA UN CONTRATO MODIFICATORIO EN LA FORMA DE PAGO Y COMPLEMENTARIO PARA INCREMENTOS DE OBRA"/>
    <s v="Se aprobó diseño de E1 de parte de CELEC, se generan ordenes de trabajo para conluir la obra. Se espera que en marzo 2019 conlcuya obra debido a que se deben construir perfiles de torre según especificaciones de CELEC"/>
    <s v="Se espera se cancelen valores adeudados al contratista. Ordenes de trabajo emitidas. 31 de enero de 2019 se pagaría al contratista y este podría continuar con trabajos "/>
    <s v="Obra concluida. Con problmeas en pago de indemnizaciones que impiden desbroce y energización de la línea."/>
    <m/>
    <m/>
    <m/>
    <s v="OBRA PARALIZADA PORQUE NO SE CUENTA CON LOS PERMISO DE LA FRANJA DE SERVIDUMBRE DE BABAHOYO,  (SE ESTIMA QUE EN EL TRANSCURSO DE DOS SEMANAS SE CUENTEN CON LOS PERMISOS, ES DECIR HASTA EL 11 DE ABRIL DE 2017)"/>
    <m/>
    <m/>
    <m/>
  </r>
  <r>
    <x v="11"/>
    <s v="OBRAS"/>
    <x v="1"/>
    <s v=" Mejoramiento de la eficiencia y fiabilidad de la red"/>
    <x v="1"/>
    <x v="1"/>
    <x v="0"/>
    <s v="BOLIVAR"/>
    <x v="18"/>
    <n v="2"/>
    <x v="0"/>
    <s v="BID2-RSND-CNELBOL-AU-OB-002 "/>
    <s v=" INTEGRACIÓN DE RECONECTADORES AL SCADA DE CNEL EP UN BOLÍVAR"/>
    <m/>
    <s v="LPN"/>
    <s v="ex-post"/>
    <s v="EJECUTADO BID"/>
    <s v="No.010-2015-CNEL EP-BOL"/>
    <s v="ING. GERMAN ANTONIO SARMIENTO DURAN"/>
    <s v="ECUATORIANA"/>
    <s v="PERSONA NATURAL"/>
    <s v="0 103901997001"/>
    <s v="DATO PENDIENTE"/>
    <s v="DATO PENDIENTE"/>
    <s v="ING. EDISON MARTÍNEZ"/>
    <s v="0 996636614"/>
    <m/>
    <n v="58829.48"/>
    <n v="0"/>
    <n v="58829.48"/>
    <n v="0"/>
    <n v="58829.48"/>
    <n v="0.12"/>
    <n v="7059.5376000000006"/>
    <n v="0"/>
    <n v="65889.017600000006"/>
    <n v="58000"/>
    <n v="829.4800000000032"/>
    <m/>
    <m/>
    <n v="58829.48"/>
    <m/>
    <n v="58000"/>
    <n v="0.14000000000000001"/>
    <n v="8120.0000000000009"/>
    <n v="66120"/>
    <m/>
    <m/>
    <m/>
    <m/>
    <m/>
    <m/>
    <m/>
    <m/>
    <m/>
    <m/>
    <m/>
    <n v="829.4800000000032"/>
    <n v="829.4800000000032"/>
    <s v="DDL, IAO 21.1."/>
    <s v="NO APLICA"/>
    <s v="NO APLICA"/>
    <s v="NO APLICA"/>
    <s v="NO APLICA"/>
    <s v="NO APLICA"/>
    <d v="2015-09-07T00:00:00"/>
    <d v="2015-09-12T00:00:00"/>
    <d v="2015-09-15T00:00:00"/>
    <d v="2015-10-06T00:00:00"/>
    <s v="NO APLICA"/>
    <d v="2015-10-21T00:00:00"/>
    <d v="2015-10-30T00:00:00"/>
    <s v="NO APLICA"/>
    <s v="NO APLICA"/>
    <s v="NO APLICA"/>
    <d v="2015-12-11T00:00:00"/>
    <s v="NO APLICA"/>
    <s v="DATO PENDIENTE"/>
    <d v="2015-12-21T00:00:00"/>
    <s v="NO APLICA"/>
    <s v="NO APLICA"/>
    <s v="NO APLICA"/>
    <m/>
    <s v="ü"/>
    <m/>
    <m/>
    <m/>
    <m/>
    <m/>
    <m/>
    <m/>
    <m/>
    <m/>
    <m/>
    <m/>
    <s v="ü"/>
    <s v="NO APLICA"/>
    <s v="SI"/>
    <n v="0.05"/>
    <d v="2016-06-22T00:00:00"/>
    <n v="29000"/>
    <s v="Pago 2/2 final"/>
    <d v="2017-05-31T00:00:00"/>
    <n v="29000"/>
    <m/>
    <m/>
    <m/>
    <m/>
    <m/>
    <m/>
    <m/>
    <m/>
    <m/>
    <m/>
    <m/>
    <m/>
    <m/>
    <m/>
    <m/>
    <m/>
    <m/>
    <m/>
    <m/>
    <m/>
    <m/>
    <m/>
    <m/>
    <m/>
    <n v="58000"/>
    <m/>
    <m/>
    <m/>
    <m/>
    <m/>
    <m/>
    <m/>
    <n v="120"/>
    <s v="DESDE LA NOTIFICACIÓN DE LA ENTREGA DEL ANTICIPO"/>
    <d v="2016-06-23T00:00:00"/>
    <d v="2016-10-21T00:00:00"/>
    <m/>
    <m/>
    <m/>
    <m/>
    <m/>
    <m/>
    <m/>
    <m/>
    <m/>
    <m/>
    <m/>
    <m/>
    <m/>
    <m/>
    <m/>
    <m/>
    <m/>
    <m/>
    <m/>
    <m/>
    <m/>
    <m/>
    <m/>
    <m/>
    <m/>
    <m/>
    <m/>
    <m/>
    <m/>
    <m/>
    <m/>
    <m/>
    <n v="0.1"/>
    <n v="0.4"/>
    <n v="0.6"/>
    <n v="0.8"/>
    <n v="1"/>
    <n v="1"/>
    <n v="1"/>
    <n v="1"/>
    <n v="1"/>
    <n v="1"/>
    <n v="1"/>
    <n v="1"/>
    <n v="1"/>
    <n v="1"/>
    <n v="1"/>
    <n v="1"/>
    <n v="1"/>
    <n v="1"/>
    <n v="1"/>
    <n v="1"/>
    <n v="1"/>
    <n v="1"/>
    <n v="1"/>
    <n v="1"/>
    <x v="0"/>
    <n v="1"/>
    <n v="1"/>
    <n v="1"/>
    <x v="0"/>
    <s v="si"/>
    <s v="no"/>
    <s v="no"/>
    <s v="no"/>
    <s v="si"/>
    <s v="si"/>
    <s v="si"/>
    <x v="0"/>
    <s v="si"/>
    <s v="si"/>
    <s v="si"/>
    <m/>
    <m/>
    <m/>
    <m/>
    <m/>
    <m/>
    <m/>
    <m/>
    <m/>
    <m/>
    <s v="EL CONVENIO NO ES EL DEL FORMATO BID, PEDIR QUE CORRIJAN, ESTE PROYECTO TUVO UNA PARALIZACIÓN DESDE JUN HASTA OCT, ESTE DATO ESTA CONTENIDO EN EL ACTA DE RECEPCIÓN PROVISIONAL"/>
    <m/>
    <m/>
    <m/>
  </r>
  <r>
    <x v="0"/>
    <s v="OBRAS"/>
    <x v="0"/>
    <s v=" Proyectos de expansión y refuerzo en el Sistema Nacional de Distribución"/>
    <x v="3"/>
    <x v="3"/>
    <x v="1"/>
    <s v="EL ORO"/>
    <x v="19"/>
    <n v="2"/>
    <x v="0"/>
    <s v="BID2-RSND-CNELEOR-ST-OB-007"/>
    <s v="LÍNEA DE SUBTRANSMISIÓN EL CAMBIO-EL BOSQUE"/>
    <m/>
    <s v="LPN"/>
    <s v="ex-post"/>
    <s v="EJECUTADO BID"/>
    <s v="BID2-RSND-CNELEOR-ST-OB-007"/>
    <s v="WORTRYMEC  ELECTROMECANICA CÍA. LTDA."/>
    <s v="ECUATORIANA"/>
    <s v="PERSONA JURÍDICA"/>
    <n v="1792131286001"/>
    <s v="DATO PENDIENTE"/>
    <s v="DATO PENDIENTE"/>
    <s v="ING. JUMMY QUEZADA GUARNIZO"/>
    <s v="DATO PENDIENTE"/>
    <m/>
    <n v="985000"/>
    <n v="0"/>
    <n v="984999.99999999988"/>
    <n v="0"/>
    <n v="984999.99999999988"/>
    <n v="0.12"/>
    <n v="118199.99999999999"/>
    <n v="0"/>
    <n v="1103200"/>
    <n v="589251.44999999995"/>
    <n v="395748.55000000005"/>
    <m/>
    <m/>
    <n v="689843.77"/>
    <m/>
    <n v="689759.84"/>
    <n v="0.14000000000000001"/>
    <n v="96566.377600000007"/>
    <n v="786326.21759999986"/>
    <m/>
    <m/>
    <m/>
    <m/>
    <m/>
    <m/>
    <m/>
    <m/>
    <n v="67897.899999999994"/>
    <n v="9505.7060000000001"/>
    <m/>
    <n v="295240.16000000003"/>
    <n v="227342.26000000004"/>
    <s v="DDL, IAO 21.1."/>
    <s v="NO APLICA"/>
    <s v="NO APLICA"/>
    <s v="NO APLICA"/>
    <s v="NO APLICA"/>
    <s v="NO APLICA"/>
    <d v="2016-08-02T00:00:00"/>
    <d v="2016-08-22T00:00:00"/>
    <d v="2016-08-26T00:00:00"/>
    <d v="2016-08-31T00:00:00"/>
    <s v="NO APLICA"/>
    <d v="2016-09-15T00:00:00"/>
    <d v="2016-09-22T00:00:00"/>
    <s v="NO APLICA"/>
    <s v="NO APLICA"/>
    <s v="NO APLICA"/>
    <d v="2016-09-29T00:00:00"/>
    <s v="NO APLICA"/>
    <d v="2016-10-03T00:00:00"/>
    <d v="2016-10-18T00:00:00"/>
    <s v="NO APLICA"/>
    <s v="NO APLICA"/>
    <s v="NO APLICA"/>
    <m/>
    <s v="ü"/>
    <m/>
    <m/>
    <m/>
    <m/>
    <m/>
    <m/>
    <m/>
    <m/>
    <m/>
    <m/>
    <m/>
    <s v="ü"/>
    <s v="NO APLICA"/>
    <s v="NO APLICA"/>
    <s v="NO APLICA"/>
    <d v="2016-11-07T00:00:00"/>
    <n v="344879.92"/>
    <m/>
    <m/>
    <m/>
    <m/>
    <m/>
    <m/>
    <m/>
    <m/>
    <m/>
    <m/>
    <m/>
    <m/>
    <m/>
    <m/>
    <m/>
    <m/>
    <m/>
    <m/>
    <m/>
    <m/>
    <m/>
    <m/>
    <m/>
    <m/>
    <m/>
    <m/>
    <m/>
    <n v="344879.92"/>
    <m/>
    <m/>
    <m/>
    <m/>
    <m/>
    <m/>
    <m/>
    <n v="365"/>
    <s v="DESDE LA NOTIFICACIÓN DE LA ENTREGA DEL ANTICIPO"/>
    <d v="2016-11-08T00:00:00"/>
    <d v="2017-11-08T00:00:00"/>
    <m/>
    <m/>
    <m/>
    <m/>
    <m/>
    <m/>
    <m/>
    <m/>
    <m/>
    <m/>
    <m/>
    <m/>
    <m/>
    <m/>
    <m/>
    <m/>
    <m/>
    <m/>
    <m/>
    <m/>
    <m/>
    <m/>
    <m/>
    <n v="0"/>
    <n v="0"/>
    <n v="0"/>
    <n v="0"/>
    <n v="0"/>
    <n v="0"/>
    <n v="0"/>
    <n v="0"/>
    <n v="0"/>
    <n v="0"/>
    <n v="0.05"/>
    <n v="0.2"/>
    <n v="0.2"/>
    <n v="0.2"/>
    <n v="0.2"/>
    <n v="0.2"/>
    <n v="0.2"/>
    <n v="0.73"/>
    <n v="0.73"/>
    <n v="1"/>
    <n v="1"/>
    <n v="1"/>
    <n v="1"/>
    <n v="1"/>
    <n v="1"/>
    <n v="1"/>
    <n v="1"/>
    <n v="1"/>
    <n v="1"/>
    <n v="1"/>
    <n v="1"/>
    <n v="1"/>
    <n v="1"/>
    <x v="0"/>
    <n v="1"/>
    <n v="1"/>
    <n v="1"/>
    <x v="0"/>
    <s v="no"/>
    <s v="no"/>
    <s v="no"/>
    <s v="no"/>
    <s v="no"/>
    <s v="si"/>
    <s v="si"/>
    <x v="0"/>
    <s v="si"/>
    <s v="si"/>
    <s v="si"/>
    <m/>
    <m/>
    <m/>
    <m/>
    <s v="Esta liquidado pero no se reporta de parte de la UN EOR"/>
    <s v="No se reporta liquidación de parte de CNEL UN EL ORO"/>
    <m/>
    <m/>
    <m/>
    <m/>
    <m/>
    <m/>
    <s v="REVISADO, PDTE JUSTIFICACIÓN DE MATRIZ DE CNEL EP"/>
    <m/>
  </r>
  <r>
    <x v="0"/>
    <s v="OBRAS"/>
    <x v="0"/>
    <s v=" Proyectos de expansión y refuerzo en el Sistema Nacional de Distribución"/>
    <x v="3"/>
    <x v="3"/>
    <x v="1"/>
    <s v="EL ORO"/>
    <x v="20"/>
    <n v="3"/>
    <x v="0"/>
    <s v="BID2-RSND-CNELEOR-ST-OB-001"/>
    <s v="CONSTRUCCIÓN DE LA SUBESTACIÓN EL BOSQUE"/>
    <m/>
    <s v="LPN"/>
    <s v="ex-post"/>
    <s v="CONTRATADO"/>
    <s v="BID2-RSND-CNELEOR-ST-OB-001"/>
    <s v="TRASELEC S.A. INGENIERÍA ELÉCTRICA"/>
    <s v="ECUATORIANA"/>
    <s v="PERSONA JURÍDICA"/>
    <s v="0 990692416001"/>
    <s v="DATO PENDIENTE"/>
    <s v="DATO PENDIENTE"/>
    <s v="ING. ROLANDO CASTILLO ABAD"/>
    <s v="DATO PENDIENTE"/>
    <m/>
    <n v="1278865.4099999999"/>
    <n v="0"/>
    <n v="1278865.4099999999"/>
    <n v="0"/>
    <n v="1278865.4099999999"/>
    <n v="0.12"/>
    <n v="153463.8492"/>
    <n v="0"/>
    <n v="1432329.2592"/>
    <m/>
    <s v="falta"/>
    <m/>
    <m/>
    <n v="1278865.4099999999"/>
    <m/>
    <n v="1142574.6599999999"/>
    <n v="0.14000000000000001"/>
    <n v="159960.45240000001"/>
    <n v="1302535.1123999998"/>
    <m/>
    <m/>
    <m/>
    <m/>
    <m/>
    <m/>
    <m/>
    <m/>
    <n v="165673.32"/>
    <n v="23194.264800000004"/>
    <m/>
    <n v="136290.75"/>
    <n v="-29382.570000000007"/>
    <s v="DDL, IAO 21.1."/>
    <s v="NO APLICA"/>
    <s v="NO APLICA"/>
    <s v="NO APLICA"/>
    <s v="NO APLICA"/>
    <s v="NO APLICA"/>
    <d v="2015-10-08T00:00:00"/>
    <d v="2015-10-23T00:00:00"/>
    <d v="2015-10-30T00:00:00"/>
    <d v="2015-11-10T00:00:00"/>
    <s v="NO APLICA"/>
    <d v="2015-11-27T00:00:00"/>
    <d v="2016-12-04T00:00:00"/>
    <s v="NO APLICA"/>
    <s v="NO APLICA"/>
    <s v="NO APLICA"/>
    <s v="DATO PENDIENTE"/>
    <s v="NO APLICA"/>
    <s v="DATO PENDIENTE"/>
    <d v="2015-12-14T00:00:00"/>
    <s v="NO APLICA"/>
    <s v="NO APLICA"/>
    <s v="NO APLICA"/>
    <m/>
    <s v="ü"/>
    <m/>
    <m/>
    <m/>
    <m/>
    <m/>
    <m/>
    <m/>
    <m/>
    <m/>
    <m/>
    <m/>
    <s v="ü"/>
    <s v="NO APLICA"/>
    <s v="SI"/>
    <n v="0.05"/>
    <d v="2016-02-17T00:00:00"/>
    <n v="571287.32999999996"/>
    <s v="Pago 2/4 - Planilla 1"/>
    <d v="2017-05-10T00:00:00"/>
    <n v="421171.97000000009"/>
    <m/>
    <m/>
    <m/>
    <m/>
    <m/>
    <m/>
    <m/>
    <m/>
    <m/>
    <m/>
    <m/>
    <m/>
    <m/>
    <m/>
    <m/>
    <m/>
    <m/>
    <m/>
    <m/>
    <m/>
    <m/>
    <m/>
    <m/>
    <m/>
    <n v="992459.3"/>
    <m/>
    <m/>
    <m/>
    <m/>
    <m/>
    <m/>
    <m/>
    <n v="300"/>
    <s v="DESDE LA NOTIFICACIÓN DE LA ENTREGA DEL ANTICIPO"/>
    <d v="2016-02-18T00:00:00"/>
    <d v="2016-12-14T00:00:00"/>
    <m/>
    <m/>
    <m/>
    <m/>
    <m/>
    <m/>
    <m/>
    <m/>
    <m/>
    <m/>
    <m/>
    <m/>
    <m/>
    <m/>
    <m/>
    <m/>
    <m/>
    <m/>
    <m/>
    <m/>
    <m/>
    <m/>
    <m/>
    <m/>
    <m/>
    <n v="0.05"/>
    <n v="0.05"/>
    <n v="0.1"/>
    <n v="0.15"/>
    <n v="0.15"/>
    <n v="0.2"/>
    <n v="0.35"/>
    <n v="0.45"/>
    <n v="0.45"/>
    <n v="0.55000000000000004"/>
    <n v="0.55000000000000004"/>
    <n v="0.55000000000000004"/>
    <n v="0.55000000000000004"/>
    <n v="0.9"/>
    <n v="0.9"/>
    <n v="0.9"/>
    <n v="0.9"/>
    <n v="0.9"/>
    <n v="0.9"/>
    <n v="0.9"/>
    <n v="0.9"/>
    <n v="0.9"/>
    <n v="0.9"/>
    <n v="0.9"/>
    <n v="0.9"/>
    <n v="0.9"/>
    <n v="0.9"/>
    <n v="0.9"/>
    <n v="0.9"/>
    <n v="0.9"/>
    <n v="0.9"/>
    <x v="0"/>
    <n v="1"/>
    <n v="1"/>
    <n v="1"/>
    <x v="0"/>
    <s v="no"/>
    <s v="no"/>
    <s v="no"/>
    <s v="no"/>
    <s v="no"/>
    <s v="no"/>
    <s v="no"/>
    <x v="1"/>
    <s v="no"/>
    <s v="no"/>
    <s v="no"/>
    <s v="En espera de avales para suscripción de contrato complementario"/>
    <s v="Faltan avales del MEF"/>
    <s v="En espera de avales del MEF"/>
    <m/>
    <s v="Firmado complementario, solicitado pago de anticipo de complemtnario"/>
    <s v="El 3 de Enero, 2019 está previsto dar anticipo, 50% de 165.000, no se requiere aval. Termina en Mayo de 2019. Contratista está importando equipos."/>
    <s v="Subestación inaugurada. Falta liquidar contrato principal y complementario."/>
    <m/>
    <m/>
    <m/>
    <m/>
    <m/>
    <s v="REVISADO, PDTE JUSTIFICACIÓN DE MATRIZ DE CNEL EP"/>
    <m/>
  </r>
  <r>
    <x v="0"/>
    <s v="OBRAS"/>
    <x v="1"/>
    <s v="Mejoramiento de la eficiencia y fiabilidad de la red"/>
    <x v="6"/>
    <x v="6"/>
    <x v="0"/>
    <s v="EL ORO"/>
    <x v="21"/>
    <n v="4"/>
    <x v="0"/>
    <s v="BID2-RSND-CNELEOR-AU-OB-005"/>
    <s v="ADECUACIÓN DE INFRAESTRUCTURA DE SUBESTACIONES Y CENTRO DE CONTROL PARA SISTEMA SCADA"/>
    <m/>
    <s v="LPN"/>
    <s v="ex-post"/>
    <s v="EJECUTADO BID"/>
    <s v="BID2-RSND-CNELEOR-AU-OB-005"/>
    <s v="CONTEFERSA S.A."/>
    <s v="ECUATORIANA"/>
    <s v="PERSONA JURÍDICA"/>
    <s v="0 791721342001"/>
    <s v="DATO PENDIENTE"/>
    <s v="DATO PENDIENTE"/>
    <s v="ING. ANGEL FERNANDO PEREZ AYALA"/>
    <s v="DATO PENDIENTE"/>
    <m/>
    <n v="275000"/>
    <n v="0"/>
    <n v="275000"/>
    <n v="0"/>
    <n v="275000"/>
    <n v="0.12"/>
    <n v="33000"/>
    <n v="0"/>
    <n v="308000.00000000006"/>
    <n v="260979.24"/>
    <n v="14020.760000000009"/>
    <m/>
    <m/>
    <n v="275000"/>
    <m/>
    <n v="270605.48"/>
    <m/>
    <m/>
    <m/>
    <m/>
    <m/>
    <m/>
    <m/>
    <m/>
    <m/>
    <m/>
    <m/>
    <m/>
    <m/>
    <m/>
    <n v="4394.5200000000186"/>
    <n v="4394.5200000000186"/>
    <s v="DDL, IAO 21.1."/>
    <s v="NO APLICA"/>
    <s v="NO APLICA"/>
    <s v="NO APLICA"/>
    <s v="NO APLICA"/>
    <s v="NO APLICA"/>
    <d v="2015-09-04T00:00:00"/>
    <d v="2015-09-18T00:00:00"/>
    <d v="2015-09-25T00:00:00"/>
    <d v="2015-10-02T00:00:00"/>
    <s v="NO APLICA"/>
    <d v="2015-10-21T00:00:00"/>
    <d v="2015-10-29T00:00:00"/>
    <s v="NO APLICA"/>
    <s v="NO APLICA"/>
    <s v="NO APLICA"/>
    <s v="DATO PENDIENTE"/>
    <s v="NO APLICA"/>
    <s v="DATO PENDIENTE"/>
    <d v="2015-11-26T00:00:00"/>
    <s v="NO APLICA"/>
    <s v="NO APLICA"/>
    <s v="NO APLICA"/>
    <m/>
    <s v="ü"/>
    <m/>
    <m/>
    <m/>
    <m/>
    <m/>
    <m/>
    <m/>
    <m/>
    <m/>
    <m/>
    <m/>
    <s v="ü"/>
    <s v="NO APLICA"/>
    <s v="SI"/>
    <n v="0.05"/>
    <d v="2016-02-17T00:00:00"/>
    <n v="135302.74"/>
    <m/>
    <d v="2016-06-09T00:00:00"/>
    <n v="70369.56"/>
    <m/>
    <d v="2016-07-20T00:00:00"/>
    <n v="33320.82"/>
    <m/>
    <d v="2016-09-28T00:00:00"/>
    <n v="21986.129999999997"/>
    <m/>
    <m/>
    <m/>
    <m/>
    <m/>
    <m/>
    <m/>
    <m/>
    <m/>
    <m/>
    <m/>
    <m/>
    <m/>
    <m/>
    <m/>
    <m/>
    <m/>
    <m/>
    <n v="260979.25"/>
    <m/>
    <m/>
    <m/>
    <m/>
    <m/>
    <m/>
    <m/>
    <n v="120"/>
    <s v="DESDE LA NOTIFICACIÓN DE LA ENTREGA DEL ANTICIPO"/>
    <d v="2016-02-18T00:00:00"/>
    <d v="2016-06-17T00:00:00"/>
    <m/>
    <m/>
    <m/>
    <m/>
    <m/>
    <m/>
    <m/>
    <m/>
    <m/>
    <m/>
    <m/>
    <m/>
    <m/>
    <m/>
    <m/>
    <m/>
    <m/>
    <m/>
    <m/>
    <m/>
    <m/>
    <m/>
    <m/>
    <m/>
    <m/>
    <m/>
    <m/>
    <n v="0.65"/>
    <n v="0.65"/>
    <n v="1"/>
    <n v="1"/>
    <n v="1"/>
    <n v="1"/>
    <n v="1"/>
    <n v="1"/>
    <n v="1"/>
    <n v="1"/>
    <n v="1"/>
    <n v="1"/>
    <n v="1"/>
    <n v="1"/>
    <n v="1"/>
    <n v="1"/>
    <n v="1"/>
    <n v="1"/>
    <n v="1"/>
    <n v="1"/>
    <n v="1"/>
    <n v="1"/>
    <n v="1"/>
    <n v="1"/>
    <n v="1"/>
    <n v="1"/>
    <n v="1"/>
    <n v="1"/>
    <n v="1"/>
    <x v="0"/>
    <n v="1"/>
    <n v="1"/>
    <n v="1"/>
    <x v="0"/>
    <s v="si"/>
    <s v="si"/>
    <s v="si"/>
    <s v="si"/>
    <s v="si"/>
    <s v="si"/>
    <s v="si"/>
    <x v="0"/>
    <s v="si"/>
    <s v="si"/>
    <s v="si"/>
    <m/>
    <m/>
    <m/>
    <m/>
    <m/>
    <m/>
    <m/>
    <m/>
    <m/>
    <m/>
    <s v="CONTRATO LIQUIDADO"/>
    <m/>
    <m/>
    <m/>
  </r>
  <r>
    <x v="0"/>
    <s v="OBRAS"/>
    <x v="0"/>
    <s v=" Proyectos de expansión y refuerzo en el Sistema Nacional de Distribución"/>
    <x v="3"/>
    <x v="3"/>
    <x v="1"/>
    <s v="EL ORO"/>
    <x v="22"/>
    <n v="5"/>
    <x v="0"/>
    <s v="BID2-RSND-CNELEOR-ST-OB-003 "/>
    <s v=" REPOTENCIACIÓN DE LA SUBESTACIÓN EL CAMBIO"/>
    <m/>
    <s v="LPN"/>
    <s v="ex-post"/>
    <s v="EJECUTADO BID"/>
    <s v="BID2-RSND-CNELEOR-ST-OB-003 "/>
    <s v="CONSORCIO EL CAMBIO 2"/>
    <s v="ECUATORIANA"/>
    <s v="PERSONA JURÍDICA"/>
    <n v="1792624355001"/>
    <s v="DATO PENDIENTE"/>
    <s v="DATO PENDIENTE"/>
    <s v="ING. MAURICIO MONTALVO BLACIO"/>
    <s v="DATO PENDIENTE"/>
    <m/>
    <n v="775010"/>
    <n v="0"/>
    <n v="775010"/>
    <n v="0"/>
    <n v="775010"/>
    <n v="0.12"/>
    <n v="93001.2"/>
    <n v="0"/>
    <n v="868011.20000000007"/>
    <n v="619315.64"/>
    <n v="155694.35999999999"/>
    <m/>
    <m/>
    <n v="775010"/>
    <m/>
    <n v="647187"/>
    <m/>
    <m/>
    <m/>
    <m/>
    <m/>
    <m/>
    <m/>
    <m/>
    <m/>
    <m/>
    <m/>
    <m/>
    <m/>
    <m/>
    <n v="127823"/>
    <n v="127823"/>
    <s v="DDL, IAO 21.1."/>
    <s v="NO APLICA"/>
    <s v="NO APLICA"/>
    <s v="NO APLICA"/>
    <s v="NO APLICA"/>
    <s v="NO APLICA"/>
    <d v="2015-08-21T00:00:00"/>
    <d v="2015-09-04T00:00:00"/>
    <d v="2015-09-11T00:00:00"/>
    <d v="2015-09-18T00:00:00"/>
    <s v="NO APLICA"/>
    <d v="2015-10-06T00:00:00"/>
    <d v="2015-10-14T00:00:00"/>
    <s v="NO APLICA"/>
    <s v="NO APLICA"/>
    <s v="NO APLICA"/>
    <s v="DATO PENDIENTE"/>
    <s v="NO APLICA"/>
    <s v="DATO PENDIENTE"/>
    <d v="2015-11-06T00:00:00"/>
    <s v="NO APLICA"/>
    <s v="NO APLICA"/>
    <s v="NO APLICA"/>
    <m/>
    <s v="ü"/>
    <m/>
    <m/>
    <m/>
    <m/>
    <m/>
    <m/>
    <m/>
    <m/>
    <m/>
    <m/>
    <m/>
    <s v="ü"/>
    <s v="NO APLICA"/>
    <s v="SI"/>
    <n v="0.05"/>
    <d v="2015-12-09T00:00:00"/>
    <n v="323593.5"/>
    <s v="Pago 2/4 Planilla 1"/>
    <d v="2017-05-10T00:00:00"/>
    <n v="311901.81999999995"/>
    <m/>
    <m/>
    <m/>
    <m/>
    <m/>
    <m/>
    <m/>
    <m/>
    <m/>
    <m/>
    <m/>
    <m/>
    <m/>
    <m/>
    <m/>
    <m/>
    <m/>
    <m/>
    <m/>
    <m/>
    <m/>
    <m/>
    <m/>
    <m/>
    <n v="635495.31999999995"/>
    <m/>
    <m/>
    <m/>
    <m/>
    <m/>
    <m/>
    <m/>
    <n v="300"/>
    <s v="DESDE LA NOTIFICACIÓN DE LA ENTREGA DEL ANTICIPO"/>
    <d v="2015-12-10T00:00:00"/>
    <d v="2016-10-05T00:00:00"/>
    <m/>
    <m/>
    <m/>
    <m/>
    <m/>
    <m/>
    <m/>
    <m/>
    <m/>
    <m/>
    <m/>
    <m/>
    <m/>
    <m/>
    <m/>
    <m/>
    <m/>
    <m/>
    <m/>
    <m/>
    <m/>
    <m/>
    <m/>
    <m/>
    <m/>
    <m/>
    <m/>
    <n v="0.1"/>
    <n v="0.1"/>
    <n v="0.2"/>
    <n v="0.4"/>
    <n v="0.7"/>
    <n v="0.7"/>
    <n v="1"/>
    <n v="1"/>
    <n v="1"/>
    <n v="1"/>
    <n v="1"/>
    <n v="1"/>
    <n v="1"/>
    <n v="1"/>
    <n v="1"/>
    <n v="1"/>
    <n v="1"/>
    <n v="1"/>
    <n v="1"/>
    <n v="1"/>
    <n v="1"/>
    <n v="1"/>
    <n v="1"/>
    <n v="1"/>
    <n v="1"/>
    <n v="1"/>
    <n v="1"/>
    <n v="1"/>
    <n v="1"/>
    <x v="0"/>
    <n v="1"/>
    <n v="1"/>
    <n v="1"/>
    <x v="0"/>
    <s v="no"/>
    <s v="no"/>
    <s v="no"/>
    <s v="no"/>
    <s v="no"/>
    <s v="no"/>
    <s v="si"/>
    <x v="0"/>
    <s v="si"/>
    <s v="si"/>
    <s v="si"/>
    <s v="CONSTRUCCION DE LA SUBETACIÓN EL BOSQUE, el mismo que se encuentra el requerimiento del aval para suscribir el contrato complementario en el Ministerio de Finanzas eso lo ha tramitado OFICINA CENTRAL y por parte del Ministerio de Finanzas aún no se cuenta con el respectivo AVAL para poder suscribir el mismo"/>
    <m/>
    <m/>
    <m/>
    <s v="Esta liquidado pero no se reporta de parte de la UN EOR"/>
    <s v="No se reporta liquidación de parte de CNEL UN EL ORO"/>
    <m/>
    <m/>
    <m/>
    <m/>
    <s v="PROBLEMAS CON EL CONTRATISTA PARA LA LIQUIDACIÓN ECONÓMICA DEL CONTRATO, EL VALOR DE LIQUIDACIÓN ES MENOR AL VALOR CONTRATADO, HECHO QUE SE EVIDENCIA EN LAS PLANILLAS CONFORME LOS RUBROS Y ANÁLISIS DE PRECIOS "/>
    <m/>
    <m/>
    <m/>
  </r>
  <r>
    <x v="0"/>
    <s v="OBRAS"/>
    <x v="0"/>
    <s v=" Proyectos de expansión y refuerzo en el Sistema Nacional de Distribución"/>
    <x v="0"/>
    <x v="0"/>
    <x v="0"/>
    <s v="GUAYAS"/>
    <x v="23"/>
    <n v="6"/>
    <x v="0"/>
    <s v="BID2-RSND-CNELEOR-DI-OB-004 "/>
    <s v=" REFORZAMIENTO DE RED DE MEDIA TENSIÓN EN LA PARROQUIA TENGUEL"/>
    <m/>
    <s v="LPN"/>
    <s v="ex-post"/>
    <s v="EJECUTADO BID"/>
    <s v="BID2-RSND-CNELEOR-DI-OB-004 "/>
    <s v="ING. WENSESLAO PATRICIO VALAREZO RIOS"/>
    <s v="ECUATORIANA"/>
    <s v="PERSONA NATURAL"/>
    <s v="0 701720047001"/>
    <m/>
    <m/>
    <s v="ING. EDWIN ROLANDO CASTILLO ABAD"/>
    <s v="DATO PENDIENTE"/>
    <m/>
    <n v="153597.5"/>
    <n v="0"/>
    <n v="153597.5"/>
    <n v="0"/>
    <n v="153597.5"/>
    <n v="0.12"/>
    <n v="18431.7"/>
    <n v="0"/>
    <n v="172029.2"/>
    <n v="130014.56"/>
    <n v="23582.940000000002"/>
    <m/>
    <m/>
    <n v="153597.49345794393"/>
    <m/>
    <n v="152913.98000000001"/>
    <m/>
    <m/>
    <m/>
    <m/>
    <m/>
    <m/>
    <m/>
    <m/>
    <m/>
    <m/>
    <m/>
    <m/>
    <m/>
    <m/>
    <n v="683.51999999998952"/>
    <n v="683.51999999998952"/>
    <s v="DDL, IAO 21.1."/>
    <s v="NO APLICA"/>
    <s v="NO APLICA"/>
    <s v="NO APLICA"/>
    <s v="NO APLICA"/>
    <s v="NO APLICA"/>
    <d v="2015-08-21T00:00:00"/>
    <d v="2015-09-04T00:00:00"/>
    <d v="2015-09-11T00:00:00"/>
    <d v="2015-09-18T00:00:00"/>
    <s v="NO APLICA"/>
    <d v="2015-10-06T00:00:00"/>
    <d v="2015-10-14T00:00:00"/>
    <s v="NO APLICA"/>
    <s v="NO APLICA"/>
    <s v="NO APLICA"/>
    <s v="DATO PENDIENTE"/>
    <s v="NO APLICA"/>
    <s v="DATO PENDIENTE"/>
    <d v="2015-12-09T00:00:00"/>
    <s v="NO APLICA"/>
    <s v="NO APLICA"/>
    <s v="NO APLICA"/>
    <m/>
    <s v="ü"/>
    <m/>
    <m/>
    <m/>
    <m/>
    <m/>
    <m/>
    <m/>
    <m/>
    <m/>
    <m/>
    <m/>
    <s v="ü"/>
    <s v="NO APLICA"/>
    <s v="SI"/>
    <n v="0.05"/>
    <d v="2016-02-18T00:00:00"/>
    <n v="76457.179999999993"/>
    <m/>
    <d v="2016-08-25T00:00:00"/>
    <n v="48530.5"/>
    <m/>
    <m/>
    <m/>
    <m/>
    <m/>
    <m/>
    <m/>
    <m/>
    <m/>
    <m/>
    <m/>
    <m/>
    <m/>
    <m/>
    <m/>
    <m/>
    <m/>
    <m/>
    <m/>
    <m/>
    <m/>
    <m/>
    <d v="2016-12-09T00:00:00"/>
    <n v="5026.88"/>
    <n v="130014.56"/>
    <m/>
    <m/>
    <m/>
    <m/>
    <m/>
    <m/>
    <m/>
    <n v="180"/>
    <s v="DESDE LA NOTIFICACIÓN DE LA ENTREGA DEL ANTICIPO"/>
    <d v="2016-02-19T00:00:00"/>
    <d v="2016-08-17T00:00:00"/>
    <m/>
    <m/>
    <m/>
    <m/>
    <m/>
    <m/>
    <m/>
    <m/>
    <m/>
    <m/>
    <m/>
    <m/>
    <m/>
    <m/>
    <m/>
    <m/>
    <m/>
    <m/>
    <m/>
    <m/>
    <m/>
    <m/>
    <m/>
    <m/>
    <m/>
    <n v="0.35"/>
    <n v="0.35"/>
    <n v="0.75"/>
    <n v="0.95"/>
    <n v="0.95"/>
    <n v="0.95"/>
    <n v="0.95"/>
    <n v="0.95"/>
    <n v="1"/>
    <n v="1"/>
    <n v="1"/>
    <n v="1"/>
    <n v="1"/>
    <n v="1"/>
    <n v="1"/>
    <n v="1"/>
    <n v="1"/>
    <n v="1"/>
    <n v="1"/>
    <n v="1"/>
    <n v="1"/>
    <n v="1"/>
    <n v="1"/>
    <n v="1"/>
    <n v="1"/>
    <n v="1"/>
    <n v="1"/>
    <n v="1"/>
    <n v="1"/>
    <n v="1"/>
    <n v="1"/>
    <x v="0"/>
    <n v="1"/>
    <n v="1"/>
    <n v="1"/>
    <x v="0"/>
    <s v="si"/>
    <s v="si"/>
    <s v="si"/>
    <s v="si"/>
    <s v="si"/>
    <s v="si"/>
    <s v="si"/>
    <x v="0"/>
    <s v="si"/>
    <s v="si"/>
    <s v="si"/>
    <m/>
    <m/>
    <m/>
    <m/>
    <m/>
    <m/>
    <m/>
    <m/>
    <m/>
    <m/>
    <s v="PROCESO LIQUIDADO"/>
    <m/>
    <m/>
    <m/>
  </r>
  <r>
    <x v="11"/>
    <s v="OBRAS"/>
    <x v="1"/>
    <s v=" Mejoramiento de la eficiencia y fiabilidad de la red"/>
    <x v="6"/>
    <x v="6"/>
    <x v="0"/>
    <s v="BOLIVAR"/>
    <x v="24"/>
    <n v="3"/>
    <x v="0"/>
    <s v="BID2-RSND-CNELBOL-AU-OB-003 "/>
    <s v="ADECUACIÓN Y EQUIPAMIENTO DEL CENTRO DE DATOS Y CENTRO DE CONTROL DE CNEL BOLIVAR PARA LA IMPLEMENTACIÓN DEL SISTEMA SCADA/OMS DMS/MWM II FASE"/>
    <m/>
    <s v="LPN"/>
    <s v="ex-post"/>
    <s v="EJECUTADO BID"/>
    <s v="BID2-RSND-CNELBOL-AU-OB-003 "/>
    <s v="SURGE INGENIERIA CÍA. LTDA."/>
    <s v="ECUATORIANA"/>
    <s v="PERSONA JURÍDICA"/>
    <n v="1791839595001"/>
    <m/>
    <m/>
    <s v="DATO PENDIENTE"/>
    <s v="DATO PENDIENTE"/>
    <m/>
    <n v="103127.02"/>
    <n v="0"/>
    <n v="103127.02"/>
    <n v="0"/>
    <n v="103127.02"/>
    <n v="0.12"/>
    <n v="12375.242399999999"/>
    <n v="0"/>
    <n v="115502.26240000002"/>
    <n v="103123.75"/>
    <n v="3.2700000000040745"/>
    <m/>
    <m/>
    <n v="103127.02"/>
    <m/>
    <n v="103123.75"/>
    <n v="0.14000000000000001"/>
    <n v="14437.325000000001"/>
    <n v="117561.075"/>
    <m/>
    <m/>
    <m/>
    <m/>
    <m/>
    <m/>
    <m/>
    <m/>
    <m/>
    <m/>
    <m/>
    <n v="3.2700000000040745"/>
    <n v="3.2700000000040745"/>
    <s v="PUBLICADO EN EL PORTAL WEB DE CNEL"/>
    <s v="NO APLICA"/>
    <s v="NO APLICA"/>
    <s v="NO APLICA"/>
    <s v="NO APLICA"/>
    <s v="NO APLICA"/>
    <d v="2016-11-23T00:00:00"/>
    <d v="2016-11-28T00:00:00"/>
    <d v="2016-11-30T00:00:00"/>
    <d v="2016-12-05T00:00:00"/>
    <s v="NO APLICA"/>
    <d v="2016-12-14T00:00:00"/>
    <d v="2016-12-19T00:00:00"/>
    <s v="NO APLICA"/>
    <s v="NO APLICA"/>
    <s v="NO APLICA"/>
    <d v="2016-12-28T00:00:00"/>
    <s v="NO APLICA"/>
    <s v="DATO PENDIENTE"/>
    <d v="2017-01-10T00:00:00"/>
    <s v="NO APLICA"/>
    <s v="NO APLICA"/>
    <s v="NO APLICA"/>
    <m/>
    <m/>
    <m/>
    <m/>
    <m/>
    <m/>
    <m/>
    <m/>
    <m/>
    <m/>
    <m/>
    <m/>
    <m/>
    <m/>
    <m/>
    <s v="SI"/>
    <n v="0.05"/>
    <d v="2017-01-24T00:00:00"/>
    <n v="51561.88"/>
    <m/>
    <m/>
    <m/>
    <m/>
    <m/>
    <m/>
    <m/>
    <m/>
    <m/>
    <m/>
    <m/>
    <m/>
    <m/>
    <m/>
    <m/>
    <m/>
    <m/>
    <m/>
    <m/>
    <m/>
    <m/>
    <m/>
    <m/>
    <m/>
    <m/>
    <m/>
    <m/>
    <n v="51561.88"/>
    <m/>
    <m/>
    <m/>
    <m/>
    <m/>
    <m/>
    <m/>
    <n v="120"/>
    <s v="DESDE LA NOTIFICACIÓN DE LA ENTREGA DEL ANTICIPO"/>
    <d v="2017-01-25T00:00:00"/>
    <d v="2017-05-25T00:00:00"/>
    <m/>
    <m/>
    <m/>
    <m/>
    <m/>
    <m/>
    <m/>
    <m/>
    <m/>
    <m/>
    <m/>
    <m/>
    <m/>
    <m/>
    <m/>
    <m/>
    <m/>
    <m/>
    <m/>
    <m/>
    <m/>
    <m/>
    <m/>
    <m/>
    <m/>
    <m/>
    <m/>
    <m/>
    <m/>
    <m/>
    <m/>
    <m/>
    <m/>
    <m/>
    <m/>
    <m/>
    <n v="0"/>
    <n v="0"/>
    <n v="0"/>
    <n v="0.6"/>
    <n v="1"/>
    <n v="1"/>
    <n v="1"/>
    <n v="1"/>
    <n v="1"/>
    <n v="1"/>
    <n v="1"/>
    <n v="1"/>
    <n v="1"/>
    <n v="1"/>
    <n v="1"/>
    <n v="1"/>
    <n v="1"/>
    <n v="1"/>
    <n v="1"/>
    <n v="1"/>
    <x v="0"/>
    <n v="1"/>
    <n v="1"/>
    <n v="1"/>
    <x v="0"/>
    <s v="si"/>
    <s v="si"/>
    <s v="si"/>
    <s v="si"/>
    <s v="si"/>
    <s v="si"/>
    <s v="si"/>
    <x v="0"/>
    <s v="si"/>
    <s v="si"/>
    <s v="si"/>
    <m/>
    <m/>
    <m/>
    <m/>
    <m/>
    <m/>
    <m/>
    <m/>
    <m/>
    <m/>
    <s v="PLAZO DESDE LA PUBLICACIÓN HASTA LA ENTREGA DE OFERTA MENOR AL ESTABLECIDO EN LAS POLÍTICAS DEL BID II, EN ESTE PROYECTO NO HAY AVANCE PORQUE ESTA SUPEDITADO A LA EJECUCIÓN DE LA OBRA CIVIL, CNEL BOLIVAR DEBERÁ REMITIR UNA JUSTIFICACIÓN PARA SUSTENTAR QUE ESTE PROYECTO NO REFLEJA AVANCE"/>
    <m/>
    <s v="AUTORIZADO MEDIANTE OFICIO Nro. MINFIN-SRF-2017-0216-O DE 17 DE MARZO DE 2017"/>
    <m/>
  </r>
  <r>
    <x v="12"/>
    <s v="OBRAS"/>
    <x v="0"/>
    <s v="Proyectos de expansión y refuerzo en el Sistema Nacional de Distribución"/>
    <x v="3"/>
    <x v="3"/>
    <x v="1"/>
    <s v="ESMERALDAS"/>
    <x v="25"/>
    <n v="1"/>
    <x v="0"/>
    <s v="BID2-RSND-CNELESM-ST-OB-001"/>
    <s v=" CONSTRUCCIÓN DEL SISTEMA DE SUBTRANSMISIÓN PRADERA"/>
    <m/>
    <s v="LPN"/>
    <s v="ex-post"/>
    <s v="EJECUTADO BID"/>
    <s v="BID2-RSND-CNELESM-ST-OB-001"/>
    <s v="CONSORCIO PRADERA"/>
    <s v="ECUATORIANA"/>
    <s v="PERSONA JURÍDICA"/>
    <s v="COFEKA CIA. LTDA.  0 990600147001 CONZACK S.A. - 0992590882001 "/>
    <m/>
    <m/>
    <m/>
    <m/>
    <m/>
    <n v="2665143.4500000002"/>
    <n v="0"/>
    <n v="2665143.4500000002"/>
    <n v="197695.84"/>
    <n v="2862839.29"/>
    <n v="0.12"/>
    <n v="319817.21400000004"/>
    <n v="197695.84"/>
    <n v="3206380.0048000002"/>
    <n v="2559201.12"/>
    <n v="105942.33000000007"/>
    <m/>
    <m/>
    <n v="2665143.4500000002"/>
    <m/>
    <n v="2559201.12"/>
    <n v="0.14000000000000001"/>
    <n v="358288.15680000006"/>
    <n v="2917489.2768000001"/>
    <m/>
    <m/>
    <m/>
    <m/>
    <m/>
    <m/>
    <m/>
    <m/>
    <m/>
    <m/>
    <m/>
    <n v="105942.33000000007"/>
    <n v="105942.33000000007"/>
    <s v="RESOLUCIÓN No.010-2017 DEL 05 ENERO DE 2017"/>
    <s v="NO APLICA"/>
    <s v="NO APLICA"/>
    <s v="NO APLICA"/>
    <s v="NO APLICA"/>
    <s v="NO APLICA"/>
    <d v="2017-01-05T00:00:00"/>
    <d v="2017-01-24T00:00:00"/>
    <d v="2017-01-30T00:00:00"/>
    <d v="2017-02-07T00:00:00"/>
    <s v="NO APLICA"/>
    <d v="2017-03-01T00:00:00"/>
    <d v="2017-03-08T00:00:00"/>
    <s v="NO APLICA"/>
    <s v="NO APLICA"/>
    <s v="NO APLICA"/>
    <d v="2017-05-08T00:00:00"/>
    <s v="NO APLICA"/>
    <d v="2017-05-18T00:00:00"/>
    <d v="2017-05-18T00:00:00"/>
    <s v="NO APLICA"/>
    <s v="NO APLICA"/>
    <s v="NO APLICA"/>
    <m/>
    <m/>
    <m/>
    <m/>
    <m/>
    <m/>
    <m/>
    <m/>
    <m/>
    <m/>
    <m/>
    <m/>
    <m/>
    <m/>
    <m/>
    <s v="NO APLICA"/>
    <s v="NO APLICA"/>
    <d v="2017-07-04T00:00:00"/>
    <n v="1279600.56"/>
    <s v="Pago 1/4 - Anticipo; 50%"/>
    <d v="2017-12-29T00:00:00"/>
    <n v="511840.23"/>
    <s v="Pago 2/4 - Planilla 2; 40%"/>
    <d v="2018-01-15T00:00:00"/>
    <n v="511840.22"/>
    <s v="Pago 3/4 - Planilla 3; 40%"/>
    <m/>
    <m/>
    <m/>
    <m/>
    <m/>
    <m/>
    <m/>
    <m/>
    <m/>
    <m/>
    <m/>
    <m/>
    <m/>
    <m/>
    <m/>
    <m/>
    <m/>
    <m/>
    <m/>
    <m/>
    <n v="2303281.0099999998"/>
    <m/>
    <m/>
    <m/>
    <m/>
    <m/>
    <m/>
    <m/>
    <n v="210"/>
    <s v="DESDE LA NOTIFICACIÓN DE LA ENTREGA DEL ANTICIPO"/>
    <d v="2017-07-05T00:00:00"/>
    <d v="2018-01-31T00:00:00"/>
    <m/>
    <m/>
    <m/>
    <m/>
    <m/>
    <m/>
    <m/>
    <m/>
    <m/>
    <m/>
    <m/>
    <m/>
    <m/>
    <m/>
    <m/>
    <m/>
    <m/>
    <m/>
    <m/>
    <m/>
    <m/>
    <m/>
    <m/>
    <m/>
    <m/>
    <m/>
    <m/>
    <m/>
    <m/>
    <m/>
    <m/>
    <m/>
    <m/>
    <m/>
    <m/>
    <m/>
    <m/>
    <m/>
    <m/>
    <n v="0"/>
    <n v="0.05"/>
    <n v="0.18"/>
    <n v="0.4"/>
    <n v="0.45"/>
    <n v="0.5"/>
    <n v="0.99"/>
    <n v="0.99"/>
    <n v="0.99"/>
    <n v="0.99"/>
    <n v="0.99"/>
    <n v="1"/>
    <n v="1"/>
    <n v="1"/>
    <n v="1"/>
    <n v="1"/>
    <n v="1"/>
    <x v="0"/>
    <n v="1"/>
    <n v="1"/>
    <n v="1"/>
    <x v="0"/>
    <s v="no"/>
    <s v="no"/>
    <s v="no"/>
    <s v="no"/>
    <s v="no"/>
    <s v="si"/>
    <s v="si"/>
    <x v="0"/>
    <s v="si"/>
    <s v="si"/>
    <s v="si"/>
    <s v="En trámites de pago, planllas finales. _x000a_En espera de avales para suscripción de contrato complementario"/>
    <s v="En trámites de pago, planllas finales. _x000a_En espera de avales para suscripción de contrato complementario"/>
    <s v="En espera de informe técnico para pago de planilla final del 100% del contrato inicial. _x000a_Se espera que cuando el MEF de el aval, frmar el contrato complementario para lo cual ya hay los justificativos técnicos para los incremtnos suscitados"/>
    <m/>
    <s v="En etapa final de pago, financiero."/>
    <s v="liquidado"/>
    <m/>
    <m/>
    <m/>
    <m/>
    <m/>
    <m/>
    <s v="AUTORIZADO MEDIANTE OFICIO Nro. MINFIN-SRF-2017-0216-O DE 17 DE MARZO DE 2017"/>
    <m/>
  </r>
  <r>
    <x v="12"/>
    <s v="OBRAS"/>
    <x v="0"/>
    <s v="Proyectos de expansión y refuerzo en el Sistema Nacional de Distribución"/>
    <x v="0"/>
    <x v="0"/>
    <x v="0"/>
    <s v="ESMERALDAS"/>
    <x v="26"/>
    <n v="2"/>
    <x v="0"/>
    <s v="BID2-RSND-CNELESM-DI-OB-003"/>
    <s v="CONSTRUCCIÓN ALIMENTADOR LA SEXTA"/>
    <m/>
    <s v="LPN"/>
    <s v="ex-post"/>
    <s v="EJECUTADO BID"/>
    <s v="BID2-RSND-CNELESM-DI-OB-003"/>
    <s v="LEONIDAS SILVERIO SÁNCHEZ OBANDO"/>
    <s v="ECUATORIANA"/>
    <s v="PERSONA NATURAL"/>
    <s v="1714848122001"/>
    <m/>
    <m/>
    <m/>
    <m/>
    <m/>
    <n v="196068.47"/>
    <n v="0"/>
    <n v="196068.47"/>
    <n v="0"/>
    <n v="196068.47"/>
    <n v="0.12"/>
    <n v="23528.216399999998"/>
    <n v="0"/>
    <n v="219596.68640000004"/>
    <n v="195626.61"/>
    <n v="441.86000000001513"/>
    <m/>
    <m/>
    <n v="196068.46211841598"/>
    <m/>
    <n v="195831.16"/>
    <m/>
    <m/>
    <m/>
    <m/>
    <m/>
    <m/>
    <m/>
    <m/>
    <m/>
    <m/>
    <m/>
    <m/>
    <m/>
    <m/>
    <n v="237.30999999999767"/>
    <n v="237.30999999999767"/>
    <s v="PUBLICADO EN EL PORTAL WEB DE CNEL"/>
    <s v="NO APLICA"/>
    <s v="NO APLICA"/>
    <s v="NO APLICA"/>
    <s v="NO APLICA"/>
    <s v="NO APLICA"/>
    <d v="2015-09-03T00:00:00"/>
    <d v="2015-09-14T00:00:00"/>
    <d v="2015-09-21T00:00:00"/>
    <d v="2015-09-30T00:00:00"/>
    <s v="NO APLICA"/>
    <d v="2015-10-15T00:00:00"/>
    <d v="2015-10-22T00:00:00"/>
    <s v="NO APLICA"/>
    <s v="NO APLICA"/>
    <s v="NO APLICA"/>
    <d v="2015-12-01T00:00:00"/>
    <s v="NO APLICA"/>
    <d v="2015-12-02T00:00:00"/>
    <d v="2015-12-11T00:00:00"/>
    <s v="NO APLICA"/>
    <s v="NO APLICA"/>
    <s v="NO APLICA"/>
    <m/>
    <s v="ü"/>
    <m/>
    <m/>
    <m/>
    <m/>
    <m/>
    <m/>
    <m/>
    <m/>
    <m/>
    <m/>
    <m/>
    <s v="ü"/>
    <s v="NO APLICA"/>
    <s v="SI"/>
    <n v="0.05"/>
    <d v="2016-02-18T00:00:00"/>
    <n v="97915.58"/>
    <m/>
    <d v="2016-11-01T00:00:00"/>
    <n v="97711.03"/>
    <m/>
    <m/>
    <m/>
    <m/>
    <m/>
    <m/>
    <m/>
    <m/>
    <m/>
    <m/>
    <m/>
    <m/>
    <m/>
    <m/>
    <m/>
    <m/>
    <m/>
    <m/>
    <m/>
    <m/>
    <m/>
    <m/>
    <m/>
    <m/>
    <n v="195626.61"/>
    <m/>
    <m/>
    <m/>
    <m/>
    <m/>
    <m/>
    <m/>
    <n v="120"/>
    <s v="DESDE LA NOTIFICACIÓN DE LA ENTREGA DEL ANTICIPO"/>
    <d v="2016-02-19T00:00:00"/>
    <d v="2016-06-18T00:00:00"/>
    <m/>
    <m/>
    <m/>
    <m/>
    <m/>
    <m/>
    <m/>
    <m/>
    <m/>
    <m/>
    <m/>
    <m/>
    <m/>
    <m/>
    <m/>
    <m/>
    <m/>
    <m/>
    <m/>
    <m/>
    <m/>
    <m/>
    <m/>
    <m/>
    <m/>
    <n v="0.16"/>
    <n v="0.5"/>
    <n v="0.86"/>
    <n v="0.86"/>
    <n v="0.9"/>
    <n v="1"/>
    <n v="1"/>
    <n v="1"/>
    <n v="1"/>
    <n v="1"/>
    <n v="1"/>
    <n v="1"/>
    <n v="1"/>
    <n v="1"/>
    <n v="1"/>
    <n v="1"/>
    <n v="1"/>
    <n v="1"/>
    <n v="1"/>
    <n v="1"/>
    <n v="1"/>
    <n v="1"/>
    <n v="1"/>
    <n v="1"/>
    <n v="1"/>
    <n v="1"/>
    <n v="1"/>
    <n v="1"/>
    <n v="1"/>
    <n v="1"/>
    <n v="1"/>
    <x v="0"/>
    <n v="1"/>
    <n v="1"/>
    <n v="1"/>
    <x v="0"/>
    <s v="si"/>
    <s v="si"/>
    <s v="si"/>
    <s v="si"/>
    <s v="si"/>
    <s v="si"/>
    <s v="si"/>
    <x v="0"/>
    <s v="si"/>
    <s v="si"/>
    <s v="si"/>
    <m/>
    <m/>
    <m/>
    <m/>
    <m/>
    <m/>
    <m/>
    <m/>
    <m/>
    <m/>
    <s v="LIQUIDACIÓN DE PROYECTO"/>
    <s v="VER EN EL ACTA DE ENTREGA RECEPCIÓN PORQUE EXISTE UNA DIFERENCIA ENTRE EL VALOR LIQUIDAD RESPECTO DEL VALOR CONTRATADO"/>
    <m/>
    <m/>
  </r>
  <r>
    <x v="12"/>
    <s v="OBRAS"/>
    <x v="0"/>
    <s v="Proyectos de expansión y refuerzo en el Sistema Nacional de Distribución"/>
    <x v="0"/>
    <x v="0"/>
    <x v="0"/>
    <s v="ESMERALDAS"/>
    <x v="27"/>
    <n v="3"/>
    <x v="0"/>
    <s v="BID2-RSND-CNELESM-DI-OB-008"/>
    <s v="CONSTRUCCIÓN ALIMENTADOR PLAYA ATACAMES"/>
    <m/>
    <s v="LPN"/>
    <s v="ex-post"/>
    <s v="EJECUTADO BID"/>
    <s v="BID2-RSND-CNELESM-DI-OB-008"/>
    <s v="WILMER ERNESTO GUSQUI LLAMUCA"/>
    <s v="ECUATORIANA"/>
    <s v="PERSONA NATURAL"/>
    <s v="1308626074001"/>
    <s v="DATO PENDIENTE"/>
    <s v="DATO PENDIENTE"/>
    <s v="ING. LIBER EDIN MOSQUERA CUERO"/>
    <s v="DATO PENDIENTE"/>
    <m/>
    <n v="181140.57"/>
    <n v="0"/>
    <n v="181140.57"/>
    <n v="0"/>
    <n v="181140.57"/>
    <n v="0.12"/>
    <n v="21736.868399999999"/>
    <n v="0"/>
    <n v="202877.43840000001"/>
    <n v="160589.86000000002"/>
    <n v="20550.709999999992"/>
    <m/>
    <m/>
    <n v="181140.57"/>
    <m/>
    <n v="179004.21"/>
    <m/>
    <m/>
    <m/>
    <m/>
    <m/>
    <m/>
    <m/>
    <m/>
    <m/>
    <m/>
    <m/>
    <m/>
    <m/>
    <m/>
    <n v="2136.3600000000151"/>
    <n v="2136.3600000000151"/>
    <s v="PUBLICADO EN EL PORTAL WEB DE CNEL"/>
    <s v="NO APLICA"/>
    <s v="NO APLICA"/>
    <s v="NO APLICA"/>
    <s v="NO APLICA"/>
    <s v="NO APLICA"/>
    <d v="2015-12-08T00:00:00"/>
    <d v="2015-12-22T00:00:00"/>
    <d v="2015-12-28T00:00:00"/>
    <d v="2016-01-08T00:00:00"/>
    <s v="NO APLICA"/>
    <d v="2016-01-28T00:00:00"/>
    <d v="2016-02-05T00:00:00"/>
    <s v="NO APLICA"/>
    <s v="NO APLICA"/>
    <s v="NO APLICA"/>
    <d v="2016-07-21T00:00:00"/>
    <s v="NO APLICA"/>
    <d v="2016-07-26T00:00:00"/>
    <d v="2016-07-26T00:00:00"/>
    <s v="NO APLICA"/>
    <s v="NO APLICA"/>
    <s v="NO APLICA"/>
    <m/>
    <s v="ü"/>
    <m/>
    <m/>
    <m/>
    <m/>
    <m/>
    <m/>
    <m/>
    <m/>
    <m/>
    <m/>
    <m/>
    <s v="ü"/>
    <s v="NO APLICA"/>
    <s v="SI"/>
    <n v="0.05"/>
    <d v="2016-09-16T00:00:00"/>
    <n v="89502.104999999996"/>
    <m/>
    <d v="2016-12-29T00:00:00"/>
    <n v="36004.19"/>
    <m/>
    <m/>
    <m/>
    <m/>
    <m/>
    <m/>
    <m/>
    <m/>
    <m/>
    <m/>
    <m/>
    <m/>
    <m/>
    <m/>
    <m/>
    <m/>
    <m/>
    <m/>
    <m/>
    <m/>
    <m/>
    <m/>
    <m/>
    <m/>
    <n v="125506.295"/>
    <m/>
    <m/>
    <m/>
    <m/>
    <m/>
    <m/>
    <m/>
    <n v="120"/>
    <s v="DESDE LA NOTIFICACIÓN DE LA ENTREGA DEL ANTICIPO"/>
    <d v="2016-09-17T00:00:00"/>
    <d v="2017-01-15T00:00:00"/>
    <m/>
    <m/>
    <m/>
    <m/>
    <m/>
    <m/>
    <m/>
    <m/>
    <m/>
    <m/>
    <m/>
    <m/>
    <m/>
    <m/>
    <m/>
    <m/>
    <m/>
    <m/>
    <m/>
    <m/>
    <m/>
    <m/>
    <m/>
    <m/>
    <m/>
    <m/>
    <m/>
    <m/>
    <m/>
    <m/>
    <m/>
    <n v="0.06"/>
    <n v="0.06"/>
    <n v="0.36"/>
    <n v="0.6"/>
    <n v="0.7"/>
    <n v="0.72"/>
    <n v="0.8"/>
    <n v="0.8"/>
    <n v="1"/>
    <n v="1"/>
    <n v="1"/>
    <n v="1"/>
    <n v="1"/>
    <n v="1"/>
    <n v="1"/>
    <n v="1"/>
    <n v="1"/>
    <n v="1"/>
    <n v="1"/>
    <n v="1"/>
    <n v="1"/>
    <n v="1"/>
    <n v="1"/>
    <n v="1"/>
    <n v="1"/>
    <x v="0"/>
    <n v="1"/>
    <n v="1"/>
    <n v="1"/>
    <x v="0"/>
    <s v="no"/>
    <s v="no"/>
    <s v="no"/>
    <s v="no"/>
    <s v="no"/>
    <s v="no"/>
    <s v="si"/>
    <x v="0"/>
    <s v="si"/>
    <s v="si"/>
    <s v="si"/>
    <m/>
    <m/>
    <m/>
    <m/>
    <s v="En etapa final de pago, financiero."/>
    <m/>
    <s v="Liquidado en febrero de 2019"/>
    <m/>
    <m/>
    <m/>
    <s v="CONTRATO LIQUIDADO"/>
    <m/>
    <m/>
    <m/>
  </r>
  <r>
    <x v="12"/>
    <s v="OBRAS"/>
    <x v="1"/>
    <s v="Mejoramiento de la eficiencia y fiabilidad de la red"/>
    <x v="6"/>
    <x v="6"/>
    <x v="0"/>
    <s v="ESMERALDAS"/>
    <x v="28"/>
    <n v="4"/>
    <x v="0"/>
    <s v="BID2-RSND-CNELESM-AU-OB-005"/>
    <s v="HABILITACIÓN E INTEGRACIÓN DE SISTEMA DE MEDICIÓN DE SUBESTACIONES Y ALIMENTADORES AL CENTRO DE CONTROL"/>
    <m/>
    <s v="LPN"/>
    <s v="ex-post"/>
    <s v="EJECUTADO BID"/>
    <s v="BID2-RSND-CNELESM-AU-OB-005"/>
    <s v="MACRONIVEL S.A"/>
    <s v="ECUATORIANA"/>
    <s v="PERSONA JURÍDICA"/>
    <s v="0992715723001"/>
    <m/>
    <m/>
    <m/>
    <m/>
    <m/>
    <n v="127000"/>
    <n v="0"/>
    <n v="127000"/>
    <n v="0"/>
    <n v="127000"/>
    <n v="0.12"/>
    <n v="15240"/>
    <n v="0"/>
    <n v="142240"/>
    <n v="125518.06"/>
    <n v="1481.9400000000023"/>
    <m/>
    <m/>
    <n v="126999.99999999999"/>
    <m/>
    <n v="125523.97"/>
    <m/>
    <m/>
    <m/>
    <m/>
    <m/>
    <m/>
    <m/>
    <m/>
    <m/>
    <m/>
    <m/>
    <m/>
    <m/>
    <m/>
    <n v="1476.0299999999988"/>
    <n v="1476.0299999999988"/>
    <s v="PUBLICADO EN EL PORTAL WEB DE CNEL"/>
    <s v="NO APLICA"/>
    <s v="NO APLICA"/>
    <s v="NO APLICA"/>
    <s v="NO APLICA"/>
    <s v="NO APLICA"/>
    <d v="2015-09-04T00:00:00"/>
    <d v="2015-09-14T00:00:00"/>
    <d v="2015-09-21T00:00:00"/>
    <d v="2016-10-05T00:00:00"/>
    <s v="NO APLICA"/>
    <d v="2016-10-20T00:00:00"/>
    <d v="2016-10-27T00:00:00"/>
    <s v="NO APLICA"/>
    <s v="NO APLICA"/>
    <s v="NO APLICA"/>
    <d v="2015-12-04T00:00:00"/>
    <s v="NO APLICA"/>
    <d v="2015-12-04T00:00:00"/>
    <d v="2015-12-14T00:00:00"/>
    <s v="NO APLICA"/>
    <s v="NO APLICA"/>
    <s v="NO APLICA"/>
    <m/>
    <s v="ü"/>
    <m/>
    <m/>
    <m/>
    <m/>
    <m/>
    <m/>
    <m/>
    <m/>
    <m/>
    <m/>
    <m/>
    <s v="ü"/>
    <s v="NO APLICA"/>
    <s v="SI"/>
    <n v="0.05"/>
    <d v="2016-02-18T00:00:00"/>
    <n v="62761.98"/>
    <m/>
    <d v="2016-11-10T00:00:00"/>
    <n v="62756.08"/>
    <m/>
    <m/>
    <m/>
    <m/>
    <m/>
    <m/>
    <m/>
    <m/>
    <m/>
    <m/>
    <m/>
    <m/>
    <m/>
    <m/>
    <m/>
    <m/>
    <m/>
    <m/>
    <m/>
    <m/>
    <m/>
    <m/>
    <m/>
    <m/>
    <n v="125518.06"/>
    <m/>
    <m/>
    <m/>
    <m/>
    <m/>
    <m/>
    <m/>
    <n v="150"/>
    <s v="DESDE LA NOTIFICACIÓN DE LA ENTREGA DEL ANTICIPO"/>
    <d v="2016-02-19T00:00:00"/>
    <d v="2016-07-18T00:00:00"/>
    <m/>
    <m/>
    <m/>
    <m/>
    <m/>
    <m/>
    <m/>
    <m/>
    <m/>
    <m/>
    <m/>
    <m/>
    <m/>
    <m/>
    <m/>
    <m/>
    <m/>
    <m/>
    <m/>
    <m/>
    <m/>
    <m/>
    <m/>
    <m/>
    <m/>
    <n v="0.26"/>
    <n v="0.26"/>
    <n v="0.26"/>
    <n v="0.26"/>
    <n v="0.96"/>
    <n v="1"/>
    <n v="1"/>
    <n v="1"/>
    <n v="1"/>
    <n v="1"/>
    <n v="1"/>
    <n v="1"/>
    <n v="1"/>
    <n v="1"/>
    <n v="1"/>
    <n v="1"/>
    <n v="1"/>
    <n v="1"/>
    <n v="1"/>
    <n v="1"/>
    <n v="1"/>
    <n v="1"/>
    <n v="1"/>
    <n v="1"/>
    <n v="1"/>
    <n v="1"/>
    <n v="1"/>
    <n v="1"/>
    <n v="1"/>
    <n v="1"/>
    <n v="1"/>
    <x v="0"/>
    <n v="1"/>
    <n v="1"/>
    <n v="1"/>
    <x v="0"/>
    <s v="si"/>
    <s v="si"/>
    <s v="si"/>
    <s v="si"/>
    <s v="si"/>
    <s v="si"/>
    <s v="si"/>
    <x v="0"/>
    <s v="si"/>
    <s v="si"/>
    <s v="si"/>
    <m/>
    <m/>
    <m/>
    <m/>
    <m/>
    <m/>
    <m/>
    <m/>
    <m/>
    <m/>
    <s v="CONTRATO LIQUIDADO"/>
    <m/>
    <m/>
    <m/>
  </r>
  <r>
    <x v="12"/>
    <s v="OBRAS"/>
    <x v="1"/>
    <s v="Mejoramiento de la eficiencia y fiabilidad de la red"/>
    <x v="2"/>
    <x v="2"/>
    <x v="0"/>
    <s v="ESMERALDAS"/>
    <x v="29"/>
    <n v="5"/>
    <x v="0"/>
    <s v="BID2-RSND-CNELESM-AU-OB-007"/>
    <s v="READECUACIONES DE OBRAS CIVILES Y COMUNICACIONES EN SUBESTACIONES Y CENTRO DE CONTROL PARA IMPLEMENTACIÓN DE SISTEMA SCADA"/>
    <m/>
    <s v="LPN"/>
    <s v="ex-post"/>
    <s v="EJECUTADO BID"/>
    <s v="BID2-RSND-CNELESM-AU-OB-007"/>
    <s v="ING. DARWIN EDUARDO RACINES VIZUETE "/>
    <s v="ECUATORIANA"/>
    <s v="PERSONA NATURAL"/>
    <s v="1708448970001"/>
    <s v="DATO PENDIENTE"/>
    <s v="DATO PENDIENTE"/>
    <s v="ING. EMILIO FELICIANO VALENCIA RENTERIA"/>
    <s v="DATO PENDIENTE"/>
    <m/>
    <n v="92000"/>
    <n v="0"/>
    <n v="92000"/>
    <n v="0"/>
    <n v="92000"/>
    <n v="0.12"/>
    <n v="11040"/>
    <n v="0"/>
    <n v="103040.00000000001"/>
    <n v="90380.860000000015"/>
    <n v="1619.1399999999849"/>
    <m/>
    <m/>
    <n v="91999.999999999985"/>
    <m/>
    <n v="90404.58"/>
    <m/>
    <m/>
    <m/>
    <m/>
    <m/>
    <m/>
    <m/>
    <m/>
    <m/>
    <m/>
    <m/>
    <m/>
    <m/>
    <m/>
    <n v="1595.4199999999983"/>
    <n v="1595.4199999999983"/>
    <s v="PUBLICADO EN EL PORTAL WEB DE CNEL"/>
    <s v="NO APLICA"/>
    <s v="NO APLICA"/>
    <s v="NO APLICA"/>
    <s v="NO APLICA"/>
    <s v="NO APLICA"/>
    <d v="2015-11-27T00:00:00"/>
    <d v="2015-12-11T00:00:00"/>
    <d v="2015-12-18T00:00:00"/>
    <d v="2015-12-24T00:00:00"/>
    <s v="NO APLICA"/>
    <d v="2016-01-11T00:00:00"/>
    <d v="2016-01-19T00:00:00"/>
    <s v="NO APLICA"/>
    <s v="NO APLICA"/>
    <s v="NO APLICA"/>
    <d v="2016-07-21T00:00:00"/>
    <s v="NO APLICA"/>
    <d v="2016-07-26T00:00:00"/>
    <d v="2016-07-26T00:00:00"/>
    <s v="NO APLICA"/>
    <s v="NO APLICA"/>
    <s v="NO APLICA"/>
    <m/>
    <s v="ü"/>
    <m/>
    <m/>
    <m/>
    <m/>
    <m/>
    <m/>
    <m/>
    <m/>
    <m/>
    <m/>
    <m/>
    <s v="ü"/>
    <s v="NO APLICA"/>
    <s v="SI"/>
    <n v="0.05"/>
    <d v="2016-09-16T00:00:00"/>
    <n v="45202.29"/>
    <s v="Pago 2/4 - Planilla 1;20 %"/>
    <d v="2017-01-05T00:00:00"/>
    <n v="22274.160000000003"/>
    <m/>
    <m/>
    <m/>
    <m/>
    <m/>
    <m/>
    <m/>
    <m/>
    <m/>
    <m/>
    <m/>
    <m/>
    <m/>
    <m/>
    <m/>
    <m/>
    <m/>
    <m/>
    <m/>
    <m/>
    <m/>
    <m/>
    <m/>
    <m/>
    <n v="67476.450000000012"/>
    <m/>
    <m/>
    <m/>
    <m/>
    <m/>
    <m/>
    <m/>
    <n v="120"/>
    <s v="DESDE LA NOTIFICACIÓN DE LA ENTREGA DEL ANTICIPO"/>
    <d v="2016-09-17T00:00:00"/>
    <d v="2017-01-15T00:00:00"/>
    <m/>
    <m/>
    <m/>
    <m/>
    <m/>
    <m/>
    <m/>
    <m/>
    <m/>
    <m/>
    <m/>
    <m/>
    <m/>
    <m/>
    <m/>
    <m/>
    <m/>
    <m/>
    <m/>
    <m/>
    <m/>
    <m/>
    <m/>
    <m/>
    <m/>
    <m/>
    <m/>
    <m/>
    <m/>
    <m/>
    <m/>
    <n v="0.1"/>
    <n v="0.42"/>
    <n v="0.57999999999999996"/>
    <n v="0.76"/>
    <n v="0.76"/>
    <n v="1"/>
    <n v="1"/>
    <n v="1"/>
    <n v="1"/>
    <n v="1"/>
    <n v="1"/>
    <n v="1"/>
    <n v="1"/>
    <n v="1"/>
    <n v="1"/>
    <n v="1"/>
    <n v="1"/>
    <n v="1"/>
    <n v="1"/>
    <n v="1"/>
    <n v="1"/>
    <n v="1"/>
    <n v="1"/>
    <n v="1"/>
    <n v="1"/>
    <x v="0"/>
    <n v="1"/>
    <n v="1"/>
    <n v="1"/>
    <x v="0"/>
    <s v="no"/>
    <s v="no"/>
    <s v="no"/>
    <s v="no"/>
    <s v="si"/>
    <s v="si"/>
    <s v="si"/>
    <x v="0"/>
    <s v="si"/>
    <s v="si"/>
    <s v="si"/>
    <m/>
    <m/>
    <m/>
    <m/>
    <s v="Esta liquidado"/>
    <m/>
    <m/>
    <m/>
    <m/>
    <m/>
    <s v="CONTRATO EN EJECUCIÓN"/>
    <m/>
    <m/>
    <m/>
  </r>
  <r>
    <x v="12"/>
    <s v="OBRAS"/>
    <x v="0"/>
    <s v="Proyectos de expansión y refuerzo en el Sistema Nacional de Distribución"/>
    <x v="3"/>
    <x v="3"/>
    <x v="0"/>
    <s v="ESMERALDAS"/>
    <x v="30"/>
    <n v="6"/>
    <x v="0"/>
    <s v="BID2-RSND-CNELESM-DI-OB-002"/>
    <s v="REPOTENCIACIÓN DE SALIDAS SUBTERRÁNEAS DE LOS ALIMENTADORES PRIMARIOS DE LAS SUBESTACIONES DE LA UNIDAD DE NEGOCIO ESMERALDAS"/>
    <m/>
    <s v="LPN"/>
    <s v="ex-post"/>
    <s v="EJECUTADO BID"/>
    <s v="BID2-RSND-CNELESM-DI-OB-002"/>
    <s v="MACRONIVEL S.A"/>
    <s v="ECUATORIANA"/>
    <s v="PERSONA JURÍDICA"/>
    <s v="0992715723001"/>
    <m/>
    <m/>
    <m/>
    <m/>
    <m/>
    <n v="178141.84"/>
    <n v="0"/>
    <n v="178141.84"/>
    <n v="0"/>
    <n v="178141.84"/>
    <n v="0.12"/>
    <n v="21377.020799999998"/>
    <n v="0"/>
    <n v="199518.86080000002"/>
    <n v="172987.84"/>
    <n v="5154"/>
    <m/>
    <m/>
    <n v="178141.83999999997"/>
    <m/>
    <n v="175387.84"/>
    <m/>
    <m/>
    <m/>
    <m/>
    <m/>
    <m/>
    <m/>
    <m/>
    <m/>
    <m/>
    <m/>
    <m/>
    <m/>
    <m/>
    <n v="2754"/>
    <n v="2754"/>
    <s v="PUBLICADO EN EL PORTAL WEB DE CNEL"/>
    <s v="NO APLICA"/>
    <s v="NO APLICA"/>
    <s v="NO APLICA"/>
    <s v="NO APLICA"/>
    <s v="NO APLICA"/>
    <d v="2015-09-04T00:00:00"/>
    <d v="2015-09-14T00:00:00"/>
    <d v="2015-09-21T00:00:00"/>
    <d v="2015-10-05T00:00:00"/>
    <s v="NO APLICA"/>
    <d v="2015-10-20T00:00:00"/>
    <d v="2015-10-27T00:00:00"/>
    <s v="NO APLICA"/>
    <s v="NO APLICA"/>
    <s v="NO APLICA"/>
    <d v="2015-12-04T00:00:00"/>
    <s v="NO APLICA"/>
    <d v="2015-12-09T00:00:00"/>
    <d v="2015-12-15T00:00:00"/>
    <s v="NO APLICA"/>
    <s v="NO APLICA"/>
    <s v="NO APLICA"/>
    <m/>
    <s v="ü"/>
    <m/>
    <m/>
    <m/>
    <m/>
    <m/>
    <m/>
    <m/>
    <m/>
    <m/>
    <m/>
    <m/>
    <s v="ü"/>
    <s v="NO APLICA"/>
    <s v="SI"/>
    <n v="0.05"/>
    <d v="2016-02-18T00:00:00"/>
    <n v="87693.92"/>
    <m/>
    <d v="2016-10-18T00:00:00"/>
    <n v="85293.92"/>
    <m/>
    <m/>
    <m/>
    <m/>
    <m/>
    <m/>
    <m/>
    <m/>
    <m/>
    <m/>
    <m/>
    <m/>
    <m/>
    <m/>
    <m/>
    <m/>
    <m/>
    <m/>
    <m/>
    <m/>
    <m/>
    <m/>
    <m/>
    <m/>
    <n v="172987.84"/>
    <m/>
    <m/>
    <m/>
    <m/>
    <m/>
    <m/>
    <m/>
    <n v="120"/>
    <s v="DESDE LA NOTIFICACIÓN DE LA ENTREGA DEL ANTICIPO"/>
    <d v="2016-02-19T00:00:00"/>
    <d v="2016-06-18T00:00:00"/>
    <m/>
    <m/>
    <m/>
    <m/>
    <m/>
    <m/>
    <m/>
    <m/>
    <m/>
    <m/>
    <m/>
    <m/>
    <m/>
    <m/>
    <m/>
    <m/>
    <m/>
    <m/>
    <m/>
    <m/>
    <m/>
    <m/>
    <m/>
    <m/>
    <m/>
    <n v="0.16"/>
    <n v="0.5"/>
    <n v="0.68"/>
    <n v="0.68"/>
    <n v="0.96"/>
    <n v="1"/>
    <n v="1"/>
    <n v="1"/>
    <n v="1"/>
    <n v="1"/>
    <n v="1"/>
    <n v="1"/>
    <n v="1"/>
    <n v="1"/>
    <n v="1"/>
    <n v="1"/>
    <n v="1"/>
    <n v="1"/>
    <n v="1"/>
    <n v="1"/>
    <n v="1"/>
    <n v="1"/>
    <n v="1"/>
    <n v="1"/>
    <n v="1"/>
    <n v="1"/>
    <n v="1"/>
    <n v="1"/>
    <n v="1"/>
    <n v="1"/>
    <n v="1"/>
    <x v="0"/>
    <n v="1"/>
    <n v="1"/>
    <n v="1"/>
    <x v="0"/>
    <s v="si"/>
    <s v="si"/>
    <s v="si"/>
    <s v="si"/>
    <s v="si"/>
    <s v="si"/>
    <s v="si"/>
    <x v="0"/>
    <s v="si"/>
    <s v="si"/>
    <s v="si"/>
    <m/>
    <m/>
    <m/>
    <m/>
    <m/>
    <m/>
    <m/>
    <m/>
    <m/>
    <m/>
    <s v="CONTRATO LIQUIDADO"/>
    <m/>
    <m/>
    <m/>
  </r>
  <r>
    <x v="13"/>
    <s v="OBRAS"/>
    <x v="0"/>
    <s v="Proyectos de expansión y refuerzo en el Sistema Nacional de Distribución"/>
    <x v="3"/>
    <x v="3"/>
    <x v="1"/>
    <s v="GUAYAS"/>
    <x v="31"/>
    <n v="1"/>
    <x v="0"/>
    <s v="BID2-RSND-CNELGY-ST-OB-001"/>
    <s v="CONSTRUCCIÓN DE LA SUBESTACIÓN HUANCAVILCA Y CONSTRUCCIÓN DEL TAP A 69KV PARA ENERGIZAR  A LA SUBESTACIÓN HUANCAVILCA"/>
    <s v="Subestación Huancavilca"/>
    <s v="LPN"/>
    <s v="ex-post"/>
    <s v="EJECUTADO BID"/>
    <s v="BID2-RSND-CNELGY-ST-OB-001"/>
    <s v="INSTALACIONES ELECTROMECÁNICAS S.A. INESA "/>
    <s v="ECUATORIANA"/>
    <s v="PERSONA JURÍDICA"/>
    <s v="0 990632286001"/>
    <s v="ING. JOSÉ LUIS RIERA PERALTA"/>
    <s v="DATO PENDIENTE"/>
    <s v="ING. HECTOR RAFAEL ABADIE RODRIGUEZ"/>
    <s v="DATO PENDIENTE"/>
    <n v="581085.75"/>
    <n v="597593.03"/>
    <n v="581085.75"/>
    <n v="597593.02678571397"/>
    <n v="68907.420000000042"/>
    <n v="666500.44678571401"/>
    <n v="0.12"/>
    <n v="71711.163214285669"/>
    <n v="68907.420000000042"/>
    <n v="746480.50039999979"/>
    <n v="666500.45000000007"/>
    <n v="0"/>
    <m/>
    <m/>
    <n v="597593.0267857142"/>
    <m/>
    <n v="647087.81999999995"/>
    <m/>
    <m/>
    <m/>
    <m/>
    <m/>
    <m/>
    <m/>
    <m/>
    <m/>
    <m/>
    <m/>
    <m/>
    <m/>
    <m/>
    <n v="-49494.789999999921"/>
    <n v="-49494.789999999921"/>
    <s v="DDL, IAO 21.1."/>
    <s v="NO APLICA"/>
    <s v="NO APLICA"/>
    <s v="NO APLICA"/>
    <s v="NO APLICA"/>
    <s v="NO APLICA"/>
    <d v="2015-09-09T00:00:00"/>
    <d v="2015-09-18T00:00:00"/>
    <d v="2015-09-25T00:00:00"/>
    <d v="2015-10-07T00:00:00"/>
    <s v="NO APLICA"/>
    <d v="2016-10-16T00:00:00"/>
    <d v="2015-10-20T00:00:00"/>
    <s v="NO APLICA"/>
    <s v="NO APLICA"/>
    <s v="NO APLICA"/>
    <s v="DATO PENDIENTE"/>
    <s v="NO APLICA"/>
    <d v="2016-01-29T00:00:00"/>
    <d v="2016-01-29T00:00:00"/>
    <s v="NO APLICA"/>
    <s v="NO APLICA"/>
    <s v="NO APLICA"/>
    <m/>
    <s v="ü"/>
    <m/>
    <m/>
    <m/>
    <m/>
    <m/>
    <m/>
    <m/>
    <m/>
    <m/>
    <m/>
    <m/>
    <s v="ü"/>
    <s v="NO APLICA"/>
    <s v="SI"/>
    <n v="0.05"/>
    <d v="2016-06-09T00:00:00"/>
    <n v="323543.90999999997"/>
    <s v="PAGO 2/4 - PLANILLA 1 - 20%"/>
    <d v="2017-03-02T00:00:00"/>
    <n v="129417.56000000003"/>
    <s v="PAGO 3/4 - PLANILLA 2 - 20%"/>
    <d v="2017-04-03T00:00:00"/>
    <n v="129417.57"/>
    <m/>
    <m/>
    <m/>
    <m/>
    <m/>
    <m/>
    <m/>
    <m/>
    <m/>
    <m/>
    <m/>
    <m/>
    <m/>
    <m/>
    <m/>
    <m/>
    <m/>
    <m/>
    <m/>
    <m/>
    <m/>
    <n v="582379.04"/>
    <m/>
    <m/>
    <m/>
    <m/>
    <m/>
    <m/>
    <m/>
    <n v="270"/>
    <s v="DESDE LA NOTIFICACIÓN DE LA ENTREGA DEL ANTICIPO"/>
    <d v="2016-06-10T00:00:00"/>
    <d v="2017-03-07T00:00:00"/>
    <m/>
    <m/>
    <m/>
    <m/>
    <m/>
    <m/>
    <m/>
    <m/>
    <m/>
    <m/>
    <m/>
    <m/>
    <m/>
    <m/>
    <m/>
    <m/>
    <m/>
    <m/>
    <m/>
    <m/>
    <m/>
    <m/>
    <m/>
    <m/>
    <m/>
    <m/>
    <m/>
    <m/>
    <m/>
    <n v="0.09"/>
    <s v="12.5%"/>
    <s v="19.5%"/>
    <s v="19.65%"/>
    <s v="19.65%"/>
    <s v="21.25%"/>
    <n v="0.31"/>
    <s v="71.5%"/>
    <n v="0.94"/>
    <n v="0.94"/>
    <n v="0.99"/>
    <n v="1"/>
    <n v="1"/>
    <n v="1"/>
    <n v="1"/>
    <n v="1"/>
    <n v="1"/>
    <n v="1"/>
    <n v="1"/>
    <n v="1"/>
    <n v="1"/>
    <n v="1"/>
    <n v="1"/>
    <n v="1"/>
    <n v="1"/>
    <n v="1"/>
    <n v="1"/>
    <x v="0"/>
    <n v="1"/>
    <n v="1"/>
    <n v="1"/>
    <x v="0"/>
    <s v="si"/>
    <s v="si"/>
    <s v="si"/>
    <s v="no"/>
    <s v="no"/>
    <s v="si"/>
    <s v="si"/>
    <x v="0"/>
    <s v="si"/>
    <s v="si"/>
    <s v="si"/>
    <m/>
    <m/>
    <m/>
    <m/>
    <s v="Faltan pagos de complementario, en reporte financiero se indica avnce físico de complementario de 70%. Pagado USD 666.500,45"/>
    <s v="Se paga un contrato complmentario por 19.412,63 el 30/11/2018._x000a_Se desconoce si el contrato está o no liquidado."/>
    <s v="21742,15 es el contrato complemtario que aún no esta pagado. 68907,42 saca del bid ii"/>
    <m/>
    <m/>
    <m/>
    <m/>
    <m/>
    <m/>
    <m/>
  </r>
  <r>
    <x v="13"/>
    <s v="OBRAS"/>
    <x v="0"/>
    <s v="Proyectos de expansión y refuerzo en el Sistema Nacional de Distribución"/>
    <x v="3"/>
    <x v="3"/>
    <x v="1"/>
    <s v="GUAYAS"/>
    <x v="32"/>
    <n v="2"/>
    <x v="0"/>
    <s v="BID2-RSND-CNELGY-ST-OB-001"/>
    <s v="CONSTRUCCIÓN DE LA SUBESTACIÓN HUANCAVILCA Y CONSTRUCCIÓN DEL TAP A 69KV PARA ENERGIZAR  A LA SUBESTACIÓN HUANCAVILCA"/>
    <s v="Derivación o TAP para alimentar SE Huancavilca"/>
    <s v="LPN"/>
    <s v="ex-post"/>
    <s v="EJECUTADO BID"/>
    <s v="BID2-RSND-CNELGY-ST-OB-001"/>
    <s v="INSTALACIONES ELECTROMECÁNICAS S.A. INESA "/>
    <s v="ECUATORIANA"/>
    <s v="PERSONA JURÍDICA"/>
    <s v="0 990632286001"/>
    <s v="ING. JOSÉ LUIS RIERA PERALTA"/>
    <s v="DATO PENDIENTE"/>
    <s v="ING. HECTOR RAFAEL ABADIE RODRIGUEZ"/>
    <s v="DATO PENDIENTE"/>
    <n v="16507.28"/>
    <n v="0"/>
    <n v="16507.28"/>
    <m/>
    <n v="0"/>
    <n v="0"/>
    <n v="0.12"/>
    <n v="0"/>
    <n v="0"/>
    <n v="0"/>
    <m/>
    <m/>
    <m/>
    <m/>
    <m/>
    <m/>
    <m/>
    <m/>
    <m/>
    <m/>
    <m/>
    <m/>
    <m/>
    <m/>
    <m/>
    <m/>
    <m/>
    <m/>
    <m/>
    <m/>
    <m/>
    <n v="0"/>
    <n v="0"/>
    <s v="DDL, IAO 21.1."/>
    <s v="NO APLICA"/>
    <s v="NO APLICA"/>
    <s v="NO APLICA"/>
    <s v="NO APLICA"/>
    <s v="NO APLICA"/>
    <d v="2015-09-09T00:00:00"/>
    <d v="2015-09-18T00:00:00"/>
    <d v="2015-09-25T00:00:00"/>
    <d v="2015-10-07T00:00:00"/>
    <s v="NO APLICA"/>
    <d v="2016-10-16T00:00:00"/>
    <d v="2015-10-20T00:00:00"/>
    <s v="NO APLICA"/>
    <s v="NO APLICA"/>
    <s v="NO APLICA"/>
    <s v="DATO PENDIENTE"/>
    <s v="NO APLICA"/>
    <d v="2016-01-29T00:00:00"/>
    <d v="2016-01-29T00:00:00"/>
    <s v="NO APLICA"/>
    <s v="NO APLICA"/>
    <s v="NO APLICA"/>
    <m/>
    <s v="ü"/>
    <m/>
    <m/>
    <m/>
    <m/>
    <m/>
    <m/>
    <m/>
    <m/>
    <m/>
    <m/>
    <m/>
    <s v="ü"/>
    <s v="NO APLICA"/>
    <s v="SI"/>
    <n v="0.05"/>
    <d v="2016-06-09T00:00:00"/>
    <m/>
    <m/>
    <m/>
    <m/>
    <m/>
    <m/>
    <m/>
    <m/>
    <m/>
    <m/>
    <m/>
    <m/>
    <m/>
    <m/>
    <m/>
    <m/>
    <m/>
    <m/>
    <m/>
    <m/>
    <m/>
    <m/>
    <m/>
    <m/>
    <m/>
    <m/>
    <m/>
    <m/>
    <n v="0"/>
    <m/>
    <m/>
    <m/>
    <m/>
    <m/>
    <m/>
    <m/>
    <n v="270"/>
    <s v="DESDE LA NOTIFICACIÓN DE LA ENTREGA DEL ANTICIPO"/>
    <d v="2016-06-10T00:00:00"/>
    <d v="2017-03-07T00:00:00"/>
    <m/>
    <m/>
    <m/>
    <m/>
    <m/>
    <m/>
    <m/>
    <m/>
    <m/>
    <m/>
    <m/>
    <m/>
    <m/>
    <m/>
    <m/>
    <m/>
    <m/>
    <m/>
    <m/>
    <m/>
    <m/>
    <m/>
    <m/>
    <m/>
    <m/>
    <m/>
    <m/>
    <m/>
    <m/>
    <n v="0.09"/>
    <s v="12.5%"/>
    <s v="19.5%"/>
    <s v="19.65%"/>
    <s v="19.65%"/>
    <s v="21.25%"/>
    <n v="0.31"/>
    <s v="71.5%"/>
    <n v="0.94"/>
    <n v="0.94"/>
    <n v="0.99"/>
    <n v="1"/>
    <n v="1"/>
    <n v="1"/>
    <n v="1"/>
    <n v="1"/>
    <n v="1"/>
    <n v="1"/>
    <n v="1"/>
    <n v="1"/>
    <n v="1"/>
    <n v="1"/>
    <n v="1"/>
    <n v="1"/>
    <n v="1"/>
    <n v="1"/>
    <n v="1"/>
    <x v="0"/>
    <n v="1"/>
    <n v="1"/>
    <n v="1"/>
    <x v="0"/>
    <s v="si"/>
    <s v="si"/>
    <s v="si"/>
    <s v="si"/>
    <s v="si"/>
    <s v="si"/>
    <s v="si"/>
    <x v="0"/>
    <s v="si"/>
    <s v="si"/>
    <s v="si"/>
    <m/>
    <m/>
    <m/>
    <m/>
    <m/>
    <m/>
    <m/>
    <m/>
    <m/>
    <m/>
    <m/>
    <m/>
    <m/>
    <m/>
  </r>
  <r>
    <x v="13"/>
    <s v="OBRAS"/>
    <x v="0"/>
    <s v="Proyectos de expansión y refuerzo en el Sistema Nacional de Distribución"/>
    <x v="3"/>
    <x v="3"/>
    <x v="1"/>
    <s v="GUAYAS"/>
    <x v="33"/>
    <n v="3"/>
    <x v="0"/>
    <s v="BID2-RSND-CNELGY-ST-OB-002 "/>
    <s v=" CONSTRUCCIÓN DE LA SUBESTACIÓN MI LOTE Y CONSTRUCCIÓN DEL TAP A 69KV PARA ENERGIZAR  A LA SUBESTACIÓN MI LOTE"/>
    <s v="Subestación Mi Lote"/>
    <s v="LPN"/>
    <s v="ex-post"/>
    <s v="EJECUTADO BID"/>
    <s v="BID2-RSND-CNELGY-ST-OB-002 "/>
    <s v="INDUSTRIAL Y COMERCIAL TCM S.A."/>
    <s v="ECUATORIANA"/>
    <s v="PERSONA JURÍDICA"/>
    <s v="0 990790345001"/>
    <s v="ING. IVÁN ORLANDO CARCHIPULLA SALAZAR"/>
    <s v="DATO PENDIENTE"/>
    <s v="ING. JOSE ANTONIO CHONG MELGAR"/>
    <s v="DATO PENDIENTE"/>
    <n v="549936.67543467798"/>
    <n v="819666.62"/>
    <n v="608831.82999999996"/>
    <n v="878561.76785714296"/>
    <n v="80773.569999999949"/>
    <n v="959335.33785714291"/>
    <n v="0.12"/>
    <n v="105427.41214285715"/>
    <n v="80773.569999999949"/>
    <n v="1074455.5784000002"/>
    <n v="900440.19"/>
    <n v="0"/>
    <m/>
    <m/>
    <n v="878561.76785714296"/>
    <m/>
    <n v="901302.52"/>
    <m/>
    <m/>
    <m/>
    <m/>
    <m/>
    <m/>
    <m/>
    <m/>
    <m/>
    <m/>
    <m/>
    <m/>
    <m/>
    <m/>
    <n v="-81635.900000000023"/>
    <n v="-81635.900000000023"/>
    <s v="DDL, IAO 21.1."/>
    <s v="NO APLICA"/>
    <s v="NO APLICA"/>
    <s v="NO APLICA"/>
    <s v="NO APLICA"/>
    <s v="NO APLICA"/>
    <d v="2015-09-09T00:00:00"/>
    <d v="2015-09-18T00:00:00"/>
    <d v="2015-09-25T00:00:00"/>
    <d v="2015-10-08T00:00:00"/>
    <s v="NO APLICA"/>
    <d v="2015-10-15T00:00:00"/>
    <d v="2015-10-19T00:00:00"/>
    <s v="NO APLICA"/>
    <s v="NO APLICA"/>
    <s v="NO APLICA"/>
    <d v="2015-12-09T00:00:00"/>
    <s v="NO APLICA"/>
    <d v="2016-01-19T00:00:00"/>
    <d v="2016-01-19T00:00:00"/>
    <s v="NO APLICA"/>
    <s v="NO APLICA"/>
    <s v="NO APLICA"/>
    <m/>
    <s v="ü"/>
    <m/>
    <m/>
    <m/>
    <m/>
    <m/>
    <m/>
    <m/>
    <m/>
    <m/>
    <m/>
    <m/>
    <s v="ü"/>
    <s v="NO APLICA"/>
    <s v="SI"/>
    <n v="0.05"/>
    <d v="2016-06-09T00:00:00"/>
    <n v="450651.26"/>
    <m/>
    <m/>
    <m/>
    <m/>
    <m/>
    <m/>
    <m/>
    <m/>
    <m/>
    <m/>
    <m/>
    <m/>
    <m/>
    <m/>
    <m/>
    <m/>
    <m/>
    <m/>
    <m/>
    <m/>
    <m/>
    <m/>
    <m/>
    <m/>
    <m/>
    <m/>
    <m/>
    <n v="450651.26"/>
    <m/>
    <m/>
    <m/>
    <m/>
    <m/>
    <m/>
    <m/>
    <n v="270"/>
    <s v="DESDE LA NOTIFICACIÓN DE LA ENTREGA DEL ANTICIPO"/>
    <d v="2016-06-10T00:00:00"/>
    <d v="2017-03-07T00:00:00"/>
    <m/>
    <m/>
    <m/>
    <m/>
    <m/>
    <m/>
    <m/>
    <m/>
    <m/>
    <m/>
    <m/>
    <m/>
    <m/>
    <m/>
    <m/>
    <m/>
    <m/>
    <m/>
    <m/>
    <m/>
    <m/>
    <m/>
    <m/>
    <m/>
    <m/>
    <m/>
    <m/>
    <m/>
    <m/>
    <n v="0.09"/>
    <s v="11.5%"/>
    <n v="0.12"/>
    <s v="13.15%"/>
    <s v="13.15%"/>
    <s v="14.65%"/>
    <n v="0.16500000000000001"/>
    <n v="0.255"/>
    <n v="0.58150000000000002"/>
    <n v="0.75"/>
    <n v="0.9"/>
    <n v="0.97"/>
    <n v="0.99"/>
    <n v="0.99"/>
    <n v="0.99"/>
    <n v="0.99"/>
    <n v="1"/>
    <n v="1"/>
    <n v="1"/>
    <n v="1"/>
    <n v="1"/>
    <n v="1"/>
    <n v="1"/>
    <n v="1"/>
    <n v="1"/>
    <n v="1"/>
    <n v="1"/>
    <x v="0"/>
    <n v="1"/>
    <n v="1"/>
    <n v="1"/>
    <x v="0"/>
    <s v="no"/>
    <s v="si"/>
    <s v="si"/>
    <s v="si"/>
    <s v="si"/>
    <s v="si"/>
    <s v="si"/>
    <x v="0"/>
    <s v="si"/>
    <s v="si"/>
    <s v="si"/>
    <m/>
    <m/>
    <m/>
    <m/>
    <m/>
    <m/>
    <m/>
    <m/>
    <m/>
    <m/>
    <m/>
    <m/>
    <m/>
    <m/>
  </r>
  <r>
    <x v="13"/>
    <s v="OBRAS"/>
    <x v="0"/>
    <s v="Proyectos de expansión y refuerzo en el Sistema Nacional de Distribución"/>
    <x v="3"/>
    <x v="3"/>
    <x v="1"/>
    <s v="GUAYAS"/>
    <x v="34"/>
    <n v="4"/>
    <x v="0"/>
    <s v="BID2-RSND-CNELGY-ST-OB-002 "/>
    <s v=" CONSTRUCCIÓN DE LA SUBESTACIÓN MI LOTE Y CONSTRUCCIÓN DEL TAP A 69KV PARA ENERGIZAR  A LA SUBESTACIÓN MI LOTE"/>
    <s v="Derivación o Tap para alimentar la SE Mi Lote"/>
    <s v="LPN"/>
    <s v="ex-post"/>
    <s v="EJECUTADO BID"/>
    <s v="BID2-RSND-CNELGY-ST-OB-002 "/>
    <s v="INDUSTRIAL Y COMERCIAL TCM S.A."/>
    <s v="ECUATORIANA"/>
    <s v="PERSONA JURÍDICA"/>
    <s v="0 990790345001"/>
    <s v="ING. IVÁN ORLANDO CARCHIPULLA SALAZAR"/>
    <s v="DATO PENDIENTE"/>
    <s v="ING. JOSE ANTONIO CHONG MELGAR"/>
    <s v="DATO PENDIENTE"/>
    <n v="269729.93999999989"/>
    <n v="0"/>
    <n v="269729.94"/>
    <m/>
    <n v="0"/>
    <n v="0"/>
    <n v="0.12"/>
    <n v="0"/>
    <n v="0"/>
    <n v="0"/>
    <m/>
    <m/>
    <m/>
    <m/>
    <m/>
    <m/>
    <m/>
    <m/>
    <m/>
    <m/>
    <m/>
    <m/>
    <m/>
    <m/>
    <m/>
    <m/>
    <m/>
    <m/>
    <m/>
    <m/>
    <m/>
    <n v="0"/>
    <n v="0"/>
    <s v="DDL, IAO 21.1."/>
    <s v="NO APLICA"/>
    <s v="NO APLICA"/>
    <s v="NO APLICA"/>
    <s v="NO APLICA"/>
    <s v="NO APLICA"/>
    <d v="2015-09-09T00:00:00"/>
    <d v="2015-09-18T00:00:00"/>
    <d v="2015-09-25T00:00:00"/>
    <d v="2015-10-08T00:00:00"/>
    <s v="NO APLICA"/>
    <d v="2015-10-15T00:00:00"/>
    <d v="2015-10-19T00:00:00"/>
    <s v="NO APLICA"/>
    <s v="NO APLICA"/>
    <s v="NO APLICA"/>
    <d v="2015-12-09T00:00:00"/>
    <s v="NO APLICA"/>
    <d v="2016-01-19T00:00:00"/>
    <d v="2016-01-19T00:00:00"/>
    <s v="NO APLICA"/>
    <s v="NO APLICA"/>
    <s v="NO APLICA"/>
    <m/>
    <s v="ü"/>
    <m/>
    <m/>
    <m/>
    <m/>
    <m/>
    <m/>
    <m/>
    <m/>
    <m/>
    <m/>
    <m/>
    <s v="ü"/>
    <s v="NO APLICA"/>
    <s v="SI"/>
    <n v="0.05"/>
    <d v="2016-06-09T00:00:00"/>
    <m/>
    <m/>
    <m/>
    <m/>
    <m/>
    <m/>
    <m/>
    <m/>
    <m/>
    <m/>
    <m/>
    <m/>
    <m/>
    <m/>
    <m/>
    <m/>
    <m/>
    <m/>
    <m/>
    <m/>
    <m/>
    <m/>
    <m/>
    <m/>
    <m/>
    <m/>
    <m/>
    <m/>
    <n v="0"/>
    <m/>
    <m/>
    <m/>
    <m/>
    <m/>
    <m/>
    <m/>
    <n v="270"/>
    <s v="DESDE LA NOTIFICACIÓN DE LA ENTREGA DEL ANTICIPO"/>
    <d v="2016-06-10T00:00:00"/>
    <d v="2017-03-07T00:00:00"/>
    <m/>
    <m/>
    <m/>
    <m/>
    <m/>
    <m/>
    <m/>
    <m/>
    <m/>
    <m/>
    <m/>
    <m/>
    <m/>
    <m/>
    <m/>
    <m/>
    <m/>
    <m/>
    <m/>
    <m/>
    <m/>
    <m/>
    <m/>
    <m/>
    <m/>
    <m/>
    <m/>
    <m/>
    <m/>
    <n v="0.09"/>
    <s v="11.5%"/>
    <n v="0.12"/>
    <s v="13.15%"/>
    <s v="13.15%"/>
    <s v="14.65%"/>
    <s v="16.5%"/>
    <s v="25.5%"/>
    <n v="0.58150000000000002"/>
    <n v="0.75"/>
    <n v="0.9"/>
    <n v="0.97"/>
    <n v="0.99"/>
    <n v="0.99"/>
    <n v="0.99"/>
    <n v="0.99"/>
    <n v="0.99"/>
    <n v="0.99"/>
    <n v="1"/>
    <n v="1"/>
    <n v="1"/>
    <n v="1"/>
    <n v="1"/>
    <n v="1"/>
    <n v="1"/>
    <n v="1"/>
    <n v="1"/>
    <x v="0"/>
    <n v="1"/>
    <n v="1"/>
    <n v="1"/>
    <x v="0"/>
    <s v="no"/>
    <s v="si"/>
    <s v="si"/>
    <s v="si"/>
    <s v="si"/>
    <s v="si"/>
    <s v="si"/>
    <x v="0"/>
    <s v="si"/>
    <s v="si"/>
    <s v="si"/>
    <m/>
    <m/>
    <m/>
    <m/>
    <m/>
    <m/>
    <m/>
    <m/>
    <m/>
    <m/>
    <m/>
    <m/>
    <m/>
    <m/>
  </r>
  <r>
    <x v="13"/>
    <s v="OBRAS"/>
    <x v="0"/>
    <s v="Proyectos de expansión y refuerzo en el Sistema Nacional de Distribución"/>
    <x v="3"/>
    <x v="3"/>
    <x v="1"/>
    <s v="GUAYAS"/>
    <x v="35"/>
    <n v="5"/>
    <x v="0"/>
    <s v="BID2-RSND-CNELGY-ST-OB-003 "/>
    <s v="CONSTRUCCIÓN DE LA SUBESTACIÓN GUASMO 3 Y CONSTRUCCIÓN DEL TAP A 69KV PARA ENERGIZAR  A LA SUBESTACIÓN GUASMO 3"/>
    <s v="Subestación Guasmo 3"/>
    <s v="LPN"/>
    <s v="ex-post"/>
    <s v="EJECUTADO BID"/>
    <s v="BID2-RSND-CNELGY-ST-OB-003 "/>
    <s v="INDUSTRIAL Y COMERCIAL TCM S.A."/>
    <s v="ECUATORIANA"/>
    <s v="PERSONA JURÍDICA"/>
    <s v="0 990790345001"/>
    <s v="ING. LIDER RAUL INTRIAGO ACOSTA"/>
    <s v="DATO PENDIENTE"/>
    <s v="ING. VICTOR JULIO VÉLIZ ARREGLO"/>
    <s v="DATO PENDIENTE"/>
    <n v="459298.74107142852"/>
    <n v="462099.42"/>
    <n v="459298.74"/>
    <n v="462099.41964285698"/>
    <n v="0"/>
    <n v="462099.41964285698"/>
    <n v="0.12"/>
    <n v="55451.930357142839"/>
    <n v="0"/>
    <n v="517551.34999999986"/>
    <n v="456728.97000000003"/>
    <n v="5370.4499999999534"/>
    <m/>
    <m/>
    <n v="462099.41964285698"/>
    <m/>
    <n v="471924.94"/>
    <m/>
    <m/>
    <m/>
    <m/>
    <m/>
    <m/>
    <m/>
    <m/>
    <m/>
    <m/>
    <m/>
    <m/>
    <m/>
    <m/>
    <n v="-9825.5200000000186"/>
    <n v="-9825.5200000000186"/>
    <s v="DDL, IAO 21.1."/>
    <s v="NO APLICA"/>
    <s v="NO APLICA"/>
    <s v="NO APLICA"/>
    <s v="NO APLICA"/>
    <s v="NO APLICA"/>
    <d v="2015-09-09T00:00:00"/>
    <d v="2015-09-18T00:00:00"/>
    <d v="2015-09-25T00:00:00"/>
    <d v="2015-10-07T00:00:00"/>
    <s v="NO APLICA"/>
    <d v="2015-10-15T00:00:00"/>
    <d v="2015-10-19T00:00:00"/>
    <s v="NO APLICA"/>
    <s v="NO APLICA"/>
    <s v="NO APLICA"/>
    <d v="2015-12-09T00:00:00"/>
    <s v="NO APLICA"/>
    <d v="2016-01-19T00:00:00"/>
    <d v="2016-01-19T00:00:00"/>
    <s v="NO APLICA"/>
    <s v="NO APLICA"/>
    <s v="NO APLICA"/>
    <m/>
    <s v="ü"/>
    <m/>
    <m/>
    <m/>
    <m/>
    <m/>
    <m/>
    <m/>
    <m/>
    <m/>
    <m/>
    <m/>
    <s v="ü"/>
    <s v="NO APLICA"/>
    <s v="SI"/>
    <n v="0.05"/>
    <d v="2016-06-09T00:00:00"/>
    <n v="235962.47"/>
    <s v="PAGO 2/4 - PLANILLA 1 - 20%"/>
    <d v="2017-03-31T00:00:00"/>
    <n v="94384.99"/>
    <s v="PAGO 3/4 - PLANILLA 2 - 20%"/>
    <d v="2017-05-29T00:00:00"/>
    <n v="94385.000000000015"/>
    <m/>
    <m/>
    <m/>
    <m/>
    <m/>
    <m/>
    <m/>
    <m/>
    <m/>
    <m/>
    <m/>
    <m/>
    <m/>
    <m/>
    <m/>
    <m/>
    <m/>
    <m/>
    <m/>
    <m/>
    <m/>
    <n v="424732.46"/>
    <m/>
    <m/>
    <m/>
    <m/>
    <m/>
    <m/>
    <m/>
    <n v="270"/>
    <s v="DESDE LA NOTIFICACIÓN DE LA ENTREGA DEL ANTICIPO"/>
    <d v="2016-06-10T00:00:00"/>
    <d v="2017-03-07T00:00:00"/>
    <m/>
    <m/>
    <m/>
    <m/>
    <m/>
    <m/>
    <m/>
    <m/>
    <m/>
    <m/>
    <m/>
    <m/>
    <m/>
    <m/>
    <m/>
    <m/>
    <m/>
    <m/>
    <m/>
    <m/>
    <m/>
    <m/>
    <m/>
    <m/>
    <m/>
    <m/>
    <m/>
    <m/>
    <m/>
    <n v="0.09"/>
    <s v="12.5%"/>
    <s v="13.5%"/>
    <s v="13.65%"/>
    <s v="13.65%"/>
    <s v="14.82%"/>
    <n v="0.22"/>
    <n v="0.36"/>
    <n v="0.73250000000000004"/>
    <n v="0.96499999999999997"/>
    <n v="0.99"/>
    <n v="1"/>
    <n v="1"/>
    <n v="1"/>
    <n v="1"/>
    <n v="1"/>
    <n v="1"/>
    <n v="1"/>
    <n v="1"/>
    <n v="1"/>
    <n v="1"/>
    <n v="1"/>
    <n v="1"/>
    <n v="1"/>
    <n v="1"/>
    <n v="1"/>
    <n v="1"/>
    <x v="0"/>
    <n v="1"/>
    <n v="1"/>
    <n v="1"/>
    <x v="0"/>
    <s v="si"/>
    <s v="si"/>
    <s v="si"/>
    <s v="si"/>
    <s v="si"/>
    <s v="si"/>
    <s v="si"/>
    <x v="0"/>
    <s v="si"/>
    <s v="si"/>
    <s v="si"/>
    <m/>
    <m/>
    <m/>
    <m/>
    <m/>
    <m/>
    <m/>
    <m/>
    <m/>
    <m/>
    <m/>
    <m/>
    <m/>
    <m/>
  </r>
  <r>
    <x v="13"/>
    <s v="OBRAS"/>
    <x v="0"/>
    <s v="Proyectos de expansión y refuerzo en el Sistema Nacional de Distribución"/>
    <x v="3"/>
    <x v="3"/>
    <x v="1"/>
    <s v="GUAYAS"/>
    <x v="36"/>
    <n v="6"/>
    <x v="0"/>
    <s v="BID2-RSND-CNELGY-ST-OB-003 "/>
    <s v="CONSTRUCCIÓN DE LA SUBESTACIÓN GUASMO 3 Y CONSTRUCCIÓN DEL TAP A 69KV PARA ENERGIZAR  A LA SUBESTACIÓN GUASMO 3"/>
    <s v="Derivación o TAP para alimentar a SE Guasmo 3"/>
    <s v="LPN"/>
    <s v="ex-post"/>
    <s v="EJECUTADO BID"/>
    <s v="BID2-RSND-CNELGY-ST-OB-003 "/>
    <s v="INDUSTRIAL Y COMERCIAL TCM S.A."/>
    <s v="ECUATORIANA"/>
    <s v="PERSONA JURÍDICA"/>
    <s v="0 990790345001"/>
    <s v="ING. LIDER RAUL INTRIAGO ACOSTA"/>
    <s v="DATO PENDIENTE"/>
    <s v="ING. VICTOR JULIO VÉLIZ ARREGLO"/>
    <s v="DATO PENDIENTE"/>
    <n v="2800.68"/>
    <n v="0"/>
    <n v="2800.68"/>
    <m/>
    <n v="0"/>
    <n v="0"/>
    <n v="0.12"/>
    <n v="0"/>
    <n v="0"/>
    <n v="0"/>
    <m/>
    <m/>
    <m/>
    <m/>
    <m/>
    <m/>
    <m/>
    <m/>
    <m/>
    <m/>
    <m/>
    <m/>
    <m/>
    <m/>
    <m/>
    <m/>
    <m/>
    <m/>
    <m/>
    <m/>
    <m/>
    <n v="0"/>
    <n v="0"/>
    <s v="DDL, IAO 21.1."/>
    <s v="NO APLICA"/>
    <s v="NO APLICA"/>
    <s v="NO APLICA"/>
    <s v="NO APLICA"/>
    <s v="NO APLICA"/>
    <d v="2015-09-09T00:00:00"/>
    <d v="2015-09-18T00:00:00"/>
    <d v="2015-09-25T00:00:00"/>
    <d v="2015-10-07T00:00:00"/>
    <s v="NO APLICA"/>
    <d v="2015-10-15T00:00:00"/>
    <d v="2015-10-19T00:00:00"/>
    <s v="NO APLICA"/>
    <s v="NO APLICA"/>
    <s v="NO APLICA"/>
    <d v="2015-12-09T00:00:00"/>
    <s v="NO APLICA"/>
    <d v="2016-01-19T00:00:00"/>
    <d v="2016-01-19T00:00:00"/>
    <s v="NO APLICA"/>
    <s v="NO APLICA"/>
    <s v="NO APLICA"/>
    <m/>
    <s v="ü"/>
    <m/>
    <m/>
    <m/>
    <m/>
    <m/>
    <m/>
    <m/>
    <m/>
    <m/>
    <m/>
    <m/>
    <s v="ü"/>
    <s v="NO APLICA"/>
    <s v="SI"/>
    <n v="0.05"/>
    <d v="2016-06-09T00:00:00"/>
    <m/>
    <m/>
    <m/>
    <m/>
    <m/>
    <m/>
    <m/>
    <m/>
    <m/>
    <m/>
    <m/>
    <m/>
    <m/>
    <m/>
    <m/>
    <m/>
    <m/>
    <m/>
    <m/>
    <m/>
    <m/>
    <m/>
    <m/>
    <m/>
    <m/>
    <m/>
    <m/>
    <m/>
    <n v="0"/>
    <m/>
    <m/>
    <m/>
    <m/>
    <m/>
    <m/>
    <m/>
    <n v="270"/>
    <s v="DESDE LA NOTIFICACIÓN DE LA ENTREGA DEL ANTICIPO"/>
    <d v="2016-06-10T00:00:00"/>
    <d v="2017-03-07T00:00:00"/>
    <m/>
    <m/>
    <m/>
    <m/>
    <m/>
    <m/>
    <m/>
    <m/>
    <m/>
    <m/>
    <m/>
    <m/>
    <m/>
    <m/>
    <m/>
    <m/>
    <m/>
    <m/>
    <m/>
    <m/>
    <m/>
    <m/>
    <m/>
    <m/>
    <m/>
    <m/>
    <m/>
    <m/>
    <m/>
    <n v="0.09"/>
    <s v="12.5%"/>
    <s v="13.5%"/>
    <s v="13.65%"/>
    <s v="13.65%"/>
    <s v="14.82%"/>
    <n v="0.22"/>
    <n v="0.36"/>
    <n v="0.73250000000000004"/>
    <n v="0.96499999999999997"/>
    <n v="0.99"/>
    <n v="1"/>
    <n v="1"/>
    <n v="1"/>
    <n v="1"/>
    <n v="1"/>
    <n v="1"/>
    <n v="1"/>
    <n v="1"/>
    <n v="1"/>
    <n v="1"/>
    <n v="1"/>
    <n v="1"/>
    <n v="1"/>
    <n v="1"/>
    <n v="1"/>
    <n v="1"/>
    <x v="0"/>
    <n v="1"/>
    <n v="1"/>
    <n v="1"/>
    <x v="0"/>
    <s v="si"/>
    <s v="si"/>
    <s v="si"/>
    <s v="si"/>
    <s v="si"/>
    <s v="si"/>
    <s v="si"/>
    <x v="0"/>
    <s v="si"/>
    <s v="si"/>
    <s v="si"/>
    <m/>
    <m/>
    <m/>
    <m/>
    <m/>
    <m/>
    <m/>
    <m/>
    <m/>
    <m/>
    <m/>
    <m/>
    <m/>
    <m/>
  </r>
  <r>
    <x v="13"/>
    <s v="OBRAS"/>
    <x v="0"/>
    <s v="Proyectos de expansión y refuerzo en el Sistema Nacional de Distribución"/>
    <x v="3"/>
    <x v="3"/>
    <x v="1"/>
    <s v="GUAYAS"/>
    <x v="37"/>
    <n v="7"/>
    <x v="0"/>
    <s v="BID2-RSND-CNELGY-ST-OB-014"/>
    <s v=" EXTENSIÓN A LA LÍNEA DE SUBTRANSMISIÓN NUEVA PROSPERINA 2 PARA DIVIDIR LA BARRA A MAPASINGUE"/>
    <m/>
    <s v="LPN"/>
    <s v="ex-post"/>
    <s v="EJECUTADO BID"/>
    <s v="BID2-RSND-CNELGY-ST-OB-014"/>
    <s v="INDUSTRIAL Y COMERCIAL TCM S.A."/>
    <s v="ECUATORIANA"/>
    <s v="PERSONA JURÍDICA"/>
    <s v="0 990790345001"/>
    <m/>
    <m/>
    <m/>
    <m/>
    <m/>
    <n v="234111.16"/>
    <n v="0"/>
    <n v="234111.17"/>
    <n v="0"/>
    <n v="234111.17"/>
    <n v="0.12"/>
    <n v="28093.340400000001"/>
    <n v="0"/>
    <n v="262204.51040000003"/>
    <n v="202753.07"/>
    <n v="31358.089999999997"/>
    <m/>
    <m/>
    <n v="234111.17"/>
    <m/>
    <n v="222252.78"/>
    <n v="0.12"/>
    <n v="26670.333599999998"/>
    <n v="248923.11360000001"/>
    <m/>
    <m/>
    <m/>
    <m/>
    <m/>
    <m/>
    <m/>
    <m/>
    <m/>
    <m/>
    <m/>
    <m/>
    <n v="0"/>
    <s v="DDL, IAO 21.1."/>
    <s v="NO APLICA"/>
    <s v="NO APLICA"/>
    <s v="NO APLICA"/>
    <s v="NO APLICA"/>
    <s v="NO APLICA"/>
    <d v="2017-06-19T00:00:00"/>
    <d v="2017-07-04T00:00:00"/>
    <d v="2017-07-11T00:00:00"/>
    <d v="2017-07-18T00:00:00"/>
    <s v="NO APLICA"/>
    <s v="NO APLICA"/>
    <d v="2017-08-02T00:00:00"/>
    <s v="NO APLICA"/>
    <s v="NO APLICA"/>
    <s v="NO APLICA"/>
    <d v="2017-09-29T00:00:00"/>
    <s v="NO APLICA"/>
    <s v="17-nov.2017"/>
    <s v="17-nov.2017"/>
    <s v="NO APLICA"/>
    <s v="NO APLICA"/>
    <s v="NO APLICA"/>
    <m/>
    <m/>
    <m/>
    <m/>
    <m/>
    <m/>
    <m/>
    <m/>
    <m/>
    <m/>
    <m/>
    <m/>
    <m/>
    <m/>
    <m/>
    <s v="NO APLICA"/>
    <s v="NO APLICA"/>
    <m/>
    <m/>
    <m/>
    <m/>
    <m/>
    <m/>
    <m/>
    <m/>
    <m/>
    <m/>
    <m/>
    <m/>
    <m/>
    <m/>
    <m/>
    <m/>
    <m/>
    <m/>
    <m/>
    <m/>
    <m/>
    <m/>
    <m/>
    <m/>
    <m/>
    <m/>
    <m/>
    <m/>
    <m/>
    <n v="0"/>
    <m/>
    <m/>
    <m/>
    <m/>
    <m/>
    <m/>
    <m/>
    <n v="270"/>
    <s v="DESDE LA NOTIFICACIÓN DE LA ENTREGA DEL ANTICIPO"/>
    <m/>
    <m/>
    <m/>
    <m/>
    <m/>
    <m/>
    <m/>
    <m/>
    <m/>
    <m/>
    <m/>
    <m/>
    <m/>
    <m/>
    <m/>
    <m/>
    <m/>
    <m/>
    <m/>
    <m/>
    <m/>
    <m/>
    <m/>
    <m/>
    <m/>
    <m/>
    <m/>
    <m/>
    <m/>
    <m/>
    <m/>
    <m/>
    <m/>
    <m/>
    <m/>
    <m/>
    <m/>
    <m/>
    <m/>
    <n v="0"/>
    <n v="0"/>
    <n v="0"/>
    <n v="0"/>
    <n v="0"/>
    <n v="0"/>
    <n v="0"/>
    <n v="0"/>
    <n v="0.27"/>
    <n v="0.27"/>
    <n v="0.39"/>
    <n v="0.39"/>
    <n v="1"/>
    <n v="1"/>
    <n v="1"/>
    <n v="1"/>
    <n v="1"/>
    <n v="1"/>
    <n v="1"/>
    <x v="0"/>
    <n v="1"/>
    <n v="1"/>
    <n v="1"/>
    <x v="0"/>
    <s v="no"/>
    <s v="no"/>
    <s v="no"/>
    <s v="no"/>
    <s v="si"/>
    <s v="si"/>
    <s v="si"/>
    <x v="1"/>
    <s v="si"/>
    <s v="si"/>
    <s v="si"/>
    <s v="Se esta trabajando en montaje de las estructuras y tendido de condutores. Por verificar factores externos que pueden afectar avance de la obra."/>
    <m/>
    <m/>
    <s v="Se ha concluido con los trabajos y energización, se encuentran en proceso de elaboración de acta provisional"/>
    <s v="El 15 de noviembre de 2018 se firmó el acta de entrega recepción provisional._x000a_Se pagó el 13 Nov 2018 planilla 3 por 26.644,88"/>
    <s v="el 30/nov/2018 se pagó 9569,95 que es el pago 4 planilla 3"/>
    <s v="El 15 de mayo s firma Acta entrega recepción definitiva de la obra. 11109,76 por pagar"/>
    <m/>
    <m/>
    <m/>
    <s v="PDTE REGULARIZAR REFORMA PARA JUSTIFICAR INCRMENTO DEL PRESUPUESTO EN EL PLAN DE ADQUISICION US$234.111,17"/>
    <m/>
    <s v="AUTORIZADO MEDIANTE OFICIO Nro. MINFIN-SRF-2017-0216-O DE 17 DE MARZO DE 2017"/>
    <m/>
  </r>
  <r>
    <x v="13"/>
    <s v="OBRAS"/>
    <x v="0"/>
    <s v="Proyectos de expansión y refuerzo en el Sistema Nacional de Distribución"/>
    <x v="0"/>
    <x v="0"/>
    <x v="0"/>
    <s v="GUAYAS"/>
    <x v="38"/>
    <n v="8"/>
    <x v="0"/>
    <s v="BID2-RSND-CNELGY-DI-OB-012"/>
    <s v="CONSTRUCCIÓN DE LAS ALIMENTADORAS A 13.8 KV GUASMO 8, GUASMO 9 Y GUASMO 10"/>
    <s v="Alimentadora Guasmo 8"/>
    <s v="LPN"/>
    <s v="ex-post"/>
    <s v="EJECUTADO BID"/>
    <s v="BID2-RSND-CNELGY-DI-OB-012"/>
    <s v="CONSTRUCCIONES INTEGRALES Y TECNOLOGICAS S.A. CONSITECNO"/>
    <s v="ECUATORIANA"/>
    <s v="PERSONA JURÍDICA"/>
    <s v="0 992762330001"/>
    <s v="ING. GERSON AGUIRRE MACIAS"/>
    <s v="DATO PENDIENTE"/>
    <s v="ING. LUIS CEVALLOS JÁCOME"/>
    <s v="DATO PENDIENTE"/>
    <n v="31084.399999999994"/>
    <n v="84822.57"/>
    <n v="31084.399999999994"/>
    <n v="84822.571428571406"/>
    <n v="0"/>
    <n v="84822.571428571406"/>
    <n v="0.12"/>
    <n v="10178.708571428568"/>
    <n v="0"/>
    <n v="95001.279999999984"/>
    <n v="82368.800000000003"/>
    <n v="2453.7700000000041"/>
    <m/>
    <m/>
    <n v="84822.571428571406"/>
    <m/>
    <n v="82368.800000000003"/>
    <n v="0.14000000000000001"/>
    <m/>
    <n v="93900.432000000001"/>
    <m/>
    <m/>
    <m/>
    <m/>
    <m/>
    <m/>
    <m/>
    <m/>
    <m/>
    <m/>
    <m/>
    <n v="2453.7700000000041"/>
    <n v="2453.7700000000041"/>
    <s v="DDL, IAO 21.1."/>
    <s v="NO APLICA"/>
    <s v="NO APLICA"/>
    <s v="NO APLICA"/>
    <s v="NO APLICA"/>
    <s v="NO APLICA"/>
    <d v="2016-08-19T00:00:00"/>
    <d v="2016-08-30T00:00:00"/>
    <d v="2016-09-05T00:00:00"/>
    <d v="2016-09-16T00:00:00"/>
    <s v="NO APLICA"/>
    <d v="2016-09-23T00:00:00"/>
    <d v="2016-09-26T00:00:00"/>
    <s v="NO APLICA"/>
    <s v="NO APLICA"/>
    <s v="NO APLICA"/>
    <d v="2016-10-21T00:00:00"/>
    <s v="NO APLICA"/>
    <d v="2016-11-25T00:00:00"/>
    <d v="2016-11-25T00:00:00"/>
    <s v="NO APLICA"/>
    <s v="NO APLICA"/>
    <s v="NO APLICA"/>
    <m/>
    <s v="ü"/>
    <m/>
    <m/>
    <m/>
    <m/>
    <m/>
    <m/>
    <m/>
    <m/>
    <m/>
    <m/>
    <m/>
    <s v="ü"/>
    <s v="NO APLICA"/>
    <s v="NO APLICA"/>
    <s v="NO APLICA"/>
    <d v="2016-12-06T00:00:00"/>
    <n v="41184.400000000001"/>
    <m/>
    <m/>
    <m/>
    <m/>
    <m/>
    <m/>
    <m/>
    <m/>
    <m/>
    <m/>
    <m/>
    <m/>
    <m/>
    <m/>
    <m/>
    <m/>
    <m/>
    <m/>
    <m/>
    <m/>
    <m/>
    <m/>
    <m/>
    <m/>
    <m/>
    <m/>
    <m/>
    <n v="41184.400000000001"/>
    <m/>
    <m/>
    <m/>
    <m/>
    <m/>
    <m/>
    <m/>
    <n v="240"/>
    <s v="DESDE LA NOTIFICACIÓN DE LA ENTREGA DEL ANTICIPO"/>
    <d v="2016-12-07T00:00:00"/>
    <d v="2017-08-04T00:00:00"/>
    <m/>
    <m/>
    <m/>
    <m/>
    <m/>
    <m/>
    <m/>
    <m/>
    <m/>
    <m/>
    <m/>
    <m/>
    <m/>
    <m/>
    <m/>
    <m/>
    <m/>
    <m/>
    <m/>
    <m/>
    <m/>
    <m/>
    <m/>
    <m/>
    <m/>
    <m/>
    <m/>
    <m/>
    <m/>
    <m/>
    <m/>
    <m/>
    <m/>
    <m/>
    <m/>
    <m/>
    <n v="0"/>
    <n v="0.11"/>
    <n v="0.18"/>
    <n v="0.48"/>
    <n v="0.48"/>
    <n v="1"/>
    <n v="1"/>
    <n v="1"/>
    <n v="1"/>
    <n v="1"/>
    <n v="1"/>
    <n v="1"/>
    <n v="1"/>
    <n v="1"/>
    <n v="1"/>
    <n v="1"/>
    <n v="1"/>
    <n v="1"/>
    <n v="1"/>
    <n v="1"/>
    <x v="0"/>
    <n v="1"/>
    <n v="1"/>
    <n v="1"/>
    <x v="0"/>
    <s v="si"/>
    <s v="si"/>
    <s v="si"/>
    <s v="si"/>
    <s v="si"/>
    <s v="si"/>
    <s v="si"/>
    <x v="0"/>
    <s v="si"/>
    <s v="si"/>
    <s v="si"/>
    <m/>
    <m/>
    <m/>
    <m/>
    <m/>
    <m/>
    <m/>
    <m/>
    <m/>
    <m/>
    <m/>
    <m/>
    <m/>
    <m/>
  </r>
  <r>
    <x v="13"/>
    <s v="OBRAS"/>
    <x v="0"/>
    <s v="Proyectos de expansión y refuerzo en el Sistema Nacional de Distribución"/>
    <x v="0"/>
    <x v="0"/>
    <x v="0"/>
    <s v="GUAYAS"/>
    <x v="39"/>
    <n v="9"/>
    <x v="0"/>
    <s v="BID2-RSND-CNELGY-DI-OB-012"/>
    <s v="CONSTRUCCIÓN DE LAS ALIMENTADORAS A 13.8 KV GUASMO 8, GUASMO 9 Y GUASMO 10"/>
    <s v="Alimentadora Guasmo 9"/>
    <s v="LPN"/>
    <s v="ex-post"/>
    <s v="EJECUTADO BID"/>
    <s v="BID2-RSND-CNELGY-DI-OB-012"/>
    <s v="CONSTRUCCIONES INTEGRALES Y TECNOLOGICAS S.A. CONSITECNO"/>
    <s v="ECUATORIANA"/>
    <s v="PERSONA JURÍDICA"/>
    <s v="0 992762330001"/>
    <s v="ING. GERSON AGUIRRE MACIAS"/>
    <s v="DATO PENDIENTE"/>
    <s v="ING. LUIS CEVALLOS JÁCOME"/>
    <s v="DATO PENDIENTE"/>
    <n v="27101.639999999996"/>
    <n v="0"/>
    <n v="27101.639999999996"/>
    <m/>
    <n v="0"/>
    <n v="0"/>
    <n v="0.12"/>
    <n v="0"/>
    <n v="0"/>
    <n v="0"/>
    <m/>
    <m/>
    <m/>
    <m/>
    <m/>
    <m/>
    <m/>
    <m/>
    <m/>
    <m/>
    <m/>
    <m/>
    <m/>
    <m/>
    <m/>
    <m/>
    <m/>
    <m/>
    <m/>
    <m/>
    <m/>
    <n v="0"/>
    <n v="0"/>
    <s v="DDL, IAO 21.1."/>
    <s v="NO APLICA"/>
    <s v="NO APLICA"/>
    <s v="NO APLICA"/>
    <s v="NO APLICA"/>
    <s v="NO APLICA"/>
    <d v="2016-08-19T00:00:00"/>
    <d v="2016-08-30T00:00:00"/>
    <d v="2016-09-05T00:00:00"/>
    <d v="2016-09-16T00:00:00"/>
    <s v="NO APLICA"/>
    <d v="2016-09-23T00:00:00"/>
    <d v="2016-09-26T00:00:00"/>
    <s v="NO APLICA"/>
    <s v="NO APLICA"/>
    <s v="NO APLICA"/>
    <d v="2016-10-21T00:00:00"/>
    <s v="NO APLICA"/>
    <d v="2016-11-25T00:00:00"/>
    <d v="2016-11-25T00:00:00"/>
    <s v="NO APLICA"/>
    <s v="NO APLICA"/>
    <s v="NO APLICA"/>
    <m/>
    <s v="ü"/>
    <m/>
    <m/>
    <m/>
    <m/>
    <m/>
    <m/>
    <m/>
    <m/>
    <m/>
    <m/>
    <m/>
    <s v="ü"/>
    <s v="NO APLICA"/>
    <s v="NO APLICA"/>
    <s v="NO APLICA"/>
    <d v="2016-12-06T00:00:00"/>
    <m/>
    <m/>
    <m/>
    <m/>
    <m/>
    <m/>
    <m/>
    <m/>
    <m/>
    <m/>
    <m/>
    <m/>
    <m/>
    <m/>
    <m/>
    <m/>
    <m/>
    <m/>
    <m/>
    <m/>
    <m/>
    <m/>
    <m/>
    <m/>
    <m/>
    <m/>
    <m/>
    <m/>
    <n v="0"/>
    <m/>
    <m/>
    <m/>
    <m/>
    <m/>
    <m/>
    <m/>
    <n v="240"/>
    <s v="DESDE LA NOTIFICACIÓN DE LA ENTREGA DEL ANTICIPO"/>
    <d v="2016-12-07T00:00:00"/>
    <d v="2017-08-04T00:00:00"/>
    <m/>
    <m/>
    <m/>
    <m/>
    <m/>
    <m/>
    <m/>
    <m/>
    <m/>
    <m/>
    <m/>
    <m/>
    <m/>
    <m/>
    <m/>
    <m/>
    <m/>
    <m/>
    <m/>
    <m/>
    <m/>
    <m/>
    <m/>
    <m/>
    <m/>
    <m/>
    <m/>
    <m/>
    <m/>
    <m/>
    <m/>
    <m/>
    <m/>
    <m/>
    <m/>
    <m/>
    <n v="0"/>
    <n v="0.11"/>
    <n v="0.18"/>
    <n v="0.48"/>
    <n v="0.48"/>
    <n v="1"/>
    <n v="1"/>
    <n v="1"/>
    <n v="1"/>
    <n v="1"/>
    <n v="1"/>
    <n v="1"/>
    <n v="1"/>
    <n v="1"/>
    <n v="1"/>
    <n v="1"/>
    <n v="1"/>
    <n v="1"/>
    <n v="1"/>
    <n v="1"/>
    <x v="0"/>
    <n v="1"/>
    <n v="1"/>
    <n v="1"/>
    <x v="0"/>
    <s v="si"/>
    <s v="si"/>
    <s v="si"/>
    <s v="si"/>
    <s v="si"/>
    <s v="si"/>
    <s v="si"/>
    <x v="0"/>
    <s v="si"/>
    <s v="si"/>
    <s v="si"/>
    <m/>
    <m/>
    <m/>
    <m/>
    <m/>
    <m/>
    <m/>
    <m/>
    <m/>
    <m/>
    <m/>
    <m/>
    <m/>
    <m/>
  </r>
  <r>
    <x v="13"/>
    <s v="OBRAS"/>
    <x v="0"/>
    <s v="Proyectos de expansión y refuerzo en el Sistema Nacional de Distribución"/>
    <x v="0"/>
    <x v="0"/>
    <x v="0"/>
    <s v="GUAYAS"/>
    <x v="40"/>
    <n v="10"/>
    <x v="0"/>
    <s v="BID2-RSND-CNELGY-DI-OB-012"/>
    <s v="CONSTRUCCIÓN DE LAS ALIMENTADORAS A 13.8 KV GUASMO 8, GUASMO 9 Y GUASMO 10"/>
    <s v="Alimentadora Guasmo 10"/>
    <s v="LPN"/>
    <s v="ex-post"/>
    <s v="EJECUTADO BID"/>
    <s v="BID2-RSND-CNELGY-DI-OB-012"/>
    <s v="CONSTRUCCIONES INTEGRALES Y TECNOLOGICAS S.A. CONSITECNO"/>
    <s v="ECUATORIANA"/>
    <s v="PERSONA JURÍDICA"/>
    <s v="0 992762330001"/>
    <s v="ING. GERSON AGUIRRE MACIAS"/>
    <s v="DATO PENDIENTE"/>
    <s v="ING. LUIS CEVALLOS JÁCOME"/>
    <s v="DATO PENDIENTE"/>
    <n v="26636.529999999995"/>
    <n v="0"/>
    <n v="26636.529999999995"/>
    <m/>
    <n v="0"/>
    <n v="0"/>
    <n v="0.12"/>
    <n v="0"/>
    <n v="0"/>
    <n v="0"/>
    <m/>
    <m/>
    <m/>
    <m/>
    <m/>
    <m/>
    <m/>
    <m/>
    <m/>
    <m/>
    <m/>
    <m/>
    <m/>
    <m/>
    <m/>
    <m/>
    <m/>
    <m/>
    <m/>
    <m/>
    <m/>
    <n v="0"/>
    <n v="0"/>
    <s v="DDL, IAO 21.1."/>
    <s v="NO APLICA"/>
    <s v="NO APLICA"/>
    <s v="NO APLICA"/>
    <s v="NO APLICA"/>
    <s v="NO APLICA"/>
    <d v="2016-08-19T00:00:00"/>
    <d v="2016-08-30T00:00:00"/>
    <d v="2016-09-05T00:00:00"/>
    <d v="2016-09-16T00:00:00"/>
    <s v="NO APLICA"/>
    <d v="2016-09-23T00:00:00"/>
    <d v="2016-09-26T00:00:00"/>
    <s v="NO APLICA"/>
    <s v="NO APLICA"/>
    <s v="NO APLICA"/>
    <d v="2016-10-21T00:00:00"/>
    <s v="NO APLICA"/>
    <d v="2016-11-25T00:00:00"/>
    <d v="2016-11-25T00:00:00"/>
    <s v="NO APLICA"/>
    <s v="NO APLICA"/>
    <s v="NO APLICA"/>
    <m/>
    <s v="ü"/>
    <m/>
    <m/>
    <m/>
    <m/>
    <m/>
    <m/>
    <m/>
    <m/>
    <m/>
    <m/>
    <m/>
    <s v="ü"/>
    <s v="NO APLICA"/>
    <s v="NO APLICA"/>
    <s v="NO APLICA"/>
    <d v="2016-12-06T00:00:00"/>
    <m/>
    <m/>
    <m/>
    <m/>
    <m/>
    <m/>
    <m/>
    <m/>
    <m/>
    <m/>
    <m/>
    <m/>
    <m/>
    <m/>
    <m/>
    <m/>
    <m/>
    <m/>
    <m/>
    <m/>
    <m/>
    <m/>
    <m/>
    <m/>
    <m/>
    <m/>
    <m/>
    <m/>
    <n v="0"/>
    <m/>
    <m/>
    <m/>
    <m/>
    <m/>
    <m/>
    <m/>
    <n v="240"/>
    <s v="DESDE LA NOTIFICACIÓN DE LA ENTREGA DEL ANTICIPO"/>
    <d v="2016-12-07T00:00:00"/>
    <d v="2017-08-04T00:00:00"/>
    <m/>
    <m/>
    <m/>
    <m/>
    <m/>
    <m/>
    <m/>
    <m/>
    <m/>
    <m/>
    <m/>
    <m/>
    <m/>
    <m/>
    <m/>
    <m/>
    <m/>
    <m/>
    <m/>
    <m/>
    <m/>
    <m/>
    <m/>
    <m/>
    <m/>
    <m/>
    <m/>
    <m/>
    <m/>
    <m/>
    <m/>
    <m/>
    <m/>
    <m/>
    <m/>
    <m/>
    <n v="0"/>
    <n v="0.11"/>
    <n v="0.18"/>
    <n v="0.48"/>
    <n v="0.48"/>
    <n v="1"/>
    <n v="1"/>
    <n v="1"/>
    <n v="1"/>
    <n v="1"/>
    <n v="1"/>
    <n v="1"/>
    <n v="1"/>
    <n v="1"/>
    <n v="1"/>
    <n v="1"/>
    <n v="1"/>
    <n v="1"/>
    <n v="1"/>
    <n v="1"/>
    <x v="0"/>
    <n v="1"/>
    <n v="1"/>
    <n v="1"/>
    <x v="0"/>
    <s v="si"/>
    <s v="si"/>
    <s v="si"/>
    <s v="si"/>
    <s v="si"/>
    <s v="si"/>
    <s v="si"/>
    <x v="0"/>
    <s v="si"/>
    <s v="si"/>
    <s v="si"/>
    <m/>
    <m/>
    <m/>
    <m/>
    <m/>
    <m/>
    <m/>
    <m/>
    <m/>
    <m/>
    <m/>
    <m/>
    <m/>
    <m/>
  </r>
  <r>
    <x v="13"/>
    <s v="OBRAS"/>
    <x v="0"/>
    <s v="Proyectos de expansión y refuerzo en el Sistema Nacional de Distribución"/>
    <x v="0"/>
    <x v="0"/>
    <x v="0"/>
    <s v="GUAYAS"/>
    <x v="41"/>
    <n v="11"/>
    <x v="0"/>
    <s v="BID2-RSND-CNELGY-DI-OB-013"/>
    <s v=" CONSTRUCCIÓN DE LA ALIMENTADORA A 13.8 KV HUANCAVILCA 3"/>
    <m/>
    <s v="LPN"/>
    <s v="ex-post"/>
    <s v="EJECUTADO BID"/>
    <s v="BID2-RSND-CNELGY-DI-OB-013"/>
    <s v="INDUSTRIALES Y ELÉCTRICOS ASOCIADOS INDUELECTRIC"/>
    <s v="ECUATORIANA"/>
    <s v="PERSONA JURÍDICA"/>
    <s v="0 992626712001"/>
    <s v="ING. LUIS CEVALLOS JÁCOME"/>
    <s v="DATO PENDIENTE"/>
    <s v="ING. GERSON AGUIRRE MACIAS"/>
    <s v="DATO PENDIENTE"/>
    <m/>
    <n v="103907.52"/>
    <n v="0"/>
    <n v="103907.51785714284"/>
    <n v="0"/>
    <n v="103907.51785714284"/>
    <n v="0.12"/>
    <n v="12468.90214285714"/>
    <n v="0"/>
    <n v="116376.42"/>
    <n v="101051.07"/>
    <n v="2856.4499999999971"/>
    <m/>
    <m/>
    <n v="103907.51785714284"/>
    <m/>
    <n v="101301.7"/>
    <n v="0.14000000000000001"/>
    <m/>
    <n v="115483.93799999998"/>
    <m/>
    <m/>
    <m/>
    <m/>
    <m/>
    <m/>
    <m/>
    <m/>
    <m/>
    <m/>
    <m/>
    <n v="2605.820000000007"/>
    <n v="2605.820000000007"/>
    <s v="DDL, IAO 21.1."/>
    <s v="NO APLICA"/>
    <s v="NO APLICA"/>
    <s v="NO APLICA"/>
    <s v="NO APLICA"/>
    <s v="NO APLICA"/>
    <d v="2016-08-19T00:00:00"/>
    <d v="2016-08-30T00:00:00"/>
    <d v="2016-09-02T00:00:00"/>
    <d v="2016-09-19T00:00:00"/>
    <s v="NO APLICA"/>
    <d v="2016-09-26T00:00:00"/>
    <d v="2016-09-29T00:00:00"/>
    <s v="NO APLICA"/>
    <s v="NO APLICA"/>
    <s v="NO APLICA"/>
    <d v="2016-10-21T00:00:00"/>
    <s v="NO APLICA"/>
    <d v="2016-11-15T00:00:00"/>
    <d v="2016-11-15T00:00:00"/>
    <s v="NO APLICA"/>
    <s v="NO APLICA"/>
    <s v="NO APLICA"/>
    <m/>
    <s v="ü"/>
    <m/>
    <m/>
    <m/>
    <m/>
    <m/>
    <m/>
    <m/>
    <m/>
    <m/>
    <m/>
    <m/>
    <s v="ü"/>
    <s v="NO APLICA"/>
    <s v="NO APLICA"/>
    <s v="NO APLICA"/>
    <d v="2016-12-05T00:00:00"/>
    <n v="50650.85"/>
    <m/>
    <m/>
    <m/>
    <m/>
    <m/>
    <m/>
    <m/>
    <m/>
    <m/>
    <m/>
    <m/>
    <m/>
    <m/>
    <m/>
    <m/>
    <m/>
    <m/>
    <m/>
    <m/>
    <m/>
    <m/>
    <m/>
    <m/>
    <m/>
    <m/>
    <m/>
    <m/>
    <n v="50650.85"/>
    <m/>
    <m/>
    <m/>
    <m/>
    <m/>
    <m/>
    <m/>
    <n v="270"/>
    <s v="DESDE LA NOTIFICACIÓN DE LA ENTREGA DEL ANTICIPO"/>
    <d v="2016-12-06T00:00:00"/>
    <d v="2017-09-02T00:00:00"/>
    <m/>
    <m/>
    <m/>
    <m/>
    <m/>
    <m/>
    <m/>
    <m/>
    <m/>
    <m/>
    <m/>
    <m/>
    <m/>
    <m/>
    <m/>
    <m/>
    <m/>
    <m/>
    <m/>
    <m/>
    <m/>
    <m/>
    <m/>
    <m/>
    <m/>
    <m/>
    <m/>
    <m/>
    <m/>
    <m/>
    <m/>
    <m/>
    <m/>
    <m/>
    <m/>
    <m/>
    <n v="0"/>
    <n v="0.01"/>
    <n v="0.08"/>
    <n v="0.65"/>
    <n v="0.65"/>
    <n v="0.95"/>
    <n v="0.95"/>
    <n v="0.95"/>
    <n v="1"/>
    <n v="1"/>
    <n v="1"/>
    <n v="1"/>
    <n v="1"/>
    <n v="1"/>
    <n v="1"/>
    <n v="1"/>
    <n v="1"/>
    <n v="1"/>
    <n v="1"/>
    <n v="1"/>
    <x v="0"/>
    <n v="1"/>
    <n v="1"/>
    <n v="1"/>
    <x v="0"/>
    <s v="si"/>
    <s v="si"/>
    <s v="si"/>
    <s v="si"/>
    <s v="si"/>
    <s v="si"/>
    <s v="si"/>
    <x v="0"/>
    <s v="si"/>
    <s v="si"/>
    <s v="si"/>
    <m/>
    <m/>
    <m/>
    <m/>
    <m/>
    <m/>
    <m/>
    <m/>
    <m/>
    <m/>
    <m/>
    <m/>
    <m/>
    <m/>
  </r>
  <r>
    <x v="13"/>
    <s v="OBRAS"/>
    <x v="0"/>
    <s v="Proyectos de expansión y refuerzo en el Sistema Nacional de Distribución"/>
    <x v="0"/>
    <x v="0"/>
    <x v="0"/>
    <s v="GUAYAS"/>
    <x v="42"/>
    <n v="12"/>
    <x v="0"/>
    <s v="BID2-RSND-CNELGY-DI-OB-015"/>
    <s v=" CONSTRUCCIÓN DE LA ALIMENTADORA A 13.8 KV MI LOTE 1"/>
    <m/>
    <s v="LPN"/>
    <s v="ex-post"/>
    <s v="CONTRATADO"/>
    <s v="BID2-RSND-CNELGY-DI-OB-015"/>
    <s v="GERENRED S.A."/>
    <s v="ECUATORIANA"/>
    <s v="PERSONA JURÍDICA"/>
    <s v="0 992281634001"/>
    <m/>
    <m/>
    <m/>
    <m/>
    <m/>
    <n v="238167.19"/>
    <n v="0"/>
    <n v="179272.02"/>
    <n v="0"/>
    <n v="179272.02"/>
    <n v="0.12"/>
    <n v="21512.642399999997"/>
    <n v="0"/>
    <n v="200784.6624"/>
    <m/>
    <m/>
    <n v="62111.390000000014"/>
    <m/>
    <n v="179272.02"/>
    <m/>
    <n v="176055.8"/>
    <n v="0.12"/>
    <n v="21126.695999999996"/>
    <n v="197182.49600000001"/>
    <m/>
    <m/>
    <m/>
    <m/>
    <m/>
    <m/>
    <m/>
    <m/>
    <m/>
    <m/>
    <m/>
    <m/>
    <n v="0"/>
    <s v="DDL, IAO 21.1."/>
    <s v="NO APLICA"/>
    <s v="NO APLICA"/>
    <s v="NO APLICA"/>
    <s v="NO APLICA"/>
    <s v="NO APLICA"/>
    <d v="2017-06-19T00:00:00"/>
    <d v="2017-07-04T00:00:00"/>
    <d v="2017-07-11T00:00:00"/>
    <d v="2017-07-18T00:00:00"/>
    <s v="NO APLICA"/>
    <m/>
    <d v="2017-08-02T00:00:00"/>
    <s v="NO APLICA"/>
    <s v="NO APLICA"/>
    <s v="NO APLICA"/>
    <d v="2017-09-29T00:00:00"/>
    <s v="NO APLICA"/>
    <d v="2017-12-04T00:00:00"/>
    <d v="2017-12-04T00:00:00"/>
    <s v="NO APLICA"/>
    <s v="NO APLICA"/>
    <s v="NO APLICA"/>
    <m/>
    <m/>
    <m/>
    <m/>
    <m/>
    <m/>
    <m/>
    <m/>
    <m/>
    <m/>
    <m/>
    <m/>
    <m/>
    <m/>
    <m/>
    <s v="NO APLICA"/>
    <s v="NO APLICA"/>
    <m/>
    <m/>
    <m/>
    <m/>
    <m/>
    <m/>
    <m/>
    <m/>
    <m/>
    <m/>
    <m/>
    <m/>
    <m/>
    <m/>
    <m/>
    <m/>
    <m/>
    <m/>
    <m/>
    <m/>
    <m/>
    <m/>
    <m/>
    <m/>
    <m/>
    <m/>
    <m/>
    <m/>
    <m/>
    <n v="0"/>
    <m/>
    <m/>
    <m/>
    <m/>
    <m/>
    <m/>
    <m/>
    <n v="270"/>
    <s v="DESDE LA NOTIFICACIÓN DE LA ENTREGA DEL ANTICIPO"/>
    <m/>
    <m/>
    <m/>
    <m/>
    <m/>
    <m/>
    <m/>
    <m/>
    <m/>
    <m/>
    <m/>
    <m/>
    <m/>
    <m/>
    <m/>
    <m/>
    <m/>
    <m/>
    <m/>
    <m/>
    <m/>
    <m/>
    <m/>
    <m/>
    <m/>
    <m/>
    <m/>
    <m/>
    <m/>
    <m/>
    <m/>
    <m/>
    <m/>
    <m/>
    <m/>
    <m/>
    <m/>
    <m/>
    <m/>
    <n v="0"/>
    <n v="0"/>
    <n v="0"/>
    <n v="0"/>
    <n v="0"/>
    <n v="0"/>
    <n v="0"/>
    <n v="0"/>
    <n v="0.05"/>
    <n v="0.05"/>
    <n v="0.05"/>
    <n v="0.05"/>
    <n v="0.2"/>
    <n v="0.2"/>
    <n v="0.2"/>
    <n v="0.2"/>
    <n v="0.2"/>
    <n v="0.2"/>
    <n v="0.44"/>
    <x v="3"/>
    <n v="0.7"/>
    <n v="0.7"/>
    <n v="0.7"/>
    <x v="2"/>
    <s v="no"/>
    <s v="no"/>
    <s v="no"/>
    <s v="no"/>
    <s v="no"/>
    <s v="no"/>
    <s v="no"/>
    <x v="1"/>
    <s v="no"/>
    <s v="no"/>
    <s v="no"/>
    <s v="Se están haciendo excavaciones de huecos e izado de postes. Finaliza een Noviembre 2018"/>
    <m/>
    <m/>
    <s v="Se encuentra en ejecución se está actualizando cronograma de trabajo, por parte del contratista."/>
    <s v="23 de noviembre se solicitó aprobación de nuevos rubros para contrato complementario"/>
    <s v="Se está gestionando con el Área Jurídica la elaboración del contrato complementario. _x000a_Fecha prevista a terminar los trabajos en la obra 5/abril/2019,"/>
    <s v="Se liquidan rubros ejecutados por USD 119.807,01, y se firma un contrato omplementario el 13 de junio de 2019 por USD 20.339,86. lo cual da un total de USD 140.146,87  que será el valor total de la obra que termina en 28 días adicionales, no se entrega todavía anticipo_x000a_La obra se encontraba paralizada se solicitó levantamiento de suspensión de los trabajos el día 24/junio/2019. Se Reporta de la CNE UN GYE que tienen problemas con supensiones de servicio y no se pueden tender algunos tramos de conductor."/>
    <m/>
    <s v="En espera de equipos de seccionamiento para energizar la obra"/>
    <s v="En espera de equipos de seccionamiento para energizar la obra"/>
    <s v="PDTE REGULARIZAR REFORMA PARA JUSTIFICAR INCRMENTO DEL PRESUPUESTO EN EL PLAN DE ADQUISICION US$179.272,02"/>
    <m/>
    <s v="AUTORIZADO MEDIANTE OFICIO Nro. MINFIN-SRF-2017-0216-O DE 17 DE MARZO DE 2017"/>
    <m/>
  </r>
  <r>
    <x v="14"/>
    <s v="OBRAS"/>
    <x v="0"/>
    <s v=" Proyectos de expansión y refuerzo en el Sistema Nacional de Distribución"/>
    <x v="3"/>
    <x v="3"/>
    <x v="1"/>
    <s v="GUAYAS"/>
    <x v="43"/>
    <n v="1"/>
    <x v="0"/>
    <s v="BID2-RSND-CNELGLR-ST-OB-001"/>
    <s v="CONSTRUCCIÓN DE LA L/S/T A 69 KV PASCUALES – MANGLERO, SUMINISTRO DE MATERIALES, EQUIPOS Y MANO DE OBRA"/>
    <m/>
    <s v="LPI"/>
    <s v="ex-ante"/>
    <s v="CONTRATADO"/>
    <s v="BID2-RSND-CNELGLR-ST-OB-001"/>
    <s v="CONSORCIO PASCUALES MANGLERO, conformado por COFEKA CIA LTDA y  CONZACK S.A."/>
    <s v="ECUATORIANA"/>
    <s v="PERSONA JURÍDICA"/>
    <s v="0990600147001COFEKA CIA. LTDA. 0992590882001CONZACK S.A."/>
    <s v="DATO PENDIENTE"/>
    <s v="DATO PENDIENTE"/>
    <s v="ING. JAIME TENELEMA"/>
    <s v="099 219 5205"/>
    <m/>
    <n v="4054455.1"/>
    <n v="0"/>
    <n v="3575420.12"/>
    <n v="0"/>
    <n v="3575420.12"/>
    <n v="0.12"/>
    <n v="429050.41440000001"/>
    <n v="0"/>
    <n v="4004470.5344000007"/>
    <m/>
    <m/>
    <m/>
    <m/>
    <n v="3575420.12"/>
    <m/>
    <n v="3137571.03"/>
    <n v="0.14000000000000001"/>
    <m/>
    <n v="3576830.9741999996"/>
    <m/>
    <m/>
    <m/>
    <m/>
    <m/>
    <m/>
    <m/>
    <m/>
    <m/>
    <m/>
    <m/>
    <n v="916884.0700000003"/>
    <n v="916884.0700000003"/>
    <s v="REMITIDO POR CORREO"/>
    <d v="2016-06-17T00:00:00"/>
    <d v="2016-06-17T00:00:00"/>
    <s v="NO APLICA"/>
    <s v="NO APLICA"/>
    <s v="NO APLICA"/>
    <d v="2016-06-17T00:00:00"/>
    <d v="2016-07-22T00:00:00"/>
    <d v="2016-07-29T00:00:00"/>
    <d v="2016-08-05T00:00:00"/>
    <s v="NO APLICA"/>
    <s v="DATO PENDIENTE"/>
    <s v="DATO PENDIENTE"/>
    <s v="NO APLICA"/>
    <s v="NO APLICA"/>
    <d v="2016-10-17T00:00:00"/>
    <d v="2016-10-18T00:00:00"/>
    <s v="NO APLICA"/>
    <d v="2016-10-19T00:00:00"/>
    <d v="2016-10-28T00:00:00"/>
    <d v="2016-01-26T00:00:00"/>
    <s v="CAN/CEC-1554 DEL 14 DE AGOSTO DE 2017"/>
    <s v="ECA2773"/>
    <m/>
    <m/>
    <m/>
    <m/>
    <m/>
    <m/>
    <m/>
    <m/>
    <m/>
    <m/>
    <m/>
    <m/>
    <m/>
    <m/>
    <m/>
    <s v="NO APLICA"/>
    <s v="NO APLICA"/>
    <d v="2016-11-14T00:00:00"/>
    <n v="1568785.62"/>
    <m/>
    <m/>
    <m/>
    <m/>
    <m/>
    <m/>
    <m/>
    <m/>
    <m/>
    <m/>
    <m/>
    <m/>
    <m/>
    <m/>
    <m/>
    <m/>
    <m/>
    <m/>
    <m/>
    <m/>
    <m/>
    <m/>
    <m/>
    <m/>
    <m/>
    <m/>
    <m/>
    <n v="1568785.62"/>
    <m/>
    <m/>
    <m/>
    <m/>
    <m/>
    <m/>
    <m/>
    <n v="306"/>
    <s v="DESDE LA NOTIFICACIÓN DE LA ENTREGA DEL ANTICIPO"/>
    <d v="2016-11-15T00:00:00"/>
    <d v="2017-09-17T00:00:00"/>
    <m/>
    <m/>
    <m/>
    <n v="1"/>
    <d v="2016-11-28T00:00:00"/>
    <d v="2017-01-24T00:00:00"/>
    <n v="57"/>
    <n v="2"/>
    <d v="2017-02-18T00:00:00"/>
    <d v="2017-04-03T00:00:00"/>
    <n v="44"/>
    <n v="3"/>
    <d v="2017-08-15T00:00:00"/>
    <d v="2017-09-23T00:00:00"/>
    <n v="39"/>
    <n v="4"/>
    <d v="2017-11-25T00:00:00"/>
    <d v="2018-03-21T00:00:00"/>
    <n v="116"/>
    <n v="256"/>
    <m/>
    <m/>
    <m/>
    <m/>
    <m/>
    <m/>
    <m/>
    <m/>
    <m/>
    <m/>
    <m/>
    <m/>
    <m/>
    <m/>
    <n v="0.02"/>
    <m/>
    <n v="0.02"/>
    <n v="0.08"/>
    <n v="0.08"/>
    <n v="0.12"/>
    <n v="0.17"/>
    <n v="0.28999999999999998"/>
    <n v="0.13"/>
    <n v="0.13"/>
    <n v="0.13"/>
    <n v="0.51300000000000001"/>
    <n v="0.51300000000000001"/>
    <n v="0.57999999999999996"/>
    <n v="0.61399999999999999"/>
    <n v="0.6431"/>
    <n v="0.71"/>
    <n v="0.73"/>
    <n v="0.73"/>
    <n v="0.73"/>
    <n v="0.75"/>
    <n v="0.76"/>
    <x v="4"/>
    <n v="0.77"/>
    <n v="0.84"/>
    <n v="0.84009999999999996"/>
    <x v="3"/>
    <s v="no"/>
    <s v="no"/>
    <s v="no"/>
    <s v="no"/>
    <s v="no"/>
    <s v="no"/>
    <s v="no"/>
    <x v="1"/>
    <s v="no"/>
    <s v="no"/>
    <s v="no"/>
    <s v="Obra en avance en parte de Daule, firmado contrato complementario. Finalización prevista en Diciembre 2018, fiscalizado en enero 2019."/>
    <s v="Contrato complementario en marcha, pero tramo Samborondón no se puede concluir debido a que no se puede suspender el servicio por un cable aislado en mal estado en el Puente de la Unidad Naciona. Problemas de servidumbres aún no resueltos en predios privados, sector Villa Italia. Probelmas de un nuevo paso a desnivel que construirá GAD Daule en sector La Joya"/>
    <s v="Programación de suspensiones de servicio por resolver para el tramo de Samborondón. Problemas de permisos de servdumbre en 15 estructuras del GAD de Daule. Problemas en 4 estructuras en el Seco La Joya por paso a desnivel en vías de solución, se conversó con contratista del paso a desnivel para que cambie el recorrido de las vías. _x000a_Por resolver tema de CT y aisladores de bahía con CELEC TRANSELECTRIC"/>
    <s v="Se gestionó con CELEC la entrega de CT 2000/5 y el préstamo de aisladores de bahía Manglero en la SE Pascuales. _x000a_Tramo Samborondón con solución parcial. Se inciaron suspensiones de servicio para el tendido de 1,3 km de cable.   Se está evaluando posibiidad de que CELEC colabore son grupos energizados._x000a_En sector de Villa Italia, hay 1 km de Línea aún en conflicto de servidumbres y permisos de construcción._x000a_Estado actual del contrato, inactivo"/>
    <s v="En trámite de pago segunda planilla de Complementario. Sigue pendiente solución del tramo en Daule en  litigio entre GAD de Daule y Carlos Silva"/>
    <s v="Se paga planilla 3/4 al Consorcio Pascuales Manglero por un valor de  564.762,78 el 18/dic/2018"/>
    <m/>
    <m/>
    <s v="En la franja de terreno, detrás de VillaItalia, se continúa con actividades de relleno, se instalaron 4 estructuras de hormigón y se hicieron 2 excavaciones y armado para postes metálicos, de un total de 10 esturcturas (5 postes hormigón + 3 postes metálicos y 2 torres)"/>
    <s v="En espera de suscripción del nuevo contrato complementario. "/>
    <m/>
    <m/>
    <m/>
    <m/>
  </r>
  <r>
    <x v="15"/>
    <s v="OBRAS"/>
    <x v="0"/>
    <s v="Proyectos de expansión y refuerzo en el Sistema Nacional de Distribución"/>
    <x v="3"/>
    <x v="3"/>
    <x v="1"/>
    <s v="LOS RÍOS"/>
    <x v="44"/>
    <n v="1"/>
    <x v="0"/>
    <s v="BID2-RSND-CNELLRS-ST-OB-009 "/>
    <s v=" LEVANTAMIENTO LÍNEAS DE SUBTRANSMISION CON CAMBIO DE ESTRUCTURAS "/>
    <m/>
    <s v="LPN"/>
    <s v="ex-post"/>
    <s v="EJECUTADO BID"/>
    <s v="BID2-RSND-CNELLRS-ST-OB-009 "/>
    <s v="ING. AROL CARRILLO ANCHUNDIA"/>
    <s v="ECUATORIANA"/>
    <s v="PERSONA NATURAL"/>
    <n v="1302573876001"/>
    <s v="ING. MARCOS ORDEÑANA MOSCOSO"/>
    <s v="0 987495188"/>
    <s v="ING. FULTON LUCAS"/>
    <s v="(05) 2 730 089 Ext. 220"/>
    <m/>
    <n v="225810.56"/>
    <n v="0"/>
    <n v="204351.84"/>
    <n v="0"/>
    <n v="204351.84"/>
    <n v="0.12"/>
    <n v="24522.220799999999"/>
    <n v="0"/>
    <n v="228874.06080000001"/>
    <n v="198035.85"/>
    <n v="27774.709999999992"/>
    <m/>
    <m/>
    <n v="204351.84"/>
    <m/>
    <n v="202821.81"/>
    <m/>
    <m/>
    <m/>
    <m/>
    <m/>
    <m/>
    <m/>
    <m/>
    <m/>
    <m/>
    <m/>
    <m/>
    <m/>
    <m/>
    <n v="22988.75"/>
    <n v="22988.75"/>
    <s v="DDL, IAO 21.1."/>
    <s v="NO APLICA"/>
    <s v="NO APLICA"/>
    <s v="NO APLICA"/>
    <s v="NO APLICA"/>
    <s v="NO APLICA"/>
    <d v="2015-11-04T00:00:00"/>
    <d v="2015-11-18T00:00:00"/>
    <d v="2015-11-20T00:00:00"/>
    <d v="2015-11-25T00:00:00"/>
    <s v="NO APLICA"/>
    <d v="2015-12-04T00:00:00"/>
    <d v="2015-12-09T00:00:00"/>
    <s v="NO APLICA"/>
    <s v="NO APLICA"/>
    <s v="NO APLICA"/>
    <d v="2015-12-04T00:00:00"/>
    <s v="NO APLICA"/>
    <d v="2015-12-09T00:00:00"/>
    <d v="2016-01-21T00:00:00"/>
    <s v="NO APLICA"/>
    <s v="NO APLICA"/>
    <s v="NO APLICA"/>
    <m/>
    <s v="ü"/>
    <m/>
    <m/>
    <m/>
    <m/>
    <m/>
    <m/>
    <m/>
    <m/>
    <m/>
    <m/>
    <m/>
    <s v="ü"/>
    <s v="NO APLICA"/>
    <s v="SI"/>
    <n v="0.05"/>
    <d v="2016-09-12T00:00:00"/>
    <n v="101410.905"/>
    <m/>
    <d v="2016-12-09T00:00:00"/>
    <n v="47827.35"/>
    <m/>
    <d v="2016-12-27T00:00:00"/>
    <n v="48797.59"/>
    <m/>
    <m/>
    <m/>
    <m/>
    <m/>
    <m/>
    <m/>
    <m/>
    <m/>
    <m/>
    <m/>
    <m/>
    <m/>
    <m/>
    <m/>
    <m/>
    <m/>
    <m/>
    <m/>
    <m/>
    <m/>
    <n v="198035.845"/>
    <n v="53583.56"/>
    <m/>
    <m/>
    <m/>
    <m/>
    <n v="251619.405"/>
    <n v="-48797.595000000001"/>
    <n v="120"/>
    <s v="DESDE LA NOTIFICACIÓN DE LA ENTREGA DEL ANTICIPO"/>
    <d v="2016-09-13T00:00:00"/>
    <d v="2017-01-11T00:00:00"/>
    <m/>
    <m/>
    <m/>
    <m/>
    <m/>
    <m/>
    <m/>
    <m/>
    <m/>
    <m/>
    <m/>
    <m/>
    <m/>
    <m/>
    <m/>
    <m/>
    <m/>
    <m/>
    <m/>
    <m/>
    <m/>
    <s v="DATO PENDIENTE"/>
    <m/>
    <m/>
    <m/>
    <m/>
    <m/>
    <m/>
    <m/>
    <m/>
    <m/>
    <m/>
    <m/>
    <m/>
    <n v="1"/>
    <n v="1"/>
    <n v="1"/>
    <n v="1"/>
    <n v="1"/>
    <n v="1"/>
    <n v="1"/>
    <n v="1"/>
    <n v="1"/>
    <n v="1"/>
    <n v="1"/>
    <n v="1"/>
    <n v="1"/>
    <n v="1"/>
    <n v="1"/>
    <n v="1"/>
    <n v="1"/>
    <n v="1"/>
    <n v="1"/>
    <n v="1"/>
    <n v="1"/>
    <n v="1"/>
    <x v="0"/>
    <n v="1"/>
    <n v="1"/>
    <n v="1"/>
    <x v="0"/>
    <s v="si"/>
    <s v="si"/>
    <s v="si"/>
    <s v="si"/>
    <s v="si"/>
    <s v="si"/>
    <s v="si"/>
    <x v="0"/>
    <s v="si"/>
    <s v="si"/>
    <s v="si"/>
    <m/>
    <m/>
    <m/>
    <m/>
    <m/>
    <m/>
    <m/>
    <m/>
    <m/>
    <m/>
    <s v="REAPERTURA DEL PROCESO BID2-RSND-CNELLRS-ST-OB-001"/>
    <m/>
    <m/>
    <m/>
  </r>
  <r>
    <x v="15"/>
    <s v="OBRAS"/>
    <x v="0"/>
    <s v="Proyectos de expansión y refuerzo en el Sistema Nacional de Distribución"/>
    <x v="3"/>
    <x v="3"/>
    <x v="0"/>
    <s v="LOS RÍOS"/>
    <x v="45"/>
    <n v="2"/>
    <x v="0"/>
    <s v="BID2-RSND-CNELLRS-ST-OB-002"/>
    <s v="SUMINISTRO, MONTAJE DE EQUIPOS Y AMPLIACIONES MENORES PARA INTERCONEXIÓN ENTRE ALIMENTADORES DE MT DE LAS DIFERENTES SUBESTACIONES"/>
    <m/>
    <s v="LPN"/>
    <s v="ex-post"/>
    <s v="EJECUTADO BID"/>
    <s v="BID2-RSND-CNELLRS-ST-OB-002"/>
    <s v="COFEKA CIA. LTDA.  "/>
    <s v="ECUATORIANA"/>
    <s v="PERSONA JURÍDICA"/>
    <s v="0 990600147001"/>
    <s v="TENAZCOMPANY S.A. / ING. JORGE JARAMILLO"/>
    <s v="0 994116411"/>
    <s v="ING. SOLANGE DOYLET PARRA"/>
    <s v="(05) 2 730 089 Ext.318"/>
    <m/>
    <n v="424702.6"/>
    <n v="0"/>
    <n v="446161.32"/>
    <n v="0"/>
    <n v="446161.32"/>
    <n v="0.12"/>
    <n v="53539.358399999997"/>
    <n v="0"/>
    <n v="499700.67840000003"/>
    <n v="398200"/>
    <n v="26502.599999999977"/>
    <m/>
    <m/>
    <n v="446161.32"/>
    <m/>
    <n v="398200"/>
    <m/>
    <m/>
    <m/>
    <m/>
    <m/>
    <m/>
    <m/>
    <m/>
    <m/>
    <m/>
    <m/>
    <m/>
    <m/>
    <m/>
    <n v="26502.599999999977"/>
    <n v="26502.599999999977"/>
    <s v="DDL, IAO 21.1."/>
    <s v="NO APLICA"/>
    <s v="NO APLICA"/>
    <s v="NO APLICA"/>
    <s v="NO APLICA"/>
    <s v="NO APLICA"/>
    <d v="2015-09-09T00:00:00"/>
    <d v="2015-09-28T00:00:00"/>
    <d v="2015-10-05T00:00:00"/>
    <d v="2015-10-12T00:00:00"/>
    <s v="NO APLICA"/>
    <d v="2015-10-19T00:00:00"/>
    <d v="2015-10-23T00:00:00"/>
    <s v="NO APLICA"/>
    <s v="NO APLICA"/>
    <s v="NO APLICA"/>
    <d v="2015-10-28T00:00:00"/>
    <s v="NO APLICA"/>
    <d v="2015-10-28T00:00:00"/>
    <d v="2015-11-12T00:00:00"/>
    <s v="NO APLICA"/>
    <s v="NO APLICA"/>
    <s v="NO APLICA"/>
    <m/>
    <s v="ü"/>
    <m/>
    <m/>
    <m/>
    <m/>
    <m/>
    <m/>
    <m/>
    <m/>
    <m/>
    <m/>
    <m/>
    <s v="ü"/>
    <s v="NO APLICA"/>
    <s v="SI"/>
    <n v="0.05"/>
    <d v="2016-12-15T00:00:00"/>
    <n v="199100"/>
    <m/>
    <d v="2016-11-01T00:00:00"/>
    <n v="119460"/>
    <m/>
    <m/>
    <m/>
    <m/>
    <m/>
    <m/>
    <m/>
    <m/>
    <m/>
    <m/>
    <m/>
    <m/>
    <m/>
    <m/>
    <m/>
    <m/>
    <m/>
    <m/>
    <m/>
    <m/>
    <m/>
    <m/>
    <m/>
    <m/>
    <n v="318560"/>
    <m/>
    <m/>
    <m/>
    <m/>
    <m/>
    <m/>
    <m/>
    <n v="180"/>
    <s v="DESDE LA NOTIFICACIÓN DE LA ENTREGA DEL ANTICIPO"/>
    <d v="2016-12-16T00:00:00"/>
    <d v="2017-06-14T00:00:00"/>
    <m/>
    <m/>
    <m/>
    <m/>
    <m/>
    <m/>
    <m/>
    <m/>
    <m/>
    <m/>
    <m/>
    <m/>
    <m/>
    <m/>
    <m/>
    <m/>
    <m/>
    <m/>
    <m/>
    <m/>
    <m/>
    <m/>
    <m/>
    <m/>
    <m/>
    <m/>
    <m/>
    <m/>
    <m/>
    <m/>
    <n v="0.74"/>
    <n v="0.74"/>
    <n v="0.74"/>
    <n v="0.74"/>
    <n v="0.74"/>
    <n v="0.74"/>
    <n v="0.78"/>
    <n v="0.81"/>
    <n v="1"/>
    <n v="1"/>
    <n v="1"/>
    <n v="1"/>
    <n v="1"/>
    <n v="1"/>
    <n v="1"/>
    <n v="1"/>
    <n v="1"/>
    <n v="1"/>
    <n v="1"/>
    <n v="1"/>
    <n v="1"/>
    <n v="1"/>
    <n v="1"/>
    <n v="1"/>
    <n v="1"/>
    <n v="1"/>
    <x v="0"/>
    <n v="1"/>
    <n v="1"/>
    <n v="1"/>
    <x v="0"/>
    <s v="si"/>
    <s v="si"/>
    <s v="si"/>
    <s v="si"/>
    <s v="si"/>
    <s v="si"/>
    <s v="si"/>
    <x v="0"/>
    <s v="si"/>
    <s v="si"/>
    <s v="si"/>
    <m/>
    <m/>
    <m/>
    <m/>
    <m/>
    <m/>
    <m/>
    <m/>
    <m/>
    <m/>
    <m/>
    <m/>
    <m/>
    <m/>
  </r>
  <r>
    <x v="15"/>
    <s v="OBRAS"/>
    <x v="0"/>
    <s v="Proyectos de expansión y refuerzo en el Sistema Nacional de Distribución"/>
    <x v="3"/>
    <x v="3"/>
    <x v="0"/>
    <s v="LOS RÍOS"/>
    <x v="46"/>
    <n v="3"/>
    <x v="0"/>
    <s v="BID2-RSND-CNELLRS-DI-OB-003"/>
    <s v="SALIDAS DE SUBESTACION PALENQUE (4) Y REPOTENCIACION ALIMENTADOR PALENQUE, VINCES, S/E LA ERCILIA: EL GUINEO, RCTO. LA ERCILIA"/>
    <s v="SE Palenque"/>
    <s v="LPN"/>
    <s v="ex-post"/>
    <s v="EJECUTADO BID"/>
    <s v="BID2-RSND-CNELLRS-DI-OB-003"/>
    <s v="ASOCIACIÓN R&amp;C CONSTRUCCIONES ELÉCTRICAS"/>
    <s v="ECUATORIANA"/>
    <s v="PERSONA JURÍDICA"/>
    <n v="1291755751001"/>
    <s v="TENAZCOMPANY S.A. / ING. JORGE JARAMILLO"/>
    <s v="0 994116411"/>
    <s v="ING. JULIO VELASCO"/>
    <s v="(05) 2 730 089 Ext.300"/>
    <n v="327841.56403608399"/>
    <n v="402359.22"/>
    <n v="0"/>
    <n v="402359.21"/>
    <n v="0"/>
    <n v="402359.21"/>
    <n v="0.12"/>
    <n v="48283.105199999998"/>
    <n v="0"/>
    <n v="450642.31520000007"/>
    <n v="292486.69"/>
    <n v="109872.52999999997"/>
    <m/>
    <m/>
    <n v="402359.22321428568"/>
    <m/>
    <n v="392587.03"/>
    <m/>
    <m/>
    <m/>
    <m/>
    <m/>
    <m/>
    <m/>
    <m/>
    <m/>
    <m/>
    <m/>
    <m/>
    <m/>
    <m/>
    <n v="9772.1899999999441"/>
    <n v="9772.1899999999441"/>
    <s v="DDL, IAO 21.1."/>
    <s v="NO APLICA"/>
    <s v="NO APLICA"/>
    <s v="NO APLICA"/>
    <s v="NO APLICA"/>
    <s v="NO APLICA"/>
    <d v="2015-09-07T00:00:00"/>
    <d v="2015-09-23T00:00:00"/>
    <d v="2015-09-30T00:00:00"/>
    <d v="2015-10-07T00:00:00"/>
    <s v="NO APLICA"/>
    <d v="2015-10-14T00:00:00"/>
    <d v="2015-10-16T00:00:00"/>
    <s v="NO APLICA"/>
    <s v="NO APLICA"/>
    <s v="NO APLICA"/>
    <d v="2015-10-16T00:00:00"/>
    <s v="NO APLICA"/>
    <d v="2015-10-16T00:00:00"/>
    <d v="2015-11-16T00:00:00"/>
    <s v="NO APLICA"/>
    <s v="NO APLICA"/>
    <s v="NO APLICA"/>
    <m/>
    <s v="ü"/>
    <m/>
    <m/>
    <m/>
    <m/>
    <m/>
    <m/>
    <m/>
    <m/>
    <m/>
    <m/>
    <m/>
    <s v="ü"/>
    <s v="NO APLICA"/>
    <s v="SI"/>
    <n v="0.05"/>
    <d v="2016-02-18T00:00:00"/>
    <n v="196293.51500000001"/>
    <m/>
    <m/>
    <m/>
    <m/>
    <m/>
    <m/>
    <m/>
    <m/>
    <m/>
    <m/>
    <m/>
    <m/>
    <m/>
    <m/>
    <m/>
    <m/>
    <m/>
    <m/>
    <m/>
    <m/>
    <m/>
    <m/>
    <m/>
    <m/>
    <m/>
    <m/>
    <m/>
    <n v="196293.51500000001"/>
    <m/>
    <m/>
    <m/>
    <m/>
    <m/>
    <m/>
    <m/>
    <n v="120"/>
    <s v="DESDE LA NOTIFICACIÓN DE LA ENTREGA DEL ANTICIPO"/>
    <d v="2016-02-19T00:00:00"/>
    <d v="2016-06-18T00:00:00"/>
    <m/>
    <m/>
    <m/>
    <m/>
    <m/>
    <m/>
    <m/>
    <m/>
    <m/>
    <m/>
    <m/>
    <m/>
    <m/>
    <m/>
    <m/>
    <m/>
    <m/>
    <m/>
    <m/>
    <m/>
    <m/>
    <m/>
    <m/>
    <m/>
    <m/>
    <n v="0.26"/>
    <n v="0.37"/>
    <n v="0.37"/>
    <n v="0.37"/>
    <n v="0.37"/>
    <n v="0.37"/>
    <n v="0.76"/>
    <n v="0.8"/>
    <n v="0.8"/>
    <n v="0.88"/>
    <n v="1"/>
    <n v="1"/>
    <n v="1"/>
    <n v="1"/>
    <n v="1"/>
    <n v="1"/>
    <n v="1"/>
    <n v="1"/>
    <n v="1"/>
    <n v="1"/>
    <n v="1"/>
    <n v="1"/>
    <n v="1"/>
    <n v="1"/>
    <n v="1"/>
    <n v="1"/>
    <n v="1"/>
    <n v="1"/>
    <n v="1"/>
    <n v="1"/>
    <n v="1"/>
    <x v="0"/>
    <n v="1"/>
    <n v="1"/>
    <n v="1"/>
    <x v="0"/>
    <s v="no"/>
    <s v="no"/>
    <s v="no"/>
    <s v="no"/>
    <s v="no"/>
    <s v="no"/>
    <s v="no"/>
    <x v="0"/>
    <s v="si"/>
    <s v="si"/>
    <s v="si"/>
    <m/>
    <m/>
    <m/>
    <m/>
    <s v="Este proyecto está colcluido hace mucho tiempo, pero no está liquidado, puede ser que haya un problema con el código del proceso"/>
    <m/>
    <s v="Las obras n se hiciron completas porque CNEL hizo con recursos propios. "/>
    <m/>
    <m/>
    <m/>
    <s v="ERROR EN EL CÓDIGO DEL PROCESO EN LUGAR DE BID2-RSND-CNELLRS-DI-OB-003 DEBE SER BID2-RSND-CNELLRS-ST-OB-003"/>
    <m/>
    <m/>
    <m/>
  </r>
  <r>
    <x v="15"/>
    <s v="OBRAS"/>
    <x v="0"/>
    <s v="Proyectos de expansión y refuerzo en el Sistema Nacional de Distribución"/>
    <x v="3"/>
    <x v="3"/>
    <x v="0"/>
    <s v="LOS RÍOS"/>
    <x v="47"/>
    <n v="4"/>
    <x v="0"/>
    <s v="BID2-RSND-CNELLRS-DI-OB-003"/>
    <s v="SALIDAS DE SUBESTACION PALENQUE (4) Y REPOTENCIACION ALIMENTADOR PALENQUE, VINCES, S/E LA ERCILIA: EL GUINEO, RCTO. LA ERCILIA"/>
    <s v="SE Vinces"/>
    <s v="LPN"/>
    <s v="ex-post"/>
    <s v="EJECUTADO BID"/>
    <s v="BID2-RSND-CNELLRS-DI-OB-003"/>
    <s v="ASOCIACIÓN R&amp;C CONSTRUCCIONES ELÉCTRICAS"/>
    <s v="ECUATORIANA"/>
    <s v="PERSONA JURÍDICA"/>
    <n v="1291755751001"/>
    <s v="TENAZCOMPANY S.A. / ING. JORGE JARAMILLO"/>
    <s v="0 994116411"/>
    <s v="ING. JULIO VELASCO"/>
    <s v="(05) 2 730 089 Ext.300"/>
    <n v="48148.900800000003"/>
    <n v="0"/>
    <n v="0"/>
    <m/>
    <n v="0"/>
    <n v="0"/>
    <n v="0.12"/>
    <n v="0"/>
    <n v="0"/>
    <n v="0"/>
    <m/>
    <m/>
    <m/>
    <m/>
    <m/>
    <m/>
    <m/>
    <m/>
    <m/>
    <m/>
    <m/>
    <m/>
    <m/>
    <m/>
    <m/>
    <m/>
    <m/>
    <m/>
    <m/>
    <m/>
    <m/>
    <n v="0"/>
    <n v="0"/>
    <s v="DDL, IAO 21.1."/>
    <s v="NO APLICA"/>
    <s v="NO APLICA"/>
    <s v="NO APLICA"/>
    <s v="NO APLICA"/>
    <s v="NO APLICA"/>
    <d v="2015-09-07T00:00:00"/>
    <d v="2015-09-23T00:00:00"/>
    <d v="2015-09-30T00:00:00"/>
    <d v="2015-10-07T00:00:00"/>
    <s v="NO APLICA"/>
    <d v="2015-10-14T00:00:00"/>
    <d v="2015-10-16T00:00:00"/>
    <s v="NO APLICA"/>
    <s v="NO APLICA"/>
    <s v="NO APLICA"/>
    <d v="2015-10-16T00:00:00"/>
    <s v="NO APLICA"/>
    <d v="2015-10-16T00:00:00"/>
    <d v="2015-11-16T00:00:00"/>
    <s v="NO APLICA"/>
    <s v="NO APLICA"/>
    <s v="NO APLICA"/>
    <m/>
    <s v="ü"/>
    <m/>
    <m/>
    <m/>
    <m/>
    <m/>
    <m/>
    <m/>
    <m/>
    <m/>
    <m/>
    <m/>
    <s v="ü"/>
    <s v="NO APLICA"/>
    <s v="SI"/>
    <n v="0.05"/>
    <d v="2016-02-18T00:00:00"/>
    <n v="0"/>
    <m/>
    <m/>
    <m/>
    <m/>
    <m/>
    <m/>
    <m/>
    <m/>
    <m/>
    <m/>
    <m/>
    <m/>
    <m/>
    <m/>
    <m/>
    <m/>
    <m/>
    <m/>
    <m/>
    <m/>
    <m/>
    <m/>
    <m/>
    <m/>
    <m/>
    <m/>
    <m/>
    <n v="0"/>
    <m/>
    <m/>
    <m/>
    <m/>
    <m/>
    <m/>
    <m/>
    <n v="120"/>
    <s v="DESDE LA NOTIFICACIÓN DE LA ENTREGA DEL ANTICIPO"/>
    <d v="2016-02-19T00:00:00"/>
    <d v="2016-06-18T00:00:00"/>
    <m/>
    <m/>
    <m/>
    <m/>
    <m/>
    <m/>
    <m/>
    <m/>
    <m/>
    <m/>
    <m/>
    <m/>
    <m/>
    <m/>
    <m/>
    <m/>
    <m/>
    <m/>
    <m/>
    <m/>
    <m/>
    <m/>
    <m/>
    <m/>
    <m/>
    <n v="0.26"/>
    <n v="0.37"/>
    <n v="0.37"/>
    <n v="0.37"/>
    <n v="0.37"/>
    <n v="0.37"/>
    <n v="0.76"/>
    <n v="0.8"/>
    <n v="0.8"/>
    <n v="0.88"/>
    <n v="1"/>
    <n v="1"/>
    <n v="1"/>
    <n v="1"/>
    <n v="1"/>
    <n v="1"/>
    <n v="1"/>
    <n v="1"/>
    <n v="1"/>
    <n v="1"/>
    <n v="1"/>
    <n v="1"/>
    <n v="1"/>
    <n v="1"/>
    <n v="1"/>
    <n v="1"/>
    <n v="1"/>
    <n v="1"/>
    <n v="1"/>
    <n v="1"/>
    <n v="1"/>
    <x v="0"/>
    <n v="1"/>
    <n v="1"/>
    <n v="1"/>
    <x v="0"/>
    <s v="no"/>
    <s v="no"/>
    <s v="no"/>
    <s v="no"/>
    <s v="no"/>
    <s v="no"/>
    <s v="no"/>
    <x v="1"/>
    <s v="si"/>
    <s v="si"/>
    <s v="si"/>
    <m/>
    <m/>
    <m/>
    <m/>
    <m/>
    <m/>
    <s v="Por liquidar"/>
    <m/>
    <m/>
    <m/>
    <s v="ERROR EN EL CÓDIGO DEL PROCESO EN LUGAR DE BID2-RSND-CNELLRS-DI-OB-003 DEBE SER BID2-RSND-CNELLRS-ST-OB-003"/>
    <m/>
    <m/>
    <m/>
  </r>
  <r>
    <x v="15"/>
    <s v="OBRAS"/>
    <x v="0"/>
    <s v="Proyectos de expansión y refuerzo en el Sistema Nacional de Distribución"/>
    <x v="3"/>
    <x v="3"/>
    <x v="0"/>
    <s v="LOS RÍOS"/>
    <x v="48"/>
    <n v="5"/>
    <x v="0"/>
    <s v="BID2-RSND-CNELLRS-DI-OB-003"/>
    <s v="SALIDAS DE SUBESTACION PALENQUE (4) Y REPOTENCIACION ALIMENTADOR PALENQUE, VINCES, S/E LA ERCILIA: EL GUINEO, RCTO. LA ERCILIA"/>
    <s v="SE Ercilia"/>
    <s v="LPN"/>
    <s v="ex-post"/>
    <s v="EJECUTADO BID"/>
    <s v="BID2-RSND-CNELLRS-DI-OB-003"/>
    <s v="ASOCIACIÓN R&amp;C CONSTRUCCIONES ELÉCTRICAS"/>
    <s v="ECUATORIANA"/>
    <s v="PERSONA JURÍDICA"/>
    <n v="1291755751001"/>
    <s v="TENAZCOMPANY S.A. / ING. JORGE JARAMILLO"/>
    <s v="0 994116411"/>
    <s v="ING. JULIO VELASCO"/>
    <s v="(05) 2 730 089 Ext.300"/>
    <n v="26368.76"/>
    <n v="0"/>
    <n v="0"/>
    <m/>
    <n v="0"/>
    <n v="0"/>
    <n v="0.12"/>
    <n v="0"/>
    <n v="0"/>
    <n v="0"/>
    <m/>
    <m/>
    <m/>
    <m/>
    <m/>
    <m/>
    <m/>
    <m/>
    <m/>
    <m/>
    <m/>
    <m/>
    <m/>
    <m/>
    <m/>
    <m/>
    <m/>
    <m/>
    <m/>
    <m/>
    <m/>
    <n v="0"/>
    <n v="0"/>
    <s v="DDL, IAO 21.1."/>
    <s v="NO APLICA"/>
    <s v="NO APLICA"/>
    <s v="NO APLICA"/>
    <s v="NO APLICA"/>
    <s v="NO APLICA"/>
    <d v="2015-09-07T00:00:00"/>
    <d v="2015-09-23T00:00:00"/>
    <d v="2015-09-30T00:00:00"/>
    <d v="2015-10-07T00:00:00"/>
    <s v="NO APLICA"/>
    <d v="2015-10-14T00:00:00"/>
    <d v="2015-10-16T00:00:00"/>
    <s v="NO APLICA"/>
    <s v="NO APLICA"/>
    <s v="NO APLICA"/>
    <d v="2015-10-16T00:00:00"/>
    <s v="NO APLICA"/>
    <d v="2015-10-16T00:00:00"/>
    <d v="2015-11-16T00:00:00"/>
    <s v="NO APLICA"/>
    <s v="NO APLICA"/>
    <s v="NO APLICA"/>
    <m/>
    <s v="ü"/>
    <m/>
    <m/>
    <m/>
    <m/>
    <m/>
    <m/>
    <m/>
    <m/>
    <m/>
    <m/>
    <m/>
    <s v="ü"/>
    <s v="NO APLICA"/>
    <s v="SI"/>
    <n v="0.05"/>
    <d v="2016-02-18T00:00:00"/>
    <n v="0"/>
    <m/>
    <m/>
    <m/>
    <m/>
    <m/>
    <m/>
    <m/>
    <m/>
    <m/>
    <m/>
    <m/>
    <m/>
    <m/>
    <m/>
    <m/>
    <m/>
    <m/>
    <m/>
    <m/>
    <m/>
    <m/>
    <m/>
    <m/>
    <m/>
    <m/>
    <m/>
    <m/>
    <n v="0"/>
    <m/>
    <m/>
    <m/>
    <m/>
    <m/>
    <m/>
    <m/>
    <n v="120"/>
    <s v="DESDE LA NOTIFICACIÓN DE LA ENTREGA DEL ANTICIPO"/>
    <d v="2016-02-19T00:00:00"/>
    <d v="2016-06-18T00:00:00"/>
    <m/>
    <m/>
    <m/>
    <m/>
    <m/>
    <m/>
    <m/>
    <m/>
    <m/>
    <m/>
    <m/>
    <m/>
    <m/>
    <m/>
    <m/>
    <m/>
    <m/>
    <m/>
    <m/>
    <m/>
    <m/>
    <m/>
    <m/>
    <m/>
    <m/>
    <n v="0.26"/>
    <n v="0.37"/>
    <n v="0.37"/>
    <n v="0.37"/>
    <n v="0.37"/>
    <n v="0.37"/>
    <n v="0.76"/>
    <n v="0.8"/>
    <n v="0.8"/>
    <n v="0.88"/>
    <n v="1"/>
    <n v="1"/>
    <n v="1"/>
    <n v="1"/>
    <n v="1"/>
    <n v="1"/>
    <n v="1"/>
    <n v="1"/>
    <n v="1"/>
    <n v="1"/>
    <n v="1"/>
    <n v="1"/>
    <n v="1"/>
    <n v="1"/>
    <n v="1"/>
    <n v="1"/>
    <n v="1"/>
    <n v="1"/>
    <n v="1"/>
    <n v="1"/>
    <n v="1"/>
    <x v="0"/>
    <n v="1"/>
    <n v="1"/>
    <n v="1"/>
    <x v="0"/>
    <s v="no"/>
    <s v="no"/>
    <s v="no"/>
    <s v="no"/>
    <s v="no"/>
    <s v="no"/>
    <s v="no"/>
    <x v="1"/>
    <s v="no"/>
    <s v="no"/>
    <s v="no"/>
    <m/>
    <m/>
    <m/>
    <m/>
    <m/>
    <m/>
    <s v="Por liquidar"/>
    <m/>
    <m/>
    <m/>
    <s v="ERROR EN EL CÓDIGO DEL PROCESO EN LUGAR DE BID2-RSND-CNELLRS-DI-OB-003 DEBE SER BID2-RSND-CNELLRS-ST-OB-003"/>
    <m/>
    <m/>
    <m/>
  </r>
  <r>
    <x v="15"/>
    <s v="OBRAS"/>
    <x v="0"/>
    <s v="Proyectos de expansión y refuerzo en el Sistema Nacional de Distribución"/>
    <x v="0"/>
    <x v="0"/>
    <x v="0"/>
    <s v="LOS RÍOS"/>
    <x v="49"/>
    <n v="6"/>
    <x v="0"/>
    <s v="BID2-RSND-CNELLRS-DI-OB-004"/>
    <s v=" VARIANTE LINEA TRIFASICA CATARAMA - PIJULLO - POTOSI "/>
    <m/>
    <s v="LPN"/>
    <s v="ex-post"/>
    <s v="EJECUTADO BID"/>
    <s v="BID2-RSND-CNELLRS-DI-OB-004"/>
    <s v=" CONSTRUCCIONES,  MANTENIMIENTO CIVILES Y ELECTRICAS  C.M.C.E.R.S.A."/>
    <s v="ECUATORIANA"/>
    <s v="PERSONA JURÍDICA"/>
    <s v="0 992627549001"/>
    <s v="TENAZCOMPANY S.A. / ING. JORGE JARAMILLO"/>
    <s v="0 994116411"/>
    <s v="ING. FULTON LUCAS"/>
    <s v="(05) 2 730 089 Ext. 220"/>
    <m/>
    <n v="100391.71"/>
    <n v="0"/>
    <n v="100391.71"/>
    <n v="0"/>
    <n v="100391.71"/>
    <n v="0.12"/>
    <n v="12047.0052"/>
    <n v="0"/>
    <n v="112438.71520000002"/>
    <n v="98589.58"/>
    <n v="1802.1300000000047"/>
    <m/>
    <m/>
    <n v="100391.70535714286"/>
    <m/>
    <n v="98608.86"/>
    <m/>
    <m/>
    <m/>
    <m/>
    <m/>
    <m/>
    <m/>
    <m/>
    <m/>
    <m/>
    <m/>
    <m/>
    <m/>
    <m/>
    <n v="1782.8500000000058"/>
    <n v="1782.8500000000058"/>
    <s v="DDL, IAO 21.1."/>
    <s v="NO APLICA"/>
    <s v="NO APLICA"/>
    <s v="NO APLICA"/>
    <s v="NO APLICA"/>
    <s v="NO APLICA"/>
    <d v="2015-09-02T00:00:00"/>
    <d v="2015-09-18T00:00:00"/>
    <d v="2015-09-25T00:00:00"/>
    <d v="2015-10-02T00:00:00"/>
    <s v="NO APLICA"/>
    <d v="2015-10-07T00:00:00"/>
    <d v="2015-10-09T00:00:00"/>
    <s v="NO APLICA"/>
    <s v="NO APLICA"/>
    <s v="NO APLICA"/>
    <d v="2015-10-16T00:00:00"/>
    <s v="NO APLICA"/>
    <d v="2015-10-19T00:00:00"/>
    <d v="2015-11-13T00:00:00"/>
    <s v="NO APLICA"/>
    <s v="NO APLICA"/>
    <s v="NO APLICA"/>
    <m/>
    <s v="ü"/>
    <m/>
    <m/>
    <m/>
    <m/>
    <m/>
    <m/>
    <m/>
    <m/>
    <m/>
    <m/>
    <m/>
    <s v="ü"/>
    <s v="NO APLICA"/>
    <s v="SI"/>
    <n v="0.05"/>
    <d v="2015-12-15T00:00:00"/>
    <n v="49304.43"/>
    <m/>
    <d v="2016-10-03T00:00:00"/>
    <n v="49285.15"/>
    <m/>
    <m/>
    <m/>
    <m/>
    <m/>
    <m/>
    <m/>
    <m/>
    <m/>
    <m/>
    <m/>
    <m/>
    <m/>
    <m/>
    <m/>
    <m/>
    <m/>
    <m/>
    <m/>
    <m/>
    <m/>
    <m/>
    <m/>
    <m/>
    <n v="98589.58"/>
    <m/>
    <m/>
    <m/>
    <m/>
    <m/>
    <m/>
    <m/>
    <n v="120"/>
    <s v="DESDE LA NOTIFICACIÓN DE LA ENTREGA DEL ANTICIPO"/>
    <d v="2015-12-16T00:00:00"/>
    <d v="2016-04-14T00:00:00"/>
    <m/>
    <m/>
    <m/>
    <m/>
    <m/>
    <m/>
    <m/>
    <m/>
    <m/>
    <m/>
    <m/>
    <m/>
    <m/>
    <m/>
    <m/>
    <m/>
    <m/>
    <m/>
    <m/>
    <m/>
    <m/>
    <s v="DATO PENDIENTE"/>
    <m/>
    <m/>
    <m/>
    <m/>
    <m/>
    <m/>
    <m/>
    <m/>
    <m/>
    <m/>
    <m/>
    <m/>
    <n v="1"/>
    <n v="1"/>
    <n v="1"/>
    <n v="1"/>
    <n v="1"/>
    <n v="1"/>
    <n v="1"/>
    <n v="1"/>
    <n v="1"/>
    <n v="1"/>
    <n v="1"/>
    <n v="1"/>
    <n v="1"/>
    <n v="1"/>
    <n v="1"/>
    <n v="1"/>
    <n v="1"/>
    <n v="1"/>
    <n v="1"/>
    <n v="1"/>
    <n v="1"/>
    <n v="1"/>
    <x v="0"/>
    <n v="1"/>
    <n v="1"/>
    <n v="1"/>
    <x v="0"/>
    <s v="si"/>
    <s v="si"/>
    <s v="si"/>
    <s v="si"/>
    <s v="si"/>
    <s v="si"/>
    <s v="si"/>
    <x v="0"/>
    <s v="si"/>
    <s v="si"/>
    <s v="si"/>
    <m/>
    <m/>
    <m/>
    <m/>
    <m/>
    <m/>
    <m/>
    <m/>
    <m/>
    <m/>
    <m/>
    <m/>
    <m/>
    <m/>
  </r>
  <r>
    <x v="15"/>
    <s v="OBRAS"/>
    <x v="0"/>
    <s v="Proyectos de expansión y refuerzo en el Sistema Nacional de Distribución"/>
    <x v="0"/>
    <x v="0"/>
    <x v="0"/>
    <s v="LOS RÍOS"/>
    <x v="50"/>
    <n v="7"/>
    <x v="0"/>
    <s v="BID2-RSND-CNELLRS-DI-OB-005"/>
    <s v="TRIFASEAMIENTO LINEA GUARE - SAN ANTONIO"/>
    <m/>
    <s v="LPN"/>
    <s v="ex-post"/>
    <s v="EJECUTADO BID"/>
    <s v="BID2-RSND-CNELLRS-DI-OB-005"/>
    <s v="ING. AROL CARRILLO ANCHUNDIA"/>
    <s v="ECUATORIANA"/>
    <s v="PERSONA NATURAL"/>
    <n v="1302573876001"/>
    <s v="TENAZCOMPANY S.A. / ING. JORGE JARAMILLO"/>
    <s v="0 994116411"/>
    <s v="ING. GREGORIO CONTRERAS"/>
    <s v="0 960185279"/>
    <m/>
    <n v="130697.63"/>
    <n v="0"/>
    <n v="130697.63"/>
    <n v="0"/>
    <n v="130697.63"/>
    <n v="0.12"/>
    <n v="15683.7156"/>
    <n v="0"/>
    <n v="146381.34560000003"/>
    <n v="128711.76000000001"/>
    <n v="1985.8699999999953"/>
    <m/>
    <m/>
    <n v="130697.62499999999"/>
    <m/>
    <n v="128716.76"/>
    <m/>
    <m/>
    <m/>
    <m/>
    <m/>
    <m/>
    <m/>
    <m/>
    <m/>
    <m/>
    <m/>
    <m/>
    <m/>
    <m/>
    <n v="1980.8700000000099"/>
    <n v="1980.8700000000099"/>
    <s v="DDL, IAO 21.1."/>
    <s v="NO APLICA"/>
    <s v="NO APLICA"/>
    <s v="NO APLICA"/>
    <s v="NO APLICA"/>
    <s v="NO APLICA"/>
    <d v="2015-09-02T00:00:00"/>
    <d v="2015-09-18T00:00:00"/>
    <d v="2015-09-25T00:00:00"/>
    <d v="2015-10-02T00:00:00"/>
    <s v="NO APLICA"/>
    <d v="2015-10-07T00:00:00"/>
    <d v="2015-10-09T00:00:00"/>
    <s v="NO APLICA"/>
    <s v="NO APLICA"/>
    <s v="NO APLICA"/>
    <d v="2015-10-16T00:00:00"/>
    <s v="NO APLICA"/>
    <d v="2015-10-19T00:00:00"/>
    <d v="2015-11-05T00:00:00"/>
    <s v="NO APLICA"/>
    <s v="NO APLICA"/>
    <s v="NO APLICA"/>
    <m/>
    <s v="ü"/>
    <m/>
    <m/>
    <m/>
    <m/>
    <m/>
    <m/>
    <m/>
    <m/>
    <m/>
    <m/>
    <m/>
    <s v="ü"/>
    <s v="NO APLICA"/>
    <s v="SI"/>
    <n v="0.05"/>
    <d v="2015-12-15T00:00:00"/>
    <n v="64358.38"/>
    <m/>
    <d v="2016-10-28T00:00:00"/>
    <n v="64353.380000000005"/>
    <m/>
    <m/>
    <m/>
    <m/>
    <m/>
    <m/>
    <m/>
    <m/>
    <m/>
    <m/>
    <m/>
    <m/>
    <m/>
    <m/>
    <m/>
    <m/>
    <m/>
    <m/>
    <m/>
    <m/>
    <m/>
    <m/>
    <m/>
    <m/>
    <n v="128711.76000000001"/>
    <m/>
    <m/>
    <m/>
    <m/>
    <m/>
    <m/>
    <m/>
    <n v="120"/>
    <s v="DESDE LA NOTIFICACIÓN DE LA ENTREGA DEL ANTICIPO"/>
    <d v="2015-12-16T00:00:00"/>
    <d v="2016-04-14T00:00:00"/>
    <m/>
    <m/>
    <m/>
    <m/>
    <m/>
    <m/>
    <m/>
    <m/>
    <m/>
    <m/>
    <m/>
    <m/>
    <m/>
    <m/>
    <m/>
    <m/>
    <m/>
    <m/>
    <m/>
    <m/>
    <m/>
    <s v="DATO PENDIENTE"/>
    <m/>
    <m/>
    <m/>
    <m/>
    <m/>
    <m/>
    <m/>
    <m/>
    <m/>
    <m/>
    <m/>
    <m/>
    <n v="1"/>
    <n v="1"/>
    <n v="1"/>
    <n v="1"/>
    <n v="1"/>
    <n v="1"/>
    <n v="1"/>
    <n v="1"/>
    <n v="1"/>
    <n v="1"/>
    <n v="1"/>
    <n v="1"/>
    <n v="1"/>
    <n v="1"/>
    <n v="1"/>
    <n v="1"/>
    <n v="1"/>
    <n v="1"/>
    <n v="1"/>
    <n v="1"/>
    <n v="1"/>
    <n v="1"/>
    <x v="0"/>
    <n v="1"/>
    <n v="1"/>
    <n v="1"/>
    <x v="0"/>
    <s v="si"/>
    <s v="si"/>
    <s v="si"/>
    <s v="si"/>
    <s v="si"/>
    <s v="si"/>
    <s v="si"/>
    <x v="0"/>
    <s v="si"/>
    <s v="si"/>
    <s v="si"/>
    <m/>
    <m/>
    <m/>
    <m/>
    <m/>
    <m/>
    <m/>
    <m/>
    <m/>
    <m/>
    <m/>
    <m/>
    <m/>
    <m/>
  </r>
  <r>
    <x v="15"/>
    <s v="OBRAS"/>
    <x v="0"/>
    <s v="Proyectos de expansión y refuerzo en el Sistema Nacional de Distribución"/>
    <x v="0"/>
    <x v="0"/>
    <x v="0"/>
    <s v="LOS RÍOS"/>
    <x v="51"/>
    <n v="8"/>
    <x v="0"/>
    <s v="BID2-RSND-CNELLRS-DI-OB-006"/>
    <s v="LINEA TRIFASICA PARROQUIA CARACOL - PARROQUIA LA UNION"/>
    <m/>
    <s v="LPN"/>
    <s v="ex-post"/>
    <s v="EJECUTADO BID"/>
    <s v="BID2-RSND-CNELLRS-DI-OB-006"/>
    <s v="CONSTRUCCIONES INTEGRALES Y TECNOLOGICAS S.A. CONSITECNO"/>
    <s v="ECUATORIANA"/>
    <s v="PERSONA JURÍDICA"/>
    <s v="0 992762330001"/>
    <s v="TENAZCOMPANY S.A. / ING. JORGE JARAMILLO"/>
    <s v="0 994116411"/>
    <s v="ING. FULTON LUCAS"/>
    <s v="(05) 2 730 089 Ext. 220"/>
    <m/>
    <n v="198302.56"/>
    <n v="0"/>
    <n v="198302.56"/>
    <n v="0"/>
    <n v="198302.56"/>
    <n v="0.12"/>
    <n v="23796.307199999999"/>
    <n v="0"/>
    <n v="222098.86720000001"/>
    <n v="188858.12"/>
    <n v="9444.4400000000023"/>
    <m/>
    <m/>
    <n v="198302.55"/>
    <m/>
    <n v="188859.57"/>
    <m/>
    <m/>
    <m/>
    <m/>
    <m/>
    <m/>
    <m/>
    <m/>
    <m/>
    <m/>
    <m/>
    <m/>
    <m/>
    <m/>
    <n v="9442.9899999999907"/>
    <n v="9442.9899999999907"/>
    <s v="DATO PENDIENTE"/>
    <s v="NO APLICA"/>
    <s v="NO APLICA"/>
    <s v="NO APLICA"/>
    <s v="NO APLICA"/>
    <s v="NO APLICA"/>
    <m/>
    <m/>
    <m/>
    <m/>
    <m/>
    <m/>
    <m/>
    <s v="NO APLICA"/>
    <s v="NO APLICA"/>
    <s v="NO APLICA"/>
    <d v="2015-10-16T00:00:00"/>
    <s v="NO APLICA"/>
    <d v="2015-10-19T00:00:00"/>
    <d v="2015-11-09T00:00:00"/>
    <s v="NO APLICA"/>
    <s v="NO APLICA"/>
    <s v="NO APLICA"/>
    <m/>
    <m/>
    <m/>
    <m/>
    <m/>
    <m/>
    <m/>
    <m/>
    <m/>
    <m/>
    <m/>
    <m/>
    <m/>
    <s v="ü"/>
    <s v="NO APLICA"/>
    <s v="DATO PENDIENTE"/>
    <s v="DATO PENDIENTE"/>
    <d v="2016-03-24T00:00:00"/>
    <n v="94429.785000000003"/>
    <m/>
    <d v="2016-09-22T00:00:00"/>
    <n v="94428.33"/>
    <m/>
    <m/>
    <m/>
    <m/>
    <m/>
    <m/>
    <m/>
    <m/>
    <m/>
    <m/>
    <m/>
    <m/>
    <m/>
    <m/>
    <m/>
    <m/>
    <m/>
    <m/>
    <m/>
    <m/>
    <m/>
    <m/>
    <m/>
    <m/>
    <n v="188858.11499999999"/>
    <m/>
    <m/>
    <m/>
    <m/>
    <m/>
    <m/>
    <m/>
    <n v="120"/>
    <s v="DESDE LA NOTIFICACIÓN DE LA ENTREGA DEL ANTICIPO"/>
    <d v="2016-03-25T00:00:00"/>
    <d v="2016-07-23T00:00:00"/>
    <m/>
    <m/>
    <m/>
    <m/>
    <m/>
    <m/>
    <m/>
    <m/>
    <m/>
    <m/>
    <m/>
    <m/>
    <m/>
    <m/>
    <m/>
    <m/>
    <m/>
    <m/>
    <m/>
    <m/>
    <m/>
    <s v="DATO PENDIENTE"/>
    <m/>
    <m/>
    <m/>
    <m/>
    <m/>
    <m/>
    <m/>
    <m/>
    <m/>
    <m/>
    <m/>
    <m/>
    <n v="1"/>
    <n v="1"/>
    <n v="1"/>
    <n v="1"/>
    <n v="1"/>
    <n v="1"/>
    <n v="1"/>
    <n v="1"/>
    <n v="1"/>
    <n v="1"/>
    <n v="1"/>
    <n v="1"/>
    <n v="1"/>
    <n v="1"/>
    <n v="1"/>
    <n v="1"/>
    <n v="1"/>
    <n v="1"/>
    <n v="1"/>
    <n v="1"/>
    <n v="1"/>
    <n v="1"/>
    <x v="0"/>
    <n v="1"/>
    <n v="1"/>
    <n v="1"/>
    <x v="0"/>
    <s v="si"/>
    <s v="si"/>
    <s v="si"/>
    <s v="si"/>
    <s v="si"/>
    <s v="si"/>
    <s v="si"/>
    <x v="0"/>
    <s v="si"/>
    <s v="si"/>
    <s v="si"/>
    <m/>
    <m/>
    <m/>
    <m/>
    <m/>
    <m/>
    <m/>
    <m/>
    <m/>
    <m/>
    <m/>
    <m/>
    <m/>
    <m/>
  </r>
  <r>
    <x v="15"/>
    <s v="OBRAS"/>
    <x v="0"/>
    <s v="Proyectos de expansión y refuerzo en el Sistema Nacional de Distribución"/>
    <x v="0"/>
    <x v="0"/>
    <x v="0"/>
    <s v="LOS RÍOS"/>
    <x v="52"/>
    <n v="9"/>
    <x v="0"/>
    <s v="BID2-RSND-CNELLRS-DI-OB-007"/>
    <s v="REPOTENCIACIÓN DE LA RED DE DISTRIBUCIÓN EN LA ZONA URBANA DEL CANTON VENTANAS Y TRIFASIAMIENTO DE LA LINEA HCDA. BONITA - T - LOS ANGELES - LA TABAQUERA"/>
    <s v="Redes Ventanas"/>
    <s v="LPN"/>
    <s v="ex-post"/>
    <s v="EJECUTADO BID"/>
    <s v="BID2-RSND-CNELLRS-DI-OB-007"/>
    <s v="ING. CARLOS ANDRES CASTILLO ZUÑIGA"/>
    <s v="ECUATORIANA"/>
    <s v="PERSONA NATURAL"/>
    <n v="1203488208001"/>
    <s v="TENAZCOMPANY S.A. / ING. JORGE JARAMILLO"/>
    <s v="0 994116411"/>
    <s v="ING. FULTON LUCAS"/>
    <s v="(05) 2 730 089 Ext. 220"/>
    <m/>
    <n v="369889.25"/>
    <n v="0"/>
    <n v="369889.25"/>
    <n v="0"/>
    <n v="369889.25"/>
    <n v="0.12"/>
    <n v="44386.71"/>
    <n v="0"/>
    <n v="414275.96"/>
    <n v="350050.23"/>
    <n v="19839.020000000019"/>
    <m/>
    <m/>
    <n v="369889.25"/>
    <m/>
    <n v="363693.99"/>
    <m/>
    <m/>
    <m/>
    <m/>
    <m/>
    <m/>
    <m/>
    <m/>
    <m/>
    <m/>
    <m/>
    <m/>
    <m/>
    <m/>
    <n v="6195.2600000000093"/>
    <n v="6195.2600000000093"/>
    <s v="DATO PENDIENTE"/>
    <s v="NO APLICA"/>
    <s v="NO APLICA"/>
    <s v="NO APLICA"/>
    <s v="NO APLICA"/>
    <s v="NO APLICA"/>
    <m/>
    <m/>
    <m/>
    <m/>
    <m/>
    <m/>
    <m/>
    <s v="NO APLICA"/>
    <s v="NO APLICA"/>
    <s v="NO APLICA"/>
    <d v="2015-10-16T00:00:00"/>
    <s v="NO APLICA"/>
    <d v="2015-10-19T00:00:00"/>
    <d v="2015-11-16T00:00:00"/>
    <s v="NO APLICA"/>
    <s v="NO APLICA"/>
    <s v="NO APLICA"/>
    <m/>
    <m/>
    <m/>
    <m/>
    <m/>
    <m/>
    <m/>
    <m/>
    <m/>
    <m/>
    <m/>
    <m/>
    <m/>
    <s v="ü"/>
    <s v="NO APLICA"/>
    <s v="SI "/>
    <n v="0.05"/>
    <d v="2016-02-18T00:00:00"/>
    <n v="181846.995"/>
    <m/>
    <d v="2016-11-01T00:00:00"/>
    <n v="109108.19"/>
    <m/>
    <d v="2016-11-28T00:00:00"/>
    <n v="59095.044999999998"/>
    <m/>
    <m/>
    <m/>
    <m/>
    <m/>
    <m/>
    <m/>
    <m/>
    <m/>
    <m/>
    <m/>
    <m/>
    <m/>
    <m/>
    <m/>
    <m/>
    <m/>
    <m/>
    <m/>
    <m/>
    <m/>
    <n v="350050.23"/>
    <m/>
    <m/>
    <m/>
    <m/>
    <m/>
    <m/>
    <m/>
    <n v="120"/>
    <s v="DESDE LA NOTIFICACIÓN DE LA ENTREGA DEL ANTICIPO"/>
    <d v="2016-02-19T00:00:00"/>
    <d v="2016-06-18T00:00:00"/>
    <m/>
    <m/>
    <m/>
    <m/>
    <m/>
    <m/>
    <m/>
    <m/>
    <m/>
    <m/>
    <m/>
    <m/>
    <m/>
    <m/>
    <m/>
    <m/>
    <m/>
    <m/>
    <m/>
    <m/>
    <m/>
    <s v="DATO PENDIENTE"/>
    <m/>
    <m/>
    <m/>
    <m/>
    <m/>
    <m/>
    <m/>
    <m/>
    <m/>
    <m/>
    <m/>
    <m/>
    <n v="1"/>
    <n v="1"/>
    <n v="1"/>
    <n v="1"/>
    <n v="1"/>
    <n v="1"/>
    <n v="1"/>
    <n v="1"/>
    <n v="1"/>
    <n v="1"/>
    <n v="1"/>
    <n v="1"/>
    <n v="1"/>
    <n v="1"/>
    <n v="1"/>
    <n v="1"/>
    <n v="1"/>
    <n v="1"/>
    <n v="1"/>
    <n v="1"/>
    <n v="1"/>
    <n v="1"/>
    <x v="0"/>
    <n v="1"/>
    <n v="1"/>
    <n v="1"/>
    <x v="0"/>
    <s v="si"/>
    <s v="si"/>
    <s v="si"/>
    <s v="si"/>
    <s v="si"/>
    <s v="si"/>
    <s v="si"/>
    <x v="0"/>
    <s v="si"/>
    <s v="si"/>
    <s v="si"/>
    <m/>
    <m/>
    <m/>
    <m/>
    <m/>
    <m/>
    <m/>
    <m/>
    <m/>
    <m/>
    <m/>
    <m/>
    <m/>
    <m/>
  </r>
  <r>
    <x v="15"/>
    <s v="OBRAS"/>
    <x v="0"/>
    <s v="Proyectos de expansión y refuerzo en el Sistema Nacional de Distribución"/>
    <x v="0"/>
    <x v="0"/>
    <x v="0"/>
    <s v="LOS RÍOS"/>
    <x v="53"/>
    <n v="10"/>
    <x v="0"/>
    <s v="BID2-RSND-CNELLRS-DI-OB-007"/>
    <s v="REPOTENCIACIÓN DE LA RED DE DISTRIBUCIÓN EN LA ZONA URBANA DEL CANTON VENTANAS Y TRIFASIAMIENTO DE LA LINEA HCDA. BONITA - T - LOS ANGELES - LA TABAQUERA"/>
    <s v="Redes Hcda. Bonita-Los Ángeles-Tabaquera"/>
    <s v="LPN"/>
    <s v="ex-post"/>
    <s v="EJECUTADO BID"/>
    <s v="BID2-RSND-CNELLRS-DI-OB-007"/>
    <s v="ING. CARLOS ANDRES CASTILLO ZUÑIGA"/>
    <s v="ECUATORIANA"/>
    <s v="PERSONA NATURAL"/>
    <n v="1203488208001"/>
    <s v="TENAZCOMPANY S.A. / ING. JORGE JARAMILLO"/>
    <s v="0 994116411"/>
    <s v="ING. FULTON LUCAS"/>
    <s v="(05) 2 730 089 Ext. 220"/>
    <m/>
    <n v="0"/>
    <n v="0"/>
    <m/>
    <n v="0"/>
    <n v="0"/>
    <n v="0.12"/>
    <n v="0"/>
    <n v="0"/>
    <n v="0"/>
    <m/>
    <m/>
    <m/>
    <m/>
    <m/>
    <m/>
    <m/>
    <m/>
    <m/>
    <m/>
    <m/>
    <m/>
    <m/>
    <m/>
    <m/>
    <m/>
    <m/>
    <m/>
    <m/>
    <m/>
    <m/>
    <n v="0"/>
    <n v="0"/>
    <s v="DATO PENDIENTE"/>
    <s v="NO APLICA"/>
    <s v="NO APLICA"/>
    <s v="NO APLICA"/>
    <s v="NO APLICA"/>
    <s v="NO APLICA"/>
    <m/>
    <m/>
    <m/>
    <m/>
    <m/>
    <m/>
    <m/>
    <s v="NO APLICA"/>
    <s v="NO APLICA"/>
    <s v="NO APLICA"/>
    <d v="2015-10-16T00:00:00"/>
    <s v="NO APLICA"/>
    <d v="2015-10-19T00:00:00"/>
    <d v="2015-11-16T00:00:00"/>
    <s v="NO APLICA"/>
    <s v="NO APLICA"/>
    <s v="NO APLICA"/>
    <m/>
    <m/>
    <m/>
    <m/>
    <m/>
    <m/>
    <m/>
    <m/>
    <m/>
    <m/>
    <m/>
    <m/>
    <m/>
    <s v="ü"/>
    <s v="NO APLICA"/>
    <s v="SI "/>
    <n v="0.05"/>
    <d v="2016-02-18T00:00:00"/>
    <m/>
    <m/>
    <d v="2016-11-01T00:00:00"/>
    <m/>
    <m/>
    <m/>
    <m/>
    <m/>
    <m/>
    <m/>
    <m/>
    <m/>
    <m/>
    <m/>
    <m/>
    <m/>
    <m/>
    <m/>
    <m/>
    <m/>
    <m/>
    <m/>
    <m/>
    <m/>
    <m/>
    <m/>
    <m/>
    <m/>
    <n v="0"/>
    <m/>
    <m/>
    <m/>
    <m/>
    <m/>
    <m/>
    <m/>
    <n v="120"/>
    <s v="DESDE LA NOTIFICACIÓN DE LA ENTREGA DEL ANTICIPO"/>
    <d v="2016-02-19T00:00:00"/>
    <d v="2016-06-18T00:00:00"/>
    <m/>
    <m/>
    <m/>
    <m/>
    <m/>
    <m/>
    <m/>
    <m/>
    <m/>
    <m/>
    <m/>
    <m/>
    <m/>
    <m/>
    <m/>
    <m/>
    <m/>
    <m/>
    <m/>
    <m/>
    <m/>
    <s v="DATO PENDIENTE"/>
    <m/>
    <m/>
    <m/>
    <m/>
    <m/>
    <m/>
    <m/>
    <m/>
    <m/>
    <m/>
    <m/>
    <m/>
    <n v="1"/>
    <n v="1"/>
    <n v="1"/>
    <n v="1"/>
    <n v="1"/>
    <n v="1"/>
    <n v="1"/>
    <n v="1"/>
    <n v="1"/>
    <n v="1"/>
    <n v="1"/>
    <n v="1"/>
    <n v="1"/>
    <n v="1"/>
    <n v="1"/>
    <n v="1"/>
    <n v="1"/>
    <n v="1"/>
    <n v="1"/>
    <n v="1"/>
    <n v="1"/>
    <n v="1"/>
    <x v="0"/>
    <n v="1"/>
    <n v="1"/>
    <n v="1"/>
    <x v="0"/>
    <s v="si"/>
    <s v="si"/>
    <s v="si"/>
    <s v="si"/>
    <s v="si"/>
    <s v="si"/>
    <s v="si"/>
    <x v="0"/>
    <s v="si"/>
    <s v="si"/>
    <s v="si"/>
    <m/>
    <m/>
    <m/>
    <m/>
    <m/>
    <m/>
    <m/>
    <m/>
    <m/>
    <m/>
    <m/>
    <m/>
    <m/>
    <m/>
  </r>
  <r>
    <x v="15"/>
    <s v="OBRAS"/>
    <x v="1"/>
    <s v=" Mejoramiento de la eficiencia y fiabilidad de la red"/>
    <x v="2"/>
    <x v="2"/>
    <x v="0"/>
    <s v="LOS RÍOS"/>
    <x v="54"/>
    <n v="11"/>
    <x v="0"/>
    <s v="BID2-RSND-CNELLRS-AU-OB-008"/>
    <s v="PROYECTO SCADA AUTOMATIZACION DE SECCIONADORES DE SUBESTACIONES "/>
    <m/>
    <s v="LPN"/>
    <s v="ex-post"/>
    <s v="EJECUTADO BID"/>
    <s v="BID2-RSND-CNELLRS-AU-OB-008"/>
    <s v="CONSTRUCCIONES INTEGRALES Y TECNOLOGICAS S.A. CONSITECNO"/>
    <s v="ECUATORIANA"/>
    <s v="PERSONA JURÍDICA"/>
    <n v="992767330001"/>
    <s v="ING. ADRIAN ARANDA"/>
    <s v="0 993479967"/>
    <s v="ING. SOLANGE DOYLET PARRA"/>
    <s v="(05) 2 730 089 Ext.318"/>
    <m/>
    <n v="231968"/>
    <n v="0"/>
    <n v="231967.99999999997"/>
    <n v="0"/>
    <n v="231967.99999999997"/>
    <n v="0.12"/>
    <n v="27836.159999999996"/>
    <n v="0"/>
    <n v="259804.16"/>
    <n v="230400"/>
    <n v="1568"/>
    <m/>
    <m/>
    <n v="231967.99999999997"/>
    <m/>
    <n v="230400"/>
    <m/>
    <m/>
    <m/>
    <m/>
    <m/>
    <m/>
    <m/>
    <m/>
    <m/>
    <m/>
    <m/>
    <m/>
    <m/>
    <m/>
    <n v="1568"/>
    <n v="1568"/>
    <s v="DDL, IAO 21.1."/>
    <s v="NO APLICA"/>
    <s v="NO APLICA"/>
    <s v="NO APLICA"/>
    <s v="NO APLICA"/>
    <s v="NO APLICA"/>
    <d v="2015-09-09T00:00:00"/>
    <d v="2015-09-29T00:00:00"/>
    <d v="2015-10-06T00:00:00"/>
    <d v="2015-10-13T00:00:00"/>
    <s v="NO APLICA"/>
    <d v="2015-10-20T00:00:00"/>
    <d v="2015-10-24T00:00:00"/>
    <s v="NO APLICA"/>
    <s v="NO APLICA"/>
    <s v="NO APLICA"/>
    <d v="2015-10-16T00:00:00"/>
    <s v="NO APLICA"/>
    <d v="2015-10-19T00:00:00"/>
    <d v="2015-11-09T00:00:00"/>
    <s v="NO APLICA"/>
    <s v="NO APLICA"/>
    <s v="NO APLICA"/>
    <m/>
    <s v="ü"/>
    <m/>
    <m/>
    <m/>
    <m/>
    <m/>
    <m/>
    <m/>
    <m/>
    <m/>
    <m/>
    <m/>
    <s v="ü"/>
    <s v="NO APLICA"/>
    <s v="SI"/>
    <n v="0.05"/>
    <d v="2016-03-24T00:00:00"/>
    <n v="115200"/>
    <m/>
    <d v="2016-12-27T00:00:00"/>
    <n v="115200"/>
    <m/>
    <m/>
    <m/>
    <m/>
    <m/>
    <m/>
    <m/>
    <m/>
    <m/>
    <m/>
    <m/>
    <m/>
    <m/>
    <m/>
    <m/>
    <m/>
    <m/>
    <m/>
    <m/>
    <m/>
    <m/>
    <m/>
    <m/>
    <m/>
    <n v="230400"/>
    <m/>
    <m/>
    <m/>
    <m/>
    <m/>
    <m/>
    <m/>
    <n v="180"/>
    <s v="DESDE LA NOTIFICACIÓN DE LA ENTREGA DEL ANTICIPO"/>
    <d v="2016-03-25T00:00:00"/>
    <d v="2016-09-21T00:00:00"/>
    <m/>
    <m/>
    <m/>
    <m/>
    <m/>
    <m/>
    <m/>
    <m/>
    <m/>
    <m/>
    <m/>
    <m/>
    <m/>
    <m/>
    <m/>
    <m/>
    <m/>
    <m/>
    <m/>
    <m/>
    <m/>
    <s v="DATO PENDIENTE"/>
    <m/>
    <m/>
    <m/>
    <m/>
    <m/>
    <m/>
    <m/>
    <m/>
    <m/>
    <m/>
    <m/>
    <m/>
    <n v="1"/>
    <n v="1"/>
    <n v="1"/>
    <n v="1"/>
    <n v="1"/>
    <n v="1"/>
    <n v="1"/>
    <n v="1"/>
    <n v="1"/>
    <n v="1"/>
    <n v="1"/>
    <n v="1"/>
    <n v="1"/>
    <n v="1"/>
    <n v="1"/>
    <n v="1"/>
    <n v="1"/>
    <n v="1"/>
    <n v="1"/>
    <n v="1"/>
    <n v="1"/>
    <n v="1"/>
    <x v="0"/>
    <n v="1"/>
    <n v="1"/>
    <n v="1"/>
    <x v="0"/>
    <s v="si"/>
    <s v="si"/>
    <s v="si"/>
    <s v="si"/>
    <s v="si"/>
    <s v="si"/>
    <s v="si"/>
    <x v="0"/>
    <s v="si"/>
    <s v="si"/>
    <s v="si"/>
    <m/>
    <m/>
    <m/>
    <m/>
    <m/>
    <m/>
    <m/>
    <m/>
    <m/>
    <m/>
    <m/>
    <m/>
    <m/>
    <m/>
  </r>
  <r>
    <x v="16"/>
    <s v="OBRAS"/>
    <x v="0"/>
    <s v="Proyectos de expansión y refuerzo en el Sistema Nacional de Distribución"/>
    <x v="3"/>
    <x v="3"/>
    <x v="1"/>
    <s v="MANABI"/>
    <x v="55"/>
    <n v="1"/>
    <x v="0"/>
    <s v="BID2-RSND-CNELMAN-ST-OB-001"/>
    <s v="REPOTENCIACIÓN DE LA INFRAESTRUCTURA CIVIL Y ELÉCTRICA DE LA S/E CHONE, 2x10-12,5 MVA (69/13,8kV)"/>
    <m/>
    <s v="LPN"/>
    <s v="ex-post"/>
    <s v="CONTRATADO"/>
    <s v="089-2015"/>
    <s v="TRASELEC S.A. INGENIERÍA ELÉCTRICA"/>
    <s v="ECUATORIANA"/>
    <s v="PERSONA JURÍDICA"/>
    <s v="O990692416001"/>
    <s v="Civil (Ing. Manuel Zavala) Electrico (Ing. Rodrigo Lopez) temporales"/>
    <s v="Civil (Ing. Manuel Zavala-0987838591) Electrico (Ing. Rodrigo Lopez-0984322108)"/>
    <s v="Ing. Mario Cobeña"/>
    <s v="O991181449"/>
    <m/>
    <n v="2987639.48"/>
    <n v="0"/>
    <n v="2987639.4800000004"/>
    <n v="0"/>
    <n v="2987639.4800000004"/>
    <n v="0.12"/>
    <n v="358516.73760000005"/>
    <n v="0"/>
    <n v="3346156.217600001"/>
    <n v="2870863.3000000003"/>
    <n v="116776.1799999997"/>
    <m/>
    <m/>
    <n v="2987639.4800000004"/>
    <m/>
    <n v="2730793.15"/>
    <n v="0.12"/>
    <n v="327695.17799999996"/>
    <n v="3058488.3280000002"/>
    <n v="397143.33"/>
    <m/>
    <n v="317460.55000000051"/>
    <m/>
    <m/>
    <m/>
    <m/>
    <m/>
    <m/>
    <m/>
    <m/>
    <n v="256846.33000000007"/>
    <n v="-60614.220000000438"/>
    <s v="DDL, IAO 21.1."/>
    <s v="NO APLICA"/>
    <s v="NO APLICA"/>
    <s v="NO APLICA"/>
    <s v="NO APLICA"/>
    <s v="NO APLICA"/>
    <d v="2015-08-31T00:00:00"/>
    <d v="2015-09-08T00:00:00"/>
    <d v="2015-09-16T00:00:00"/>
    <d v="2015-09-28T00:00:00"/>
    <s v="NO APLICA"/>
    <d v="2015-10-05T00:00:00"/>
    <d v="2015-10-12T00:00:00"/>
    <s v="NO APLICA"/>
    <s v="NO APLICA"/>
    <s v="NO APLICA"/>
    <d v="2015-10-30T00:00:00"/>
    <s v="NO APLICA"/>
    <s v="DATO PENDIENTE"/>
    <d v="2015-12-02T00:00:00"/>
    <s v="NO APLICA"/>
    <s v="NO APLICA"/>
    <s v="NO APLICA"/>
    <m/>
    <s v="ü"/>
    <m/>
    <m/>
    <m/>
    <m/>
    <m/>
    <m/>
    <m/>
    <m/>
    <m/>
    <m/>
    <m/>
    <s v="ü"/>
    <s v="NO APLICA"/>
    <s v="SI"/>
    <n v="0.05"/>
    <d v="2016-02-18T00:00:00"/>
    <n v="1365396.575"/>
    <m/>
    <d v="2016-11-29T00:00:00"/>
    <n v="409558.73"/>
    <m/>
    <d v="2016-12-08T00:00:00"/>
    <n v="409679.21"/>
    <m/>
    <m/>
    <m/>
    <m/>
    <m/>
    <m/>
    <m/>
    <m/>
    <m/>
    <m/>
    <m/>
    <m/>
    <m/>
    <m/>
    <m/>
    <m/>
    <m/>
    <m/>
    <m/>
    <m/>
    <m/>
    <n v="2184634.5150000001"/>
    <m/>
    <m/>
    <m/>
    <m/>
    <m/>
    <m/>
    <m/>
    <n v="210"/>
    <s v="DESDE LA NOTIFICACIÓN DE LA ENTREGA DEL ANTICIPO"/>
    <d v="2016-02-19T00:00:00"/>
    <d v="2016-09-16T00:00:00"/>
    <m/>
    <n v="152"/>
    <d v="2017-02-15T00:00:00"/>
    <m/>
    <m/>
    <m/>
    <m/>
    <m/>
    <m/>
    <m/>
    <m/>
    <m/>
    <m/>
    <m/>
    <m/>
    <m/>
    <m/>
    <m/>
    <m/>
    <m/>
    <m/>
    <m/>
    <m/>
    <m/>
    <m/>
    <n v="0.01"/>
    <n v="7.0000000000000007E-2"/>
    <n v="0.12"/>
    <n v="0.12"/>
    <n v="0.13"/>
    <n v="0.23"/>
    <n v="0.44400000000000001"/>
    <n v="44.4"/>
    <n v="46.4"/>
    <n v="62.56"/>
    <n v="80.09"/>
    <n v="0.84699999999999998"/>
    <n v="0.84699999999999998"/>
    <n v="0.84699999999999998"/>
    <n v="0.95"/>
    <n v="0.86199999999999999"/>
    <n v="0.90800000000000003"/>
    <n v="0.98"/>
    <n v="0.99"/>
    <n v="0.99"/>
    <n v="1"/>
    <n v="1"/>
    <n v="1"/>
    <n v="1"/>
    <n v="1"/>
    <n v="1"/>
    <n v="1"/>
    <n v="1"/>
    <n v="1"/>
    <n v="1"/>
    <n v="1"/>
    <x v="0"/>
    <n v="1"/>
    <n v="1"/>
    <n v="1"/>
    <x v="0"/>
    <s v="no"/>
    <s v="no"/>
    <s v="no"/>
    <s v="si"/>
    <s v="no"/>
    <s v="no"/>
    <s v="NO?"/>
    <x v="0"/>
    <s v="si"/>
    <s v="si"/>
    <s v="si"/>
    <m/>
    <m/>
    <m/>
    <s v="Hay Acta entrega provisional de la obra"/>
    <s v="Hay Acta entrega provisional de la obra,_x000a_Total pagado a Nov 2'698.174,75_x000a_NO está pagado el total del complementario"/>
    <m/>
    <s v="Esta obra tuvo un contrato complementario, los valores pagados corresponden a la suma de los valores pagados del contrato principal más los del complementario.  _x000a_Valor final pagado: USD 39.711,06_x000a_El último valor pagado es de 31 enero de 2019 y dice pago final complementario"/>
    <m/>
    <m/>
    <m/>
    <s v="PDTE REGURLARIZAR REFORMA PDTE REGURLARIZAR REFORMA, EL VALOR COMO ESTA EN EL ANEXO 3 PARA EL AVAL DEL 2017 ESTA POR UN VALOR CON IVA DE US$452.743,40. Mediante Memorando Nro. CNEL-MAN-ADM-2016-3235-M de fecha 22 de diciembre de 2016 el Administrador de la UN solicitó a la Gerencia General la aprobación para suscribir un contrato complementario.  Requerimiento que se encuentra pendiente de aprobación. Al suscribirse contrato complementario el avance del proyecto disminuye."/>
    <m/>
    <s v="AUTORIZADO MEDIANTE OFICIO Nro. MINFIN-SRF-2017-0216-O DE 17 DE MARZO DE 2017"/>
    <m/>
  </r>
  <r>
    <x v="16"/>
    <s v="OBRAS"/>
    <x v="0"/>
    <s v="Proyectos de expansión y refuerzo en el Sistema Nacional de Distribución"/>
    <x v="0"/>
    <x v="0"/>
    <x v="0"/>
    <s v="MANABI"/>
    <x v="56"/>
    <n v="2"/>
    <x v="0"/>
    <s v="BID2-RSND-CNELMAN-DI-OB-001"/>
    <s v="CONSTRUCCIÓN DE LÍNEA TRIFÁSICA A 13.8 KV PARA S/E JARAMIJO, S/E MANTA 3 Y S/E MONTECRISTI 2"/>
    <s v="Alimentadores Jaramijó"/>
    <s v="LPN"/>
    <s v="ex-post"/>
    <s v="EJECUTADO BID"/>
    <s v="BID2-RSND-CNELMAN-DI-OB-001"/>
    <s v="ING. NAPOLEÓN OVIEDO BELTRÁN FLORES"/>
    <s v="ECUATORIANA"/>
    <s v="PERSONA NATURAL"/>
    <n v="1306977248001"/>
    <s v="(Ing. Gustavo Velez) Temporales"/>
    <s v="(Ing. Gustavo Velez) O998854312"/>
    <s v="Ing. Cristhian Loor"/>
    <s v="O987912062"/>
    <m/>
    <n v="388023.1"/>
    <n v="0"/>
    <n v="388023.1"/>
    <n v="0"/>
    <n v="388023.1"/>
    <n v="0.12"/>
    <n v="46562.771999999997"/>
    <n v="0"/>
    <n v="434585.87200000003"/>
    <n v="365178.32"/>
    <n v="22844.77999999997"/>
    <m/>
    <m/>
    <n v="388023.11"/>
    <m/>
    <n v="367903.85"/>
    <m/>
    <m/>
    <m/>
    <m/>
    <m/>
    <m/>
    <m/>
    <m/>
    <m/>
    <m/>
    <m/>
    <m/>
    <m/>
    <m/>
    <n v="20119.25"/>
    <n v="20119.25"/>
    <s v="DDL, IAO 21.1."/>
    <s v="NO APLICA"/>
    <s v="NO APLICA"/>
    <s v="NO APLICA"/>
    <s v="NO APLICA"/>
    <s v="NO APLICA"/>
    <d v="2015-08-28T00:00:00"/>
    <d v="2015-09-03T00:00:00"/>
    <d v="2015-09-11T00:00:00"/>
    <d v="2015-09-25T00:00:00"/>
    <s v="NO APLICA"/>
    <d v="2015-09-30T00:00:00"/>
    <d v="2015-10-07T00:00:00"/>
    <s v="NO APLICA"/>
    <s v="NO APLICA"/>
    <s v="NO APLICA"/>
    <d v="2015-12-29T00:00:00"/>
    <s v="NO APLICA"/>
    <s v="DATO PENDIENTE"/>
    <d v="2016-01-20T00:00:00"/>
    <s v="NO APLICA"/>
    <s v="NO APLICA"/>
    <s v="NO APLICA"/>
    <m/>
    <s v="ü"/>
    <m/>
    <m/>
    <m/>
    <m/>
    <m/>
    <m/>
    <m/>
    <m/>
    <m/>
    <m/>
    <m/>
    <s v="ü"/>
    <s v="NO APLICA"/>
    <s v="SI"/>
    <n v="0.05"/>
    <d v="2016-04-04T00:00:00"/>
    <n v="183951.92499999999"/>
    <s v="PAGO 2/5- PLANILLA # 1            30% "/>
    <d v="2016-11-25T00:00:00"/>
    <n v="55185.58"/>
    <s v="PAGO 3/5- PLANILLA # 2            30%      "/>
    <d v="2016-11-25T00:00:00"/>
    <n v="55185.57"/>
    <s v="PAGO 4/5 - PLANILLA # 3            30%  "/>
    <d v="2016-12-07T00:00:00"/>
    <n v="36790.37999999999"/>
    <s v="PAGO 5/5 - PLANILLA FINAL                "/>
    <d v="2017-05-23T00:00:00"/>
    <n v="34064.86"/>
    <m/>
    <m/>
    <m/>
    <m/>
    <m/>
    <m/>
    <m/>
    <m/>
    <m/>
    <m/>
    <m/>
    <m/>
    <m/>
    <m/>
    <m/>
    <n v="365178.315"/>
    <m/>
    <m/>
    <m/>
    <m/>
    <m/>
    <m/>
    <m/>
    <n v="180"/>
    <s v="DESDE LA NOTIFICACIÓN DE LA ENTREGA DEL ANTICIPO"/>
    <d v="2016-04-05T00:00:00"/>
    <d v="2016-10-02T00:00:00"/>
    <m/>
    <n v="14"/>
    <d v="2016-10-16T00:00:00"/>
    <m/>
    <m/>
    <m/>
    <m/>
    <m/>
    <m/>
    <m/>
    <m/>
    <m/>
    <m/>
    <m/>
    <m/>
    <m/>
    <m/>
    <m/>
    <m/>
    <m/>
    <m/>
    <m/>
    <m/>
    <m/>
    <m/>
    <m/>
    <m/>
    <n v="0.2"/>
    <n v="0.54"/>
    <n v="0.65"/>
    <n v="0.71"/>
    <n v="0.8"/>
    <n v="1"/>
    <n v="1"/>
    <n v="1"/>
    <n v="1"/>
    <n v="1"/>
    <n v="1"/>
    <n v="1"/>
    <n v="1"/>
    <n v="1"/>
    <n v="1"/>
    <n v="1"/>
    <n v="1"/>
    <n v="1"/>
    <n v="1"/>
    <n v="1"/>
    <n v="1"/>
    <n v="1"/>
    <n v="1"/>
    <n v="1"/>
    <n v="1"/>
    <n v="1"/>
    <n v="1"/>
    <n v="1"/>
    <n v="1"/>
    <x v="0"/>
    <n v="1"/>
    <n v="1"/>
    <n v="1"/>
    <x v="0"/>
    <s v="si"/>
    <s v="si"/>
    <s v="si"/>
    <s v="si"/>
    <s v="si"/>
    <s v="si"/>
    <s v="si"/>
    <x v="0"/>
    <s v="si"/>
    <s v="si"/>
    <s v="si"/>
    <m/>
    <m/>
    <m/>
    <m/>
    <m/>
    <m/>
    <m/>
    <m/>
    <m/>
    <m/>
    <s v="VALOR DIFERENTE EN LA RESOLUCIÓN DE ADJUDICACIÓN Y CONTRATO SE HA PEDIDO ENMENDAR EL ERROR MEDIANTE CORREO DEL 31 MAYO 2016 / OBRA EN LIQUIDACIÓN  07 MAYO 2016. Contrato culminado el 29 de octubre de 2016.  Cuenta con acta de entrega recepción provisional total.  El pago de la liquidación se encuentra pendiente porque se ha solicitado al Área Financiera la certificación presupuestaria y de disponibilidad económica"/>
    <m/>
    <m/>
    <m/>
  </r>
  <r>
    <x v="16"/>
    <s v="OBRAS"/>
    <x v="0"/>
    <s v="Proyectos de expansión y refuerzo en el Sistema Nacional de Distribución"/>
    <x v="0"/>
    <x v="0"/>
    <x v="0"/>
    <s v="MANABI"/>
    <x v="57"/>
    <n v="3"/>
    <x v="0"/>
    <s v="BID2-RSND-CNELMAN-DI-OB-001"/>
    <s v="CONSTRUCCIÓN DE LÍNEA TRIFÁSICA A 13.8 KV PARA S/E JARAMIJO, S/E MANTA 3 Y S/E MONTECRISTI 2"/>
    <s v="Alimentadores Manta 3"/>
    <s v="LPN"/>
    <s v="ex-post"/>
    <s v="EJECUTADO BID"/>
    <s v="BID2-RSND-CNELMAN-DI-OB-001"/>
    <s v="ING. NAPOLEÓN OVIEDO BELTRÁN FLORES"/>
    <s v="ECUATORIANA"/>
    <s v="PERSONA NATURAL"/>
    <n v="1306977248001"/>
    <s v="(Ing. Gustavo Velez) Temporales"/>
    <s v="(Ing. Gustavo Velez) O998854312"/>
    <s v="Ing. Cristhian Loor"/>
    <s v="O987912062"/>
    <m/>
    <n v="0"/>
    <n v="0"/>
    <m/>
    <n v="0"/>
    <n v="0"/>
    <n v="0.12"/>
    <n v="0"/>
    <n v="0"/>
    <n v="0"/>
    <m/>
    <m/>
    <m/>
    <m/>
    <m/>
    <m/>
    <m/>
    <m/>
    <m/>
    <m/>
    <m/>
    <m/>
    <m/>
    <m/>
    <m/>
    <m/>
    <m/>
    <m/>
    <m/>
    <m/>
    <m/>
    <n v="0"/>
    <n v="0"/>
    <s v="DDL, IAO 21.1."/>
    <s v="NO APLICA"/>
    <s v="NO APLICA"/>
    <s v="NO APLICA"/>
    <s v="NO APLICA"/>
    <s v="NO APLICA"/>
    <d v="2015-08-28T00:00:00"/>
    <d v="2015-09-03T00:00:00"/>
    <d v="2015-09-11T00:00:00"/>
    <d v="2015-09-25T00:00:00"/>
    <s v="NO APLICA"/>
    <d v="2015-09-30T00:00:00"/>
    <d v="2015-10-07T00:00:00"/>
    <s v="NO APLICA"/>
    <s v="NO APLICA"/>
    <s v="NO APLICA"/>
    <d v="2015-12-29T00:00:00"/>
    <s v="NO APLICA"/>
    <s v="DATO PENDIENTE"/>
    <d v="2016-01-20T00:00:00"/>
    <s v="NO APLICA"/>
    <s v="NO APLICA"/>
    <s v="NO APLICA"/>
    <m/>
    <s v="ü"/>
    <m/>
    <m/>
    <m/>
    <m/>
    <m/>
    <m/>
    <m/>
    <m/>
    <m/>
    <m/>
    <m/>
    <s v="ü"/>
    <s v="NO APLICA"/>
    <s v="SI"/>
    <n v="0.05"/>
    <d v="2016-04-04T00:00:00"/>
    <m/>
    <m/>
    <d v="2016-11-25T00:00:00"/>
    <m/>
    <m/>
    <d v="2016-11-25T00:00:00"/>
    <m/>
    <m/>
    <d v="2016-12-07T00:00:00"/>
    <m/>
    <m/>
    <m/>
    <m/>
    <m/>
    <m/>
    <m/>
    <m/>
    <m/>
    <m/>
    <m/>
    <m/>
    <m/>
    <m/>
    <m/>
    <m/>
    <m/>
    <m/>
    <m/>
    <n v="0"/>
    <m/>
    <m/>
    <m/>
    <m/>
    <m/>
    <m/>
    <m/>
    <n v="180"/>
    <s v="DESDE LA NOTIFICACIÓN DE LA ENTREGA DEL ANTICIPO"/>
    <d v="2016-04-05T00:00:00"/>
    <d v="2016-10-02T00:00:00"/>
    <m/>
    <n v="14"/>
    <d v="2016-10-16T00:00:00"/>
    <m/>
    <m/>
    <m/>
    <m/>
    <m/>
    <m/>
    <m/>
    <m/>
    <m/>
    <m/>
    <m/>
    <m/>
    <m/>
    <m/>
    <m/>
    <m/>
    <m/>
    <m/>
    <m/>
    <m/>
    <m/>
    <m/>
    <m/>
    <m/>
    <n v="0.2"/>
    <n v="0.54"/>
    <n v="0.65"/>
    <n v="0.71"/>
    <n v="0.8"/>
    <n v="1"/>
    <n v="1"/>
    <n v="1"/>
    <n v="1"/>
    <n v="1"/>
    <n v="1"/>
    <n v="1"/>
    <n v="1"/>
    <n v="1"/>
    <n v="1"/>
    <n v="1"/>
    <n v="1"/>
    <n v="1"/>
    <n v="1"/>
    <n v="1"/>
    <n v="1"/>
    <n v="1"/>
    <n v="1"/>
    <n v="1"/>
    <n v="1"/>
    <n v="1"/>
    <n v="1"/>
    <n v="1"/>
    <n v="1"/>
    <x v="0"/>
    <n v="1"/>
    <n v="1"/>
    <n v="1"/>
    <x v="0"/>
    <s v="si"/>
    <s v="si"/>
    <s v="si"/>
    <s v="si"/>
    <s v="si"/>
    <s v="si"/>
    <s v="si"/>
    <x v="0"/>
    <s v="si"/>
    <s v="si"/>
    <s v="si"/>
    <m/>
    <m/>
    <m/>
    <m/>
    <m/>
    <m/>
    <m/>
    <m/>
    <m/>
    <m/>
    <s v="VALOR DIFERENTE EN LA RESOLUCIÓN DE ADJUDICACIÓN Y CONTRATO SE HA PEDIDO ENMENDAR EL ERROR MEDIANTE CORREO DEL 31 MAYO 2016 / OBRA EN LIQUIDACIÓN  07 MAYO 2016. Contrato culminado el 29 de octubre de 2016.  Cuenta con acta de entrega recepción provisional total.  El pago de la liquidación se encuentra pendiente porque se ha solicitado al Área Financiera la certificación presupuestaria y de disponibilidad económica"/>
    <m/>
    <m/>
    <m/>
  </r>
  <r>
    <x v="16"/>
    <s v="OBRAS"/>
    <x v="0"/>
    <s v="Proyectos de expansión y refuerzo en el Sistema Nacional de Distribución"/>
    <x v="0"/>
    <x v="0"/>
    <x v="0"/>
    <s v="MANABI"/>
    <x v="58"/>
    <n v="4"/>
    <x v="0"/>
    <s v="BID2-RSND-CNELMAN-DI-OB-001"/>
    <s v="CONSTRUCCIÓN DE LÍNEA TRIFÁSICA A 13.8 KV PARA S/E JARAMIJO, S/E MANTA 3 Y S/E MONTECRISTI 2"/>
    <s v="Alimentadores Montecristi 2"/>
    <s v="LPN"/>
    <s v="ex-post"/>
    <s v="EJECUTADO BID"/>
    <s v="BID2-RSND-CNELMAN-DI-OB-001"/>
    <s v="ING. NAPOLEÓN OVIEDO BELTRÁN FLORES"/>
    <s v="ECUATORIANA"/>
    <s v="PERSONA NATURAL"/>
    <n v="1306977248001"/>
    <s v="(Ing. Gustavo Velez) Temporales"/>
    <s v="(Ing. Gustavo Velez) O998854312"/>
    <s v="Ing. Cristhian Loor"/>
    <s v="O987912062"/>
    <m/>
    <n v="0"/>
    <n v="0"/>
    <m/>
    <n v="0"/>
    <n v="0"/>
    <n v="0.12"/>
    <n v="0"/>
    <n v="0"/>
    <n v="0"/>
    <m/>
    <m/>
    <m/>
    <m/>
    <m/>
    <m/>
    <m/>
    <m/>
    <m/>
    <m/>
    <m/>
    <m/>
    <m/>
    <m/>
    <m/>
    <m/>
    <m/>
    <m/>
    <m/>
    <m/>
    <m/>
    <n v="0"/>
    <n v="0"/>
    <s v="DDL, IAO 21.1."/>
    <s v="NO APLICA"/>
    <s v="NO APLICA"/>
    <s v="NO APLICA"/>
    <s v="NO APLICA"/>
    <s v="NO APLICA"/>
    <d v="2015-08-28T00:00:00"/>
    <d v="2015-09-03T00:00:00"/>
    <d v="2015-09-11T00:00:00"/>
    <d v="2015-09-25T00:00:00"/>
    <s v="NO APLICA"/>
    <d v="2015-09-30T00:00:00"/>
    <d v="2015-10-07T00:00:00"/>
    <s v="NO APLICA"/>
    <s v="NO APLICA"/>
    <s v="NO APLICA"/>
    <d v="2015-12-29T00:00:00"/>
    <s v="NO APLICA"/>
    <s v="DATO PENDIENTE"/>
    <d v="2016-01-20T00:00:00"/>
    <s v="NO APLICA"/>
    <s v="NO APLICA"/>
    <s v="NO APLICA"/>
    <m/>
    <s v="ü"/>
    <m/>
    <m/>
    <m/>
    <m/>
    <m/>
    <m/>
    <m/>
    <m/>
    <m/>
    <m/>
    <m/>
    <s v="ü"/>
    <s v="NO APLICA"/>
    <s v="SI"/>
    <n v="0.05"/>
    <d v="2016-04-04T00:00:00"/>
    <m/>
    <m/>
    <d v="2016-11-25T00:00:00"/>
    <m/>
    <m/>
    <d v="2016-11-25T00:00:00"/>
    <m/>
    <m/>
    <d v="2016-12-07T00:00:00"/>
    <m/>
    <m/>
    <m/>
    <m/>
    <m/>
    <m/>
    <m/>
    <m/>
    <m/>
    <m/>
    <m/>
    <m/>
    <m/>
    <m/>
    <m/>
    <m/>
    <m/>
    <m/>
    <m/>
    <n v="0"/>
    <m/>
    <m/>
    <m/>
    <m/>
    <m/>
    <m/>
    <m/>
    <n v="180"/>
    <s v="DESDE LA NOTIFICACIÓN DE LA ENTREGA DEL ANTICIPO"/>
    <d v="2016-04-05T00:00:00"/>
    <d v="2016-10-02T00:00:00"/>
    <m/>
    <n v="14"/>
    <d v="2016-10-16T00:00:00"/>
    <m/>
    <m/>
    <m/>
    <m/>
    <m/>
    <m/>
    <m/>
    <m/>
    <m/>
    <m/>
    <m/>
    <m/>
    <m/>
    <m/>
    <m/>
    <m/>
    <m/>
    <m/>
    <m/>
    <m/>
    <m/>
    <m/>
    <m/>
    <m/>
    <n v="0.2"/>
    <n v="0.54"/>
    <n v="0.65"/>
    <n v="0.71"/>
    <n v="0.8"/>
    <n v="1"/>
    <n v="1"/>
    <n v="1"/>
    <n v="1"/>
    <n v="1"/>
    <n v="1"/>
    <n v="1"/>
    <n v="1"/>
    <n v="1"/>
    <n v="1"/>
    <n v="1"/>
    <n v="1"/>
    <n v="1"/>
    <n v="1"/>
    <n v="1"/>
    <n v="1"/>
    <n v="1"/>
    <n v="1"/>
    <n v="1"/>
    <n v="1"/>
    <n v="1"/>
    <n v="1"/>
    <n v="1"/>
    <n v="1"/>
    <x v="0"/>
    <n v="1"/>
    <n v="1"/>
    <n v="1"/>
    <x v="0"/>
    <s v="si"/>
    <s v="si"/>
    <s v="si"/>
    <s v="si"/>
    <s v="si"/>
    <s v="si"/>
    <s v="si"/>
    <x v="0"/>
    <s v="si"/>
    <s v="si"/>
    <s v="si"/>
    <m/>
    <m/>
    <m/>
    <m/>
    <m/>
    <m/>
    <m/>
    <m/>
    <m/>
    <m/>
    <s v="VALOR DIFERENTE EN LA RESOLUCIÓN DE ADJUDICACIÓN Y CONTRATO SE HA PEDIDO ENMENDAR EL ERROR MEDIANTE CORREO DEL 31 MAYO 2016 / OBRA EN LIQUIDACIÓN  07 MAYO 2016. Contrato culminado el 29 de octubre de 2016.  Cuenta con acta de entrega recepción provisional total.  El pago de la liquidación se encuentra pendiente porque se ha solicitado al Área Financiera la certificación presupuestaria y de disponibilidad económica"/>
    <m/>
    <m/>
    <m/>
  </r>
  <r>
    <x v="16"/>
    <s v="CONSULTORIA INDIVIDUAL"/>
    <x v="0"/>
    <s v="Proyectos de expansión y refuerzo en el Sistema Nacional de Distribución"/>
    <x v="0"/>
    <x v="7"/>
    <x v="0"/>
    <s v="MANABI"/>
    <x v="56"/>
    <n v="2"/>
    <x v="0"/>
    <s v="BID2-RSND-CNELMAN-FI-CI-001"/>
    <s v="FISCALIZACIÓN PARA CONSTRUCCIÓN DE LÍNEA TRIFÁSICA A 13.8 KV PARA S/E JARAMIJO, S/E MANTA 3 Y S/E MONTECRISTI 2 (1)"/>
    <s v="Fiscalización Alimentadores Jaramijó"/>
    <s v="CCIN"/>
    <s v="ex-post"/>
    <s v="EJECUTADO EE"/>
    <m/>
    <m/>
    <m/>
    <m/>
    <m/>
    <s v="NO APLICA"/>
    <s v="NO APLICA"/>
    <m/>
    <m/>
    <m/>
    <n v="13273.3"/>
    <n v="0"/>
    <n v="13273.3"/>
    <n v="0"/>
    <n v="13273.3"/>
    <n v="0.12"/>
    <n v="1592.7959999999998"/>
    <n v="0"/>
    <n v="14866.096000000001"/>
    <n v="0"/>
    <n v="13273.3"/>
    <m/>
    <m/>
    <n v="0"/>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n v="1"/>
    <n v="1"/>
    <n v="1"/>
    <n v="1"/>
    <n v="1"/>
    <n v="1"/>
    <n v="1"/>
    <n v="1"/>
    <n v="1"/>
    <n v="1"/>
    <n v="1"/>
    <n v="1"/>
    <n v="1"/>
    <n v="1"/>
    <n v="1"/>
    <n v="1"/>
    <n v="1"/>
    <n v="1"/>
    <n v="1"/>
    <n v="1"/>
    <n v="1"/>
    <n v="1"/>
    <x v="0"/>
    <n v="1"/>
    <n v="1"/>
    <n v="1"/>
    <x v="0"/>
    <s v="no"/>
    <s v="no"/>
    <s v="no"/>
    <s v="no"/>
    <s v="no"/>
    <s v="no"/>
    <s v="no"/>
    <x v="3"/>
    <s v="ee"/>
    <s v="ee"/>
    <s v="ee"/>
    <m/>
    <m/>
    <m/>
    <m/>
    <m/>
    <m/>
    <m/>
    <m/>
    <m/>
    <m/>
    <s v="ESTA FISCALIZACIÓN SE HARÁ CON ADMINISTRACIÓN PROPIA, PROCESO ELIMINADO REFORMA OFICIO Nro. CNEL-MAN-ADM-2016-0804-O de 04 de octubre de 2016, ver Formulario de Control de Cambios No.1."/>
    <m/>
    <m/>
    <m/>
  </r>
  <r>
    <x v="16"/>
    <s v="CONSULTORIA INDIVIDUAL"/>
    <x v="0"/>
    <s v="Proyectos de expansión y refuerzo en el Sistema Nacional de Distribución"/>
    <x v="0"/>
    <x v="7"/>
    <x v="0"/>
    <s v="MANABI"/>
    <x v="57"/>
    <n v="3"/>
    <x v="0"/>
    <s v="BID2-RSND-CNELMAN-FI-CI-001"/>
    <s v="FISCALIZACIÓN PARA CONSTRUCCIÓN DE LÍNEA TRIFÁSICA A 13.8 KV PARA S/E JARAMIJO, S/E MANTA 3 Y S/E MONTECRISTI 2 (2)"/>
    <s v="Fiscalización Alimentadores Manta 3"/>
    <s v="CCIN"/>
    <s v="ex-post"/>
    <s v="EJECUTADO EE"/>
    <m/>
    <m/>
    <m/>
    <m/>
    <m/>
    <s v="NO APLICA"/>
    <s v="NO APLICA"/>
    <m/>
    <m/>
    <m/>
    <n v="0"/>
    <n v="0"/>
    <m/>
    <n v="0"/>
    <n v="0"/>
    <n v="0.12"/>
    <n v="0"/>
    <n v="0"/>
    <n v="0"/>
    <m/>
    <m/>
    <m/>
    <m/>
    <n v="0"/>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n v="1"/>
    <n v="1"/>
    <n v="1"/>
    <n v="1"/>
    <n v="1"/>
    <n v="1"/>
    <n v="1"/>
    <n v="1"/>
    <n v="1"/>
    <n v="1"/>
    <n v="1"/>
    <n v="1"/>
    <n v="1"/>
    <n v="1"/>
    <n v="1"/>
    <n v="1"/>
    <n v="1"/>
    <n v="1"/>
    <n v="1"/>
    <n v="1"/>
    <n v="1"/>
    <n v="1"/>
    <x v="0"/>
    <n v="1"/>
    <n v="1"/>
    <n v="1"/>
    <x v="0"/>
    <s v="no"/>
    <s v="no"/>
    <s v="no"/>
    <s v="no"/>
    <s v="no"/>
    <s v="no"/>
    <s v="no"/>
    <x v="1"/>
    <s v="ee"/>
    <s v="ee"/>
    <s v="ee"/>
    <m/>
    <m/>
    <m/>
    <m/>
    <m/>
    <m/>
    <m/>
    <m/>
    <m/>
    <m/>
    <s v="ESTA FISCALIZACIÓN SE HARÁ CON ADMINISTRACIÓN PROPIA, PROCESO ELIMINADO REFORMA OFICIO Nro. CNEL-MAN-ADM-2016-0804-O de 04 de octubre de 2016, ver Formulario de Control de Cambios No.1."/>
    <m/>
    <m/>
    <m/>
  </r>
  <r>
    <x v="16"/>
    <s v="CONSULTORIA INDIVIDUAL"/>
    <x v="0"/>
    <s v="Proyectos de expansión y refuerzo en el Sistema Nacional de Distribución"/>
    <x v="0"/>
    <x v="7"/>
    <x v="0"/>
    <s v="MANABI"/>
    <x v="58"/>
    <n v="4"/>
    <x v="0"/>
    <s v="BID2-RSND-CNELMAN-FI-CI-001"/>
    <s v="FISCALIZACIÓN PARA CONSTRUCCIÓN DE LÍNEA TRIFÁSICA A 13.8 KV PARA S/E JARAMIJO, S/E MANTA 3 Y S/E MONTECRISTI 2 (3)"/>
    <s v="Fiscalización Alimentadores Montecristi 2"/>
    <s v="CCIN"/>
    <s v="ex-post"/>
    <s v="EJECUTADO EE"/>
    <m/>
    <m/>
    <m/>
    <m/>
    <m/>
    <s v="NO APLICA"/>
    <s v="NO APLICA"/>
    <m/>
    <m/>
    <m/>
    <n v="0"/>
    <n v="0"/>
    <m/>
    <n v="0"/>
    <n v="0"/>
    <n v="0.12"/>
    <n v="0"/>
    <n v="0"/>
    <n v="0"/>
    <m/>
    <m/>
    <m/>
    <m/>
    <n v="0"/>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n v="1"/>
    <n v="1"/>
    <n v="1"/>
    <n v="1"/>
    <n v="1"/>
    <n v="1"/>
    <n v="1"/>
    <n v="1"/>
    <n v="1"/>
    <n v="1"/>
    <n v="1"/>
    <n v="1"/>
    <n v="1"/>
    <n v="1"/>
    <n v="1"/>
    <n v="1"/>
    <n v="1"/>
    <n v="1"/>
    <n v="1"/>
    <n v="1"/>
    <n v="1"/>
    <n v="1"/>
    <x v="0"/>
    <n v="1"/>
    <n v="1"/>
    <n v="1"/>
    <x v="0"/>
    <s v="no"/>
    <s v="no"/>
    <s v="no"/>
    <s v="no"/>
    <s v="no"/>
    <s v="no"/>
    <s v="no"/>
    <x v="1"/>
    <s v="ee"/>
    <s v="ee"/>
    <s v="ee"/>
    <m/>
    <m/>
    <m/>
    <m/>
    <m/>
    <m/>
    <m/>
    <m/>
    <m/>
    <m/>
    <s v="ESTA FISCALIZACIÓN SE HARÁ CON ADMINISTRACIÓN PROPIA, PROCESO ELIMINADO REFORMA OFICIO Nro. CNEL-MAN-ADM-2016-0804-O de 04 de octubre de 2016, ver Formulario de Control de Cambios No.1."/>
    <m/>
    <m/>
    <m/>
  </r>
  <r>
    <x v="16"/>
    <s v="OBRAS"/>
    <x v="1"/>
    <s v="Mejoramiento de la eficiencia y fiabilidad de la red"/>
    <x v="2"/>
    <x v="2"/>
    <x v="0"/>
    <s v="MANABI"/>
    <x v="59"/>
    <n v="5"/>
    <x v="0"/>
    <s v="BID2-RSND-CNELMAN-AU-OB-001"/>
    <s v=" ADECUACIÓN DE INFRAESTRUCTURA EN LA S/E ELECTRICA MONTECRISTI 1 PARA LA IMPLEMENTACIÓN DEL SCADA"/>
    <m/>
    <s v="LPN"/>
    <s v="ex-post"/>
    <s v="EJECUTADO BID"/>
    <s v="BID2-RSND-CNELMAN-AU-OB-001"/>
    <s v="ARQ. EDISON EDMUNDO MERA LOOR"/>
    <s v="ECUATORIANA"/>
    <s v="PERSONA NATURAL"/>
    <n v="1310373418001"/>
    <s v="Civil (Ing. Manuel Zavala) Tempotales"/>
    <s v="Civil (Ing. Manuel Zavala-0987838591)"/>
    <s v="Ing. Luis Cajio"/>
    <s v="O982023699"/>
    <m/>
    <n v="219280.19"/>
    <n v="0"/>
    <n v="219280.19"/>
    <n v="0"/>
    <n v="219280.19"/>
    <n v="0.12"/>
    <n v="26313.622800000001"/>
    <n v="0"/>
    <n v="245593.81280000001"/>
    <n v="215358.54"/>
    <n v="3921.6499999999942"/>
    <m/>
    <m/>
    <n v="219280.18669138136"/>
    <m/>
    <n v="215908.05"/>
    <m/>
    <m/>
    <m/>
    <m/>
    <m/>
    <m/>
    <m/>
    <m/>
    <m/>
    <d v="2016-07-08T00:00:00"/>
    <s v="8.69%"/>
    <n v="18772.18"/>
    <m/>
    <n v="20079.448649999998"/>
    <n v="3372.140000000014"/>
    <n v="-35479.488649999985"/>
    <s v="DDL, IAO 21.1."/>
    <s v="NO APLICA"/>
    <s v="NO APLICA"/>
    <s v="NO APLICA"/>
    <s v="NO APLICA"/>
    <s v="NO APLICA"/>
    <d v="2015-08-28T00:00:00"/>
    <d v="2015-09-03T00:00:00"/>
    <d v="2015-09-11T00:00:00"/>
    <d v="2015-09-25T00:00:00"/>
    <s v="NO APLICA"/>
    <d v="2015-09-30T00:00:00"/>
    <d v="2015-10-07T00:00:00"/>
    <s v="NO APLICA"/>
    <s v="NO APLICA"/>
    <s v="NO APLICA"/>
    <d v="2015-12-15T00:00:00"/>
    <s v="NO APLICA"/>
    <s v="DATO PENDIENTE"/>
    <d v="2016-02-02T00:00:00"/>
    <s v="NO APLICA"/>
    <s v="NO APLICA"/>
    <s v="NO APLICA"/>
    <m/>
    <s v="ü"/>
    <m/>
    <m/>
    <m/>
    <m/>
    <m/>
    <m/>
    <m/>
    <m/>
    <m/>
    <m/>
    <m/>
    <s v="ü"/>
    <s v="NO APLICA"/>
    <s v="SI"/>
    <n v="0.05"/>
    <d v="2016-06-09T00:00:00"/>
    <n v="107954.02499999999"/>
    <m/>
    <d v="2016-10-05T00:00:00"/>
    <n v="16112.599999999999"/>
    <m/>
    <d v="2016-11-29T00:00:00"/>
    <n v="20476.400000000001"/>
    <m/>
    <d v="2016-12-28T00:00:00"/>
    <n v="14835.32"/>
    <m/>
    <m/>
    <m/>
    <m/>
    <m/>
    <m/>
    <m/>
    <m/>
    <m/>
    <m/>
    <m/>
    <m/>
    <m/>
    <m/>
    <m/>
    <m/>
    <m/>
    <m/>
    <n v="159378.345"/>
    <m/>
    <m/>
    <m/>
    <m/>
    <m/>
    <m/>
    <m/>
    <n v="90"/>
    <s v="DESDE LA NOTIFICACIÓN DE LA ENTREGA DEL ANTICIPO"/>
    <d v="2016-06-10T00:00:00"/>
    <d v="2016-09-08T00:00:00"/>
    <d v="2016-09-07T00:00:00"/>
    <n v="30"/>
    <d v="2016-10-07T00:00:00"/>
    <m/>
    <m/>
    <m/>
    <m/>
    <m/>
    <m/>
    <m/>
    <m/>
    <m/>
    <m/>
    <d v="2016-11-09T00:00:00"/>
    <m/>
    <m/>
    <m/>
    <m/>
    <m/>
    <m/>
    <m/>
    <m/>
    <m/>
    <m/>
    <m/>
    <m/>
    <m/>
    <m/>
    <n v="0.05"/>
    <n v="0.06"/>
    <n v="0.09"/>
    <n v="0.114"/>
    <n v="0.13"/>
    <n v="0.158"/>
    <n v="0.16"/>
    <n v="0.21"/>
    <n v="1"/>
    <n v="1"/>
    <n v="1"/>
    <n v="1"/>
    <n v="1"/>
    <n v="1"/>
    <n v="1"/>
    <n v="1"/>
    <n v="1"/>
    <n v="1"/>
    <n v="1"/>
    <n v="1"/>
    <n v="1"/>
    <n v="1"/>
    <n v="1"/>
    <n v="1"/>
    <n v="1"/>
    <n v="1"/>
    <n v="1"/>
    <n v="1"/>
    <x v="0"/>
    <n v="1"/>
    <n v="1"/>
    <n v="1"/>
    <x v="0"/>
    <s v="si"/>
    <s v="si"/>
    <s v="si"/>
    <s v="si"/>
    <s v="si"/>
    <s v="si"/>
    <s v="si"/>
    <x v="0"/>
    <s v="si"/>
    <s v="si"/>
    <s v="si"/>
    <m/>
    <m/>
    <m/>
    <m/>
    <s v="Pagos con orden de trabajo incluida. No se sabe si la orden de trabajo era la final."/>
    <m/>
    <m/>
    <m/>
    <m/>
    <m/>
    <m/>
    <m/>
    <m/>
    <m/>
  </r>
  <r>
    <x v="16"/>
    <s v="OBRAS"/>
    <x v="1"/>
    <s v="Mejoramiento de la eficiencia y fiabilidad de la red"/>
    <x v="2"/>
    <x v="2"/>
    <x v="0"/>
    <s v="MANABI"/>
    <x v="60"/>
    <n v="6"/>
    <x v="0"/>
    <s v="BID2-RSND-CNELMAN-AU-OB-002"/>
    <s v="ADECUACIÓN DE INFRAESTRUCTURA DE LAS S/E LODANA, PLAYA PRIETA Y BARRANCO COLORADO PARA LA IMPLEMENTACIÓN DEL SCADA"/>
    <s v="SE Lodana"/>
    <s v="LPN"/>
    <s v="ex-post"/>
    <s v="EJECUTADO BID"/>
    <s v="#095-15"/>
    <s v="ING. ÁNGEL JHINSON  ROMERO ALCÍVAR"/>
    <s v="ECUATORIANA"/>
    <s v="PERSONA NATURAL"/>
    <n v="13086680766001"/>
    <s v="Civil (Ing. Manuel Zavala) Tempotales"/>
    <s v="Civil (Ing. Manuel Zavala-0987838591)"/>
    <s v="Ing. Candy Echeverria"/>
    <s v="O984648159"/>
    <m/>
    <n v="317896.40000000002"/>
    <n v="0"/>
    <n v="317896.40000000002"/>
    <n v="0"/>
    <n v="317896.40000000002"/>
    <n v="0.12"/>
    <n v="38147.567999999999"/>
    <n v="0"/>
    <n v="356043.96800000005"/>
    <n v="304762.53000000003"/>
    <n v="13133.869999999995"/>
    <m/>
    <m/>
    <n v="317896.40000000002"/>
    <m/>
    <n v="311717.67"/>
    <m/>
    <m/>
    <m/>
    <m/>
    <m/>
    <m/>
    <m/>
    <m/>
    <m/>
    <m/>
    <m/>
    <m/>
    <m/>
    <n v="9800"/>
    <n v="6178.7300000000396"/>
    <n v="-3621.2699999999604"/>
    <s v="DDL, IAO 21.1."/>
    <s v="NO APLICA"/>
    <s v="NO APLICA"/>
    <s v="NO APLICA"/>
    <s v="NO APLICA"/>
    <s v="NO APLICA"/>
    <d v="2015-08-28T00:00:00"/>
    <d v="2015-09-03T00:00:00"/>
    <d v="2015-09-11T00:00:00"/>
    <d v="2015-09-25T00:00:00"/>
    <s v="NO APLICA"/>
    <d v="2015-09-30T00:00:00"/>
    <d v="2015-10-07T00:00:00"/>
    <s v="NO APLICA"/>
    <s v="NO APLICA"/>
    <s v="NO APLICA"/>
    <d v="2015-11-25T00:00:00"/>
    <s v="NO APLICA"/>
    <s v="DATO PENDIENTE"/>
    <d v="2015-12-10T00:00:00"/>
    <s v="NO APLICA"/>
    <s v="NO APLICA"/>
    <s v="NO APLICA"/>
    <m/>
    <s v="ü"/>
    <m/>
    <m/>
    <m/>
    <m/>
    <m/>
    <m/>
    <m/>
    <m/>
    <m/>
    <m/>
    <m/>
    <s v="ü"/>
    <s v="NO APLICA"/>
    <s v="SI"/>
    <n v="0.05"/>
    <d v="2016-02-25T00:00:00"/>
    <n v="155858.83499999999"/>
    <m/>
    <d v="2016-07-08T00:00:00"/>
    <n v="24102.36"/>
    <m/>
    <d v="2016-12-21T00:00:00"/>
    <n v="22260.01"/>
    <m/>
    <m/>
    <m/>
    <m/>
    <m/>
    <m/>
    <m/>
    <m/>
    <m/>
    <m/>
    <m/>
    <m/>
    <m/>
    <m/>
    <m/>
    <m/>
    <m/>
    <m/>
    <m/>
    <m/>
    <m/>
    <n v="202221.20500000002"/>
    <m/>
    <m/>
    <m/>
    <m/>
    <m/>
    <m/>
    <m/>
    <n v="120"/>
    <s v="DESDE LA NOTIFICACIÓN DE LA ENTREGA DEL ANTICIPO"/>
    <d v="2016-02-26T00:00:00"/>
    <d v="2016-06-25T00:00:00"/>
    <m/>
    <m/>
    <m/>
    <m/>
    <m/>
    <m/>
    <m/>
    <m/>
    <m/>
    <m/>
    <m/>
    <m/>
    <d v="2016-06-14T00:00:00"/>
    <d v="2016-08-29T00:00:00"/>
    <m/>
    <m/>
    <m/>
    <m/>
    <m/>
    <m/>
    <d v="2017-01-31T00:00:00"/>
    <m/>
    <m/>
    <m/>
    <m/>
    <n v="0.1"/>
    <n v="0.186"/>
    <n v="0.188"/>
    <n v="0.192"/>
    <n v="0.192"/>
    <n v="0.25"/>
    <n v="0.25"/>
    <n v="0.25"/>
    <n v="0.25"/>
    <n v="0.25"/>
    <n v="0.25"/>
    <n v="0.68300000000000005"/>
    <n v="1"/>
    <n v="1"/>
    <n v="1"/>
    <n v="0.71"/>
    <n v="0.71"/>
    <n v="0.95"/>
    <n v="0.95"/>
    <n v="0.95"/>
    <n v="0.95"/>
    <n v="0.95"/>
    <n v="1"/>
    <n v="1"/>
    <n v="1"/>
    <n v="1"/>
    <n v="1"/>
    <n v="1"/>
    <n v="1"/>
    <n v="1"/>
    <n v="1"/>
    <x v="0"/>
    <n v="1"/>
    <n v="1"/>
    <n v="1"/>
    <x v="0"/>
    <s v="no"/>
    <s v="si"/>
    <s v="si"/>
    <s v="si"/>
    <s v="si"/>
    <s v="si"/>
    <s v="si"/>
    <x v="0"/>
    <s v="si"/>
    <s v="si"/>
    <s v="si"/>
    <m/>
    <m/>
    <m/>
    <m/>
    <m/>
    <m/>
    <m/>
    <m/>
    <m/>
    <m/>
    <s v="CONTRATO CON RETRASO SIGNIFICATIVO EN LA EJECUCIÓN. _x000a_El terremoto afectó las obras que ya estaban construidas, por lo que el avance evaluado a junio es e 71%. Hay un reclamo de incumplimiento al contratista."/>
    <m/>
    <m/>
    <m/>
  </r>
  <r>
    <x v="16"/>
    <s v="OBRAS"/>
    <x v="1"/>
    <s v="Mejoramiento de la eficiencia y fiabilidad de la red"/>
    <x v="2"/>
    <x v="2"/>
    <x v="0"/>
    <s v="MANABI"/>
    <x v="61"/>
    <n v="7"/>
    <x v="0"/>
    <s v="BID2-RSND-CNELMAN-AU-OB-002"/>
    <s v="ADECUACIÓN DE INFRAESTRUCTURA DE LAS S/E LODANA, PLAYA PRIETA Y BARRANCO COLORADO PARA LA IMPLEMENTACIÓN DEL SCADA"/>
    <s v="SE Playa Prieta"/>
    <s v="LPN"/>
    <s v="ex-post"/>
    <s v="EJECUTADO BID"/>
    <s v="#095-15"/>
    <s v="ING. ÁNGEL JHINSON  ROMERO ALCÍVAR"/>
    <s v="ECUATORIANA"/>
    <s v="PERSONA NATURAL"/>
    <n v="13086680766001"/>
    <s v="Civil (Ing. Manuel Zavala) Tempotales"/>
    <s v="Civil (Ing. Manuel Zavala-0987838591)"/>
    <s v="Ing. Candy Echeverria"/>
    <s v="O984648159"/>
    <m/>
    <n v="0"/>
    <n v="0"/>
    <m/>
    <n v="0"/>
    <n v="0"/>
    <n v="0.12"/>
    <n v="0"/>
    <n v="0"/>
    <n v="0"/>
    <m/>
    <m/>
    <m/>
    <m/>
    <m/>
    <m/>
    <m/>
    <m/>
    <m/>
    <m/>
    <m/>
    <m/>
    <m/>
    <m/>
    <m/>
    <m/>
    <m/>
    <m/>
    <m/>
    <m/>
    <m/>
    <n v="0"/>
    <n v="0"/>
    <s v="DDL, IAO 21.1."/>
    <s v="NO APLICA"/>
    <s v="NO APLICA"/>
    <s v="NO APLICA"/>
    <s v="NO APLICA"/>
    <s v="NO APLICA"/>
    <d v="2015-08-28T00:00:00"/>
    <d v="2015-09-03T00:00:00"/>
    <d v="2015-09-11T00:00:00"/>
    <d v="2015-09-25T00:00:00"/>
    <s v="NO APLICA"/>
    <d v="2015-09-30T00:00:00"/>
    <d v="2015-10-07T00:00:00"/>
    <s v="NO APLICA"/>
    <s v="NO APLICA"/>
    <s v="NO APLICA"/>
    <d v="2015-11-25T00:00:00"/>
    <s v="NO APLICA"/>
    <s v="DATO PENDIENTE"/>
    <d v="2015-12-10T00:00:00"/>
    <s v="NO APLICA"/>
    <s v="NO APLICA"/>
    <s v="NO APLICA"/>
    <m/>
    <s v="ü"/>
    <m/>
    <m/>
    <m/>
    <m/>
    <m/>
    <m/>
    <m/>
    <m/>
    <m/>
    <m/>
    <m/>
    <s v="ü"/>
    <s v="NO APLICA"/>
    <s v="SI"/>
    <n v="0.05"/>
    <d v="2016-02-25T00:00:00"/>
    <n v="0"/>
    <m/>
    <d v="2016-07-08T00:00:00"/>
    <m/>
    <m/>
    <d v="2016-12-21T00:00:00"/>
    <m/>
    <m/>
    <m/>
    <m/>
    <m/>
    <m/>
    <m/>
    <m/>
    <m/>
    <m/>
    <m/>
    <m/>
    <m/>
    <m/>
    <m/>
    <m/>
    <m/>
    <m/>
    <m/>
    <m/>
    <m/>
    <m/>
    <n v="0"/>
    <m/>
    <m/>
    <m/>
    <m/>
    <m/>
    <m/>
    <m/>
    <n v="120"/>
    <s v="DESDE LA NOTIFICACIÓN DE LA ENTREGA DEL ANTICIPO"/>
    <d v="2016-02-26T00:00:00"/>
    <d v="2016-06-25T00:00:00"/>
    <m/>
    <m/>
    <m/>
    <m/>
    <m/>
    <m/>
    <m/>
    <m/>
    <m/>
    <m/>
    <m/>
    <m/>
    <d v="2016-06-14T00:00:00"/>
    <d v="2016-08-29T00:00:00"/>
    <m/>
    <m/>
    <m/>
    <m/>
    <m/>
    <m/>
    <d v="2017-01-31T00:00:00"/>
    <m/>
    <m/>
    <m/>
    <m/>
    <n v="0.1"/>
    <n v="0.186"/>
    <n v="0.188"/>
    <n v="0.192"/>
    <n v="0.192"/>
    <n v="0.25"/>
    <n v="0.25"/>
    <n v="0.25"/>
    <n v="0.25"/>
    <n v="0.25"/>
    <n v="0.25"/>
    <n v="0.68300000000000005"/>
    <n v="1"/>
    <n v="1"/>
    <n v="1"/>
    <n v="0.71"/>
    <n v="0.71"/>
    <n v="0.95"/>
    <n v="0.95"/>
    <n v="0.95"/>
    <n v="0.95"/>
    <n v="0.95"/>
    <n v="1"/>
    <n v="1"/>
    <n v="1"/>
    <n v="1"/>
    <n v="1"/>
    <n v="1"/>
    <n v="1"/>
    <n v="1"/>
    <n v="1"/>
    <x v="0"/>
    <n v="1"/>
    <n v="1"/>
    <n v="1"/>
    <x v="0"/>
    <s v="no"/>
    <s v="si"/>
    <s v="si"/>
    <s v="si"/>
    <s v="si"/>
    <s v="si"/>
    <s v="si"/>
    <x v="0"/>
    <s v="si"/>
    <s v="si"/>
    <s v="si"/>
    <m/>
    <m/>
    <m/>
    <m/>
    <m/>
    <m/>
    <m/>
    <m/>
    <m/>
    <m/>
    <s v="CONTRATO CON RETRASO SIGNIFICATIVO EN LA EJECUCIÓN. _x000a_El terremoto afectó las obras que ya estaban construidas, por lo que el avance evaluado a junio es e 71%. Hay un reclamo de incumplimiento al contratista."/>
    <m/>
    <m/>
    <m/>
  </r>
  <r>
    <x v="16"/>
    <s v="OBRAS"/>
    <x v="1"/>
    <s v="Mejoramiento de la eficiencia y fiabilidad de la red"/>
    <x v="2"/>
    <x v="2"/>
    <x v="0"/>
    <s v="MANABI"/>
    <x v="62"/>
    <n v="8"/>
    <x v="0"/>
    <s v="BID2-RSND-CNELMAN-AU-OB-002"/>
    <s v="ADECUACIÓN DE INFRAESTRUCTURA DE LAS S/E LODANA, PLAYA PRIETA Y BARRANCO COLORADO PARA LA IMPLEMENTACIÓN DEL SCADA"/>
    <s v="SE Barranco Colorado"/>
    <s v="LPN"/>
    <s v="ex-post"/>
    <s v="EJECUTADO BID"/>
    <s v="#095-15"/>
    <s v="ING. ÁNGEL JHINSON  ROMERO ALCÍVAR"/>
    <s v="ECUATORIANA"/>
    <s v="PERSONA NATURAL"/>
    <n v="13086680766001"/>
    <s v="Civil (Ing. Manuel Zavala) Tempotales"/>
    <s v="Civil (Ing. Manuel Zavala-0987838591)"/>
    <s v="Ing. Candy Echeverria"/>
    <s v="O984648159"/>
    <m/>
    <n v="0"/>
    <n v="0"/>
    <m/>
    <n v="0"/>
    <n v="0"/>
    <n v="0.12"/>
    <n v="0"/>
    <n v="0"/>
    <n v="0"/>
    <m/>
    <m/>
    <m/>
    <m/>
    <m/>
    <m/>
    <m/>
    <m/>
    <m/>
    <m/>
    <m/>
    <m/>
    <m/>
    <m/>
    <m/>
    <m/>
    <m/>
    <m/>
    <m/>
    <m/>
    <m/>
    <n v="0"/>
    <n v="0"/>
    <s v="DDL, IAO 21.1."/>
    <s v="NO APLICA"/>
    <s v="NO APLICA"/>
    <s v="NO APLICA"/>
    <s v="NO APLICA"/>
    <s v="NO APLICA"/>
    <d v="2015-08-28T00:00:00"/>
    <d v="2015-09-03T00:00:00"/>
    <d v="2015-09-11T00:00:00"/>
    <d v="2015-09-25T00:00:00"/>
    <s v="NO APLICA"/>
    <d v="2015-09-30T00:00:00"/>
    <d v="2015-10-07T00:00:00"/>
    <s v="NO APLICA"/>
    <s v="NO APLICA"/>
    <s v="NO APLICA"/>
    <d v="2015-11-25T00:00:00"/>
    <s v="NO APLICA"/>
    <s v="DATO PENDIENTE"/>
    <d v="2015-12-10T00:00:00"/>
    <s v="NO APLICA"/>
    <s v="NO APLICA"/>
    <s v="NO APLICA"/>
    <m/>
    <s v="ü"/>
    <m/>
    <m/>
    <m/>
    <m/>
    <m/>
    <m/>
    <m/>
    <m/>
    <m/>
    <m/>
    <m/>
    <s v="ü"/>
    <s v="NO APLICA"/>
    <s v="SI"/>
    <n v="0.05"/>
    <d v="2016-02-25T00:00:00"/>
    <n v="0"/>
    <m/>
    <d v="2016-07-08T00:00:00"/>
    <m/>
    <m/>
    <d v="2016-12-21T00:00:00"/>
    <m/>
    <m/>
    <m/>
    <m/>
    <m/>
    <m/>
    <m/>
    <m/>
    <m/>
    <m/>
    <m/>
    <m/>
    <m/>
    <m/>
    <m/>
    <m/>
    <m/>
    <m/>
    <m/>
    <m/>
    <m/>
    <m/>
    <n v="0"/>
    <m/>
    <m/>
    <m/>
    <m/>
    <m/>
    <m/>
    <m/>
    <n v="120"/>
    <s v="DESDE LA NOTIFICACIÓN DE LA ENTREGA DEL ANTICIPO"/>
    <d v="2016-02-26T00:00:00"/>
    <d v="2016-06-25T00:00:00"/>
    <m/>
    <m/>
    <m/>
    <m/>
    <m/>
    <m/>
    <m/>
    <m/>
    <m/>
    <m/>
    <m/>
    <m/>
    <d v="2016-06-14T00:00:00"/>
    <d v="2016-08-29T00:00:00"/>
    <m/>
    <m/>
    <m/>
    <m/>
    <m/>
    <m/>
    <d v="2017-01-31T00:00:00"/>
    <m/>
    <m/>
    <m/>
    <m/>
    <n v="0.1"/>
    <n v="0.186"/>
    <n v="0.188"/>
    <n v="0.192"/>
    <n v="0.192"/>
    <n v="0.25"/>
    <n v="0.25"/>
    <n v="0.25"/>
    <n v="0.25"/>
    <n v="0.25"/>
    <n v="0.25"/>
    <n v="0.68300000000000005"/>
    <n v="1"/>
    <n v="1"/>
    <n v="1"/>
    <n v="0.71"/>
    <n v="0.71"/>
    <n v="0.95"/>
    <n v="0.95"/>
    <n v="0.95"/>
    <n v="0.95"/>
    <n v="0.95"/>
    <n v="1"/>
    <n v="1"/>
    <n v="1"/>
    <n v="1"/>
    <n v="1"/>
    <n v="1"/>
    <n v="1"/>
    <n v="1"/>
    <n v="1"/>
    <x v="0"/>
    <n v="1"/>
    <n v="1"/>
    <n v="1"/>
    <x v="0"/>
    <s v="no"/>
    <s v="si"/>
    <s v="si"/>
    <s v="si"/>
    <s v="si"/>
    <s v="si"/>
    <s v="si"/>
    <x v="0"/>
    <s v="si"/>
    <s v="si"/>
    <s v="si"/>
    <m/>
    <m/>
    <m/>
    <m/>
    <m/>
    <m/>
    <m/>
    <m/>
    <m/>
    <m/>
    <s v="CONTRATO CON RETRASO SIGNIFICATIVO EN LA EJECUCIÓN. _x000a_El terremoto afectó las obras que ya estaban construidas, por lo que el avance evaluado a junio es e 71%. Hay un reclamo de incumplimiento al contratista."/>
    <m/>
    <m/>
    <m/>
  </r>
  <r>
    <x v="16"/>
    <s v="CONSULTORIA INDIVIDUAL"/>
    <x v="1"/>
    <s v="Mejoramiento de la eficiencia y fiabilidad de la red"/>
    <x v="2"/>
    <x v="7"/>
    <x v="0"/>
    <s v="MANABI"/>
    <x v="60"/>
    <n v="6"/>
    <x v="0"/>
    <s v="BID2-RSND-CNELMAN-FI-CI-002_x000a_"/>
    <s v="FISCALIZACION ADECUACIÓN DE INFRAESTRUCTURA DE LAS S/E MONTECRISTI 1, LODANA, PLAYA PRIETA Y BARRANCO COLORADO PARA LA IMPLEMENTACIÓN DEL SCADA"/>
    <s v="Fiscalización SE Montecristi 1"/>
    <s v="CCIN"/>
    <s v="ex-post"/>
    <s v="EJECUTADO EE"/>
    <m/>
    <m/>
    <m/>
    <m/>
    <m/>
    <s v="NO APLICA"/>
    <s v="NO APLICA"/>
    <m/>
    <m/>
    <n v="3302.0520242680241"/>
    <n v="13273.3"/>
    <n v="0"/>
    <n v="13273.3"/>
    <n v="0"/>
    <n v="13273.3"/>
    <n v="0.12"/>
    <n v="1592.7959999999998"/>
    <n v="0"/>
    <n v="14866.096000000001"/>
    <n v="0"/>
    <n v="13273.3"/>
    <m/>
    <m/>
    <n v="0"/>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m/>
    <m/>
    <m/>
    <n v="1"/>
    <n v="1"/>
    <n v="1"/>
    <n v="1"/>
    <n v="1"/>
    <n v="1"/>
    <n v="1"/>
    <n v="1"/>
    <n v="1"/>
    <n v="1"/>
    <n v="1"/>
    <n v="1"/>
    <n v="1"/>
    <n v="1"/>
    <n v="1"/>
    <n v="1"/>
    <n v="1"/>
    <n v="1"/>
    <n v="1"/>
    <x v="0"/>
    <n v="1"/>
    <n v="1"/>
    <n v="1"/>
    <x v="0"/>
    <s v="no"/>
    <s v="no"/>
    <s v="no"/>
    <s v="no"/>
    <s v="no"/>
    <s v="no"/>
    <s v="no"/>
    <x v="3"/>
    <s v="ee"/>
    <s v="ee"/>
    <s v="ee"/>
    <m/>
    <m/>
    <m/>
    <m/>
    <m/>
    <m/>
    <m/>
    <m/>
    <m/>
    <m/>
    <s v="ESTA FISCALIZACIÓN SE HARÁ CON ADMINISTRACIÓN PROPIA, PROCESO ELIMINADO REFORMA OFICIO Nro. CNEL-MAN-ADM-2016-0804-O de 04 de octubre de 2016, ver Formulario de Control de Cambios No.1."/>
    <m/>
    <m/>
    <m/>
  </r>
  <r>
    <x v="16"/>
    <s v="CONSULTORIA INDIVIDUAL"/>
    <x v="1"/>
    <s v="Mejoramiento de la eficiencia y fiabilidad de la red"/>
    <x v="2"/>
    <x v="7"/>
    <x v="0"/>
    <s v="MANABI"/>
    <x v="61"/>
    <n v="7"/>
    <x v="0"/>
    <s v="BID2-RSND-CNELMAN-FI-CI-002_x000a_"/>
    <s v="FISCALIZACION ADECUACIÓN DE INFRAESTRUCTURA DE LAS S/E MONTECRISTI 1, LODANA, PLAYA PRIETA Y BARRANCO COLORADO PARA LA IMPLEMENTACIÓN DEL SCADA"/>
    <s v="Fiscalización SE Lodana"/>
    <s v="CCIN"/>
    <s v="ex-post"/>
    <s v="EJECUTADO EE"/>
    <m/>
    <m/>
    <m/>
    <m/>
    <m/>
    <s v="NO APLICA"/>
    <s v="NO APLICA"/>
    <m/>
    <m/>
    <n v="2550.6892139632655"/>
    <n v="0"/>
    <n v="0"/>
    <m/>
    <n v="0"/>
    <n v="0"/>
    <n v="0.12"/>
    <n v="0"/>
    <n v="0"/>
    <n v="0"/>
    <m/>
    <m/>
    <m/>
    <m/>
    <n v="0"/>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m/>
    <m/>
    <m/>
    <n v="1"/>
    <n v="1"/>
    <n v="1"/>
    <n v="1"/>
    <n v="1"/>
    <n v="1"/>
    <n v="1"/>
    <n v="1"/>
    <n v="1"/>
    <n v="1"/>
    <n v="1"/>
    <n v="1"/>
    <n v="1"/>
    <n v="1"/>
    <n v="1"/>
    <n v="1"/>
    <n v="1"/>
    <n v="1"/>
    <n v="1"/>
    <x v="0"/>
    <n v="1"/>
    <n v="1"/>
    <n v="1"/>
    <x v="0"/>
    <s v="no"/>
    <s v="no"/>
    <s v="no"/>
    <s v="no"/>
    <s v="no"/>
    <s v="no"/>
    <s v="no"/>
    <x v="1"/>
    <s v="ee"/>
    <s v="ee"/>
    <s v="ee"/>
    <m/>
    <m/>
    <m/>
    <m/>
    <m/>
    <m/>
    <m/>
    <m/>
    <m/>
    <m/>
    <s v="ESTA FISCALIZACIÓN SE HARÁ CON ADMINISTRACIÓN PROPIA, PROCESO ELIMINADO REFORMA OFICIO Nro. CNEL-MAN-ADM-2016-0804-O de 04 de octubre de 2016, ver Formulario de Control de Cambios No.1."/>
    <m/>
    <m/>
    <m/>
  </r>
  <r>
    <x v="16"/>
    <s v="CONSULTORIA INDIVIDUAL"/>
    <x v="1"/>
    <s v="Mejoramiento de la eficiencia y fiabilidad de la red"/>
    <x v="2"/>
    <x v="7"/>
    <x v="0"/>
    <s v="MANABI"/>
    <x v="62"/>
    <n v="8"/>
    <x v="0"/>
    <s v="BID2-RSND-CNELMAN-FI-CI-002_x000a_"/>
    <s v="FISCALIZACION ADECUACIÓN DE INFRAESTRUCTURA DE LAS S/E MONTECRISTI 1, LODANA, PLAYA PRIETA Y BARRANCO COLORADO PARA LA IMPLEMENTACIÓN DEL SCADA"/>
    <s v="Fiscalización SE Playa Prieta"/>
    <s v="CCIN"/>
    <s v="ex-post"/>
    <s v="EJECUTADO EE"/>
    <m/>
    <m/>
    <m/>
    <m/>
    <m/>
    <s v="NO APLICA"/>
    <s v="NO APLICA"/>
    <m/>
    <m/>
    <n v="2002.2838531500299"/>
    <n v="0"/>
    <n v="0"/>
    <m/>
    <n v="0"/>
    <n v="0"/>
    <n v="0.12"/>
    <n v="0"/>
    <n v="0"/>
    <n v="0"/>
    <m/>
    <m/>
    <m/>
    <m/>
    <n v="0"/>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m/>
    <m/>
    <m/>
    <n v="1"/>
    <n v="1"/>
    <n v="1"/>
    <n v="1"/>
    <n v="1"/>
    <n v="1"/>
    <n v="1"/>
    <n v="1"/>
    <n v="1"/>
    <n v="1"/>
    <n v="1"/>
    <n v="1"/>
    <n v="1"/>
    <n v="1"/>
    <n v="1"/>
    <n v="1"/>
    <n v="1"/>
    <n v="1"/>
    <n v="1"/>
    <x v="0"/>
    <n v="1"/>
    <n v="1"/>
    <n v="1"/>
    <x v="0"/>
    <s v="no"/>
    <s v="no"/>
    <s v="no"/>
    <s v="no"/>
    <s v="no"/>
    <s v="no"/>
    <s v="no"/>
    <x v="1"/>
    <s v="ee"/>
    <s v="ee"/>
    <s v="ee"/>
    <m/>
    <m/>
    <m/>
    <m/>
    <m/>
    <m/>
    <m/>
    <m/>
    <m/>
    <m/>
    <s v="ESTA FISCALIZACIÓN SE HARÁ CON ADMINISTRACIÓN PROPIA, PROCESO ELIMINADO REFORMA OFICIO Nro. CNEL-MAN-ADM-2016-0804-O de 04 de octubre de 2016, ver Formulario de Control de Cambios No.1."/>
    <m/>
    <m/>
    <m/>
  </r>
  <r>
    <x v="16"/>
    <s v="CONSULTORIA INDIVIDUAL"/>
    <x v="1"/>
    <s v="Mejoramiento de la eficiencia y fiabilidad de la red"/>
    <x v="2"/>
    <x v="7"/>
    <x v="0"/>
    <s v="MANABI"/>
    <x v="63"/>
    <n v="5"/>
    <x v="0"/>
    <s v="BID2-RSND-CNELMAN-FI-CI-002_x000a_"/>
    <s v="FISCALIZACION ADECUACIÓN DE INFRAESTRUCTURA DE LAS S/E MONTECRISTI 1, LODANA, PLAYA PRIETA Y BARRANCO COLORADO PARA LA IMPLEMENTACIÓN DEL SCADA"/>
    <s v="Fiscalización SE Barranco Colorado"/>
    <s v="CCIN"/>
    <s v="ex-post"/>
    <s v="EJECUTADO EE"/>
    <m/>
    <m/>
    <m/>
    <m/>
    <m/>
    <s v="NO APLICA"/>
    <s v="NO APLICA"/>
    <m/>
    <m/>
    <n v="5418.2789086186813"/>
    <n v="0"/>
    <n v="0"/>
    <m/>
    <n v="0"/>
    <n v="0"/>
    <n v="0.12"/>
    <n v="0"/>
    <n v="0"/>
    <n v="0"/>
    <m/>
    <m/>
    <m/>
    <m/>
    <m/>
    <m/>
    <m/>
    <m/>
    <m/>
    <m/>
    <m/>
    <m/>
    <m/>
    <m/>
    <m/>
    <m/>
    <m/>
    <m/>
    <m/>
    <m/>
    <m/>
    <m/>
    <n v="0"/>
    <m/>
    <m/>
    <s v="NO APLICA"/>
    <m/>
    <m/>
    <m/>
    <m/>
    <m/>
    <m/>
    <m/>
    <m/>
    <m/>
    <m/>
    <m/>
    <m/>
    <m/>
    <m/>
    <m/>
    <m/>
    <m/>
    <s v="NO APLICA"/>
    <s v="NO APLICA"/>
    <s v="NO APLICA"/>
    <m/>
    <m/>
    <m/>
    <m/>
    <m/>
    <m/>
    <m/>
    <m/>
    <m/>
    <m/>
    <m/>
    <m/>
    <m/>
    <m/>
    <s v="NO APLICA"/>
    <s v="NO APLICA"/>
    <s v="NO APLICA"/>
    <m/>
    <m/>
    <m/>
    <m/>
    <m/>
    <m/>
    <m/>
    <m/>
    <m/>
    <m/>
    <m/>
    <m/>
    <m/>
    <m/>
    <m/>
    <m/>
    <m/>
    <m/>
    <m/>
    <m/>
    <m/>
    <m/>
    <m/>
    <m/>
    <m/>
    <m/>
    <m/>
    <m/>
    <m/>
    <m/>
    <m/>
    <m/>
    <m/>
    <m/>
    <m/>
    <m/>
    <m/>
    <m/>
    <m/>
    <m/>
    <m/>
    <m/>
    <m/>
    <m/>
    <m/>
    <m/>
    <m/>
    <m/>
    <m/>
    <m/>
    <m/>
    <m/>
    <m/>
    <m/>
    <m/>
    <m/>
    <m/>
    <m/>
    <m/>
    <m/>
    <m/>
    <m/>
    <m/>
    <m/>
    <m/>
    <m/>
    <m/>
    <m/>
    <m/>
    <m/>
    <m/>
    <m/>
    <m/>
    <m/>
    <m/>
    <m/>
    <m/>
    <m/>
    <n v="1"/>
    <n v="1"/>
    <n v="1"/>
    <n v="1"/>
    <n v="1"/>
    <n v="1"/>
    <n v="1"/>
    <n v="1"/>
    <n v="1"/>
    <n v="1"/>
    <n v="1"/>
    <n v="1"/>
    <n v="1"/>
    <n v="1"/>
    <n v="1"/>
    <n v="1"/>
    <n v="1"/>
    <n v="1"/>
    <n v="1"/>
    <x v="0"/>
    <n v="1"/>
    <n v="1"/>
    <n v="1"/>
    <x v="0"/>
    <s v="no"/>
    <s v="no"/>
    <s v="no"/>
    <s v="no"/>
    <s v="no"/>
    <s v="no"/>
    <s v="no"/>
    <x v="1"/>
    <s v="ee"/>
    <s v="ee"/>
    <s v="ee"/>
    <m/>
    <m/>
    <m/>
    <m/>
    <m/>
    <m/>
    <m/>
    <m/>
    <m/>
    <m/>
    <m/>
    <m/>
    <m/>
    <m/>
  </r>
  <r>
    <x v="17"/>
    <s v="OBRAS"/>
    <x v="0"/>
    <s v="Proyectos de expansión y refuerzo en el Sistema Nacional de Distribución"/>
    <x v="3"/>
    <x v="3"/>
    <x v="1"/>
    <s v="GUAYAS"/>
    <x v="64"/>
    <n v="1"/>
    <x v="0"/>
    <s v="BID2-RSND-CNELMLG-ST-OB-001"/>
    <s v="CONSTRUCCIÓN DE LA LÍNEA DE SUBTRANSMISIÓN A 69 KV EL RECREO (GLR) - LOS BANCOS - YAGUACHI. 750 MCM ACAR, 21,5  KM. CON OPGW"/>
    <m/>
    <s v="LPN"/>
    <s v="ex-post"/>
    <s v="CONTRATADO"/>
    <s v="BID2-RSND-CNELMLG-ST-OB-001"/>
    <s v="SEDEMI SERVICIOS DE MECANICA INDUSTRIAL DISEÑO CONSTRUCCIÓN Y MONTAJE S.C.C."/>
    <s v="ECUATORIANA"/>
    <s v="PERSONA JURÍDICA"/>
    <n v="1791734920001"/>
    <s v="DATO PENDIENTE"/>
    <s v="DATO PENDIENTE"/>
    <s v="ING. JOFRE MONTENEGRO SARMINETO"/>
    <s v="DATO PENDIENTE"/>
    <m/>
    <n v="2250888.48"/>
    <n v="0"/>
    <n v="2250888.48"/>
    <n v="511761.88"/>
    <n v="2762650.36"/>
    <n v="0.12"/>
    <n v="270106.6176"/>
    <m/>
    <n v="3094168.4032000001"/>
    <m/>
    <m/>
    <m/>
    <m/>
    <n v="2250888.48"/>
    <m/>
    <n v="2210356.2000000002"/>
    <n v="0.14000000000000001"/>
    <n v="309449.86800000007"/>
    <n v="2519806.068"/>
    <m/>
    <m/>
    <m/>
    <m/>
    <m/>
    <m/>
    <m/>
    <m/>
    <m/>
    <m/>
    <n v="552294.16"/>
    <n v="40532.279999999795"/>
    <n v="-511761.88000000024"/>
    <s v="DDL, IAO 21.1."/>
    <s v="NO APLICA"/>
    <s v="NO APLICA"/>
    <s v="NO APLICA"/>
    <s v="NO APLICA"/>
    <s v="NO APLICA"/>
    <d v="2016-07-18T00:00:00"/>
    <s v="DATO PENDIENTE"/>
    <s v="DATO PENDIENTE"/>
    <d v="2016-08-15T00:00:00"/>
    <s v="NO APLICA"/>
    <s v="DATO PENDIENTE"/>
    <s v="DATO PENDIENTE"/>
    <s v="NO APLICA"/>
    <s v="NO APLICA"/>
    <s v="NO APLICA"/>
    <d v="2016-09-19T00:00:00"/>
    <s v="NO APLICA"/>
    <d v="2016-09-19T00:00:00"/>
    <d v="2016-09-26T00:00:00"/>
    <s v="NO APLICA"/>
    <s v="NO APLICA"/>
    <s v="NO APLICA"/>
    <m/>
    <s v="ü"/>
    <m/>
    <m/>
    <m/>
    <m/>
    <m/>
    <m/>
    <m/>
    <m/>
    <m/>
    <m/>
    <m/>
    <s v="ü"/>
    <s v="NO APLICA"/>
    <s v="SI"/>
    <n v="0.05"/>
    <d v="2016-10-05T00:00:00"/>
    <n v="1105178.1000000001"/>
    <m/>
    <m/>
    <m/>
    <m/>
    <m/>
    <m/>
    <m/>
    <m/>
    <m/>
    <m/>
    <m/>
    <m/>
    <m/>
    <m/>
    <m/>
    <m/>
    <m/>
    <m/>
    <m/>
    <m/>
    <m/>
    <m/>
    <m/>
    <m/>
    <m/>
    <m/>
    <m/>
    <n v="1105178.1000000001"/>
    <m/>
    <m/>
    <m/>
    <m/>
    <m/>
    <m/>
    <m/>
    <n v="365"/>
    <s v="DESDE LA NOTIFICACIÓN DE LA ENTREGA DEL ANTICIPO"/>
    <d v="2016-10-06T00:00:00"/>
    <d v="2017-10-06T00:00:00"/>
    <m/>
    <m/>
    <m/>
    <m/>
    <m/>
    <m/>
    <m/>
    <m/>
    <m/>
    <m/>
    <m/>
    <m/>
    <m/>
    <m/>
    <m/>
    <m/>
    <m/>
    <m/>
    <m/>
    <m/>
    <m/>
    <m/>
    <m/>
    <m/>
    <m/>
    <m/>
    <m/>
    <m/>
    <m/>
    <m/>
    <m/>
    <m/>
    <m/>
    <m/>
    <m/>
    <n v="2.3E-2"/>
    <n v="5.8799999999999998E-2"/>
    <n v="5.8799999999999998E-2"/>
    <n v="0.36"/>
    <n v="0.5"/>
    <n v="0.43"/>
    <n v="0.5"/>
    <n v="0.5"/>
    <n v="0.5"/>
    <n v="0.83"/>
    <n v="0.87"/>
    <n v="0.87"/>
    <n v="0.87"/>
    <n v="0.87"/>
    <n v="0.9"/>
    <n v="0.9"/>
    <n v="0.9"/>
    <n v="0.9"/>
    <n v="0.9"/>
    <n v="0.9"/>
    <n v="0.9"/>
    <x v="5"/>
    <n v="1"/>
    <n v="1"/>
    <n v="1"/>
    <x v="0"/>
    <s v="no"/>
    <s v="no"/>
    <s v="no"/>
    <s v="no"/>
    <s v="no"/>
    <s v="no"/>
    <s v="no"/>
    <x v="1"/>
    <s v="no"/>
    <s v="no"/>
    <s v="no"/>
    <s v="En trámites de contrato complementario, y nuevos rubros debido a torres no previstas en sector de Durán y variaciones de recorrido. "/>
    <s v="Falta definir financiamiento de parte de CNEL y resolver problemas de avales con el MEF. Aproximadamente USD 552.000 contrato complementario"/>
    <m/>
    <s v="Gestionando financiamiento para ejecutar obra complementaria"/>
    <s v="En firma de contrato complementario, se espera culmnar obra en marzo de  2019, debido a clima que no permite ejecutar trabajo en zonas inundables"/>
    <m/>
    <m/>
    <m/>
    <m/>
    <m/>
    <m/>
    <m/>
    <m/>
    <m/>
  </r>
  <r>
    <x v="17"/>
    <s v="OBRAS"/>
    <x v="0"/>
    <s v="Proyectos de expansión y refuerzo en el Sistema Nacional de Distribución"/>
    <x v="3"/>
    <x v="3"/>
    <x v="1"/>
    <s v="CAÑAR"/>
    <x v="65"/>
    <n v="2"/>
    <x v="0"/>
    <s v="BID2-RSND-CNELMLG-ST-OB-002"/>
    <s v="CONSTRUCCIÓN DE LA LÍNEA DE SUBTRANSMISIÓN A 69 KV LA TRONCAL - PUERTO INCA"/>
    <m/>
    <s v="LPN"/>
    <s v="ex-post"/>
    <s v="EJECUTADO BID"/>
    <s v="BID2-RSND-CNELMLG-ST-OB-002"/>
    <s v="SEDEMI SERVICIOS DE MECANICA INDUSTRIAL DISEÑO CONSTRUCCIÓN Y MONTAJE S.C.C."/>
    <s v="ECUATORIANA"/>
    <s v="PERSONA JURÍDICA"/>
    <n v="1791734920001"/>
    <s v="DATO PENDIENTE"/>
    <s v="DATO PENDIENTE"/>
    <s v="ING. EDWIN SERRANO"/>
    <s v="099 651 6516"/>
    <m/>
    <n v="2859248.75"/>
    <n v="0"/>
    <n v="2859248.75"/>
    <n v="0"/>
    <n v="2859248.75"/>
    <n v="0.12"/>
    <n v="343109.85"/>
    <n v="0"/>
    <n v="3202358.6"/>
    <n v="2826560.4299999997"/>
    <n v="32688.320000000298"/>
    <m/>
    <m/>
    <n v="2859248.75"/>
    <m/>
    <n v="2670022.46"/>
    <n v="0.14000000000000001"/>
    <n v="373803.14440000005"/>
    <n v="3043825.6043999996"/>
    <m/>
    <m/>
    <m/>
    <m/>
    <m/>
    <m/>
    <m/>
    <m/>
    <m/>
    <m/>
    <m/>
    <n v="189226.29000000004"/>
    <n v="189226.29000000004"/>
    <s v="DDL, IAO 21.1."/>
    <s v="NO APLICA"/>
    <s v="NO APLICA"/>
    <s v="NO APLICA"/>
    <s v="NO APLICA"/>
    <s v="NO APLICA"/>
    <d v="2016-07-18T00:00:00"/>
    <s v="DATO PENDIENTE"/>
    <s v="DATO PENDIENTE"/>
    <d v="2016-08-16T00:00:00"/>
    <s v="NO APLICA"/>
    <s v="DATO PENDIENTE"/>
    <s v="DATO PENDIENTE"/>
    <s v="NO APLICA"/>
    <s v="NO APLICA"/>
    <s v="NO APLICA"/>
    <d v="2016-09-19T00:00:00"/>
    <s v="NO APLICA"/>
    <d v="2016-09-19T00:00:00"/>
    <d v="2016-09-26T00:00:00"/>
    <s v="NO APLICA"/>
    <s v="NO APLICA"/>
    <s v="NO APLICA"/>
    <m/>
    <s v="ü"/>
    <m/>
    <m/>
    <m/>
    <m/>
    <m/>
    <m/>
    <m/>
    <m/>
    <m/>
    <m/>
    <m/>
    <s v="ü"/>
    <s v="NO APLICA"/>
    <s v="SI"/>
    <n v="0.05"/>
    <d v="2016-10-05T00:00:00"/>
    <n v="1335011.23"/>
    <m/>
    <m/>
    <m/>
    <m/>
    <m/>
    <m/>
    <m/>
    <m/>
    <m/>
    <m/>
    <m/>
    <m/>
    <m/>
    <m/>
    <m/>
    <m/>
    <m/>
    <m/>
    <m/>
    <m/>
    <m/>
    <m/>
    <m/>
    <m/>
    <m/>
    <m/>
    <m/>
    <n v="1335011.23"/>
    <m/>
    <m/>
    <m/>
    <m/>
    <m/>
    <m/>
    <m/>
    <n v="365"/>
    <s v="DESDE LA NOTIFICACIÓN DE LA ENTREGA DEL ANTICIPO"/>
    <d v="2016-10-06T00:00:00"/>
    <d v="2017-10-06T00:00:00"/>
    <m/>
    <m/>
    <m/>
    <m/>
    <m/>
    <m/>
    <m/>
    <m/>
    <m/>
    <m/>
    <m/>
    <m/>
    <m/>
    <m/>
    <m/>
    <m/>
    <m/>
    <m/>
    <m/>
    <m/>
    <m/>
    <m/>
    <m/>
    <m/>
    <m/>
    <m/>
    <m/>
    <m/>
    <m/>
    <m/>
    <m/>
    <m/>
    <m/>
    <m/>
    <m/>
    <n v="1E-4"/>
    <n v="8.0000000000000004E-4"/>
    <n v="8.0000000000000004E-4"/>
    <n v="0.4"/>
    <n v="0.5"/>
    <n v="0.42"/>
    <n v="0.6"/>
    <n v="0.76"/>
    <n v="0.76"/>
    <n v="0.9"/>
    <n v="1"/>
    <n v="1"/>
    <n v="1"/>
    <n v="1"/>
    <n v="0.99"/>
    <n v="1"/>
    <n v="1"/>
    <n v="1"/>
    <n v="1"/>
    <n v="1"/>
    <n v="1"/>
    <x v="0"/>
    <n v="1"/>
    <n v="1"/>
    <n v="1"/>
    <x v="0"/>
    <s v="no"/>
    <s v="no"/>
    <s v="no"/>
    <s v="no"/>
    <s v="no"/>
    <s v="no"/>
    <s v="si"/>
    <x v="0"/>
    <s v="si"/>
    <s v="si"/>
    <s v="si"/>
    <s v="En pruebas finales de fibra óptica con Centrosur. Se espera liquidar contrato en Agosto de 2018"/>
    <m/>
    <m/>
    <s v="Trabajando en integración al SCADA y posterior energización"/>
    <s v="Trabajando en integración al SCADA y posterior energización"/>
    <m/>
    <s v="Pago final en 10 enero de 2019"/>
    <m/>
    <m/>
    <m/>
    <m/>
    <m/>
    <m/>
    <m/>
  </r>
  <r>
    <x v="17"/>
    <s v="OBRAS"/>
    <x v="1"/>
    <s v="Mejoramiento de la eficiencia y fiabilidad de la red"/>
    <x v="2"/>
    <x v="2"/>
    <x v="0"/>
    <s v="GUAYAS"/>
    <x v="66"/>
    <n v="3"/>
    <x v="0"/>
    <s v="BID2-RSND-CNELMLG-AU-OB-001"/>
    <s v=" INSTALACIÓN SCADA"/>
    <m/>
    <s v="LPN"/>
    <s v="ex-post"/>
    <s v="EJECUTADO BID"/>
    <s v="BID2-RSND-CNELMLG-AU-OB-001"/>
    <s v="ADEATEL S.A."/>
    <s v="ECUATORIANA"/>
    <s v="PERSONA JURÍDICA"/>
    <s v="0 992357452001"/>
    <s v="DATO PENDIENTE"/>
    <s v="DATO PENDIENTE"/>
    <s v="NO SE INDICA EN LA GCG 1.1 (u)"/>
    <m/>
    <m/>
    <n v="470000"/>
    <n v="0"/>
    <n v="469999.99999999994"/>
    <n v="0"/>
    <n v="469999.99999999994"/>
    <n v="0.12"/>
    <n v="56399.999999999993"/>
    <n v="0"/>
    <n v="526400"/>
    <n v="469928.19"/>
    <n v="71.809999999997672"/>
    <m/>
    <m/>
    <n v="469999.99999999994"/>
    <m/>
    <n v="469928.18"/>
    <n v="0.14000000000000001"/>
    <n v="65789.945200000002"/>
    <n v="535718.12519999989"/>
    <m/>
    <m/>
    <m/>
    <m/>
    <m/>
    <m/>
    <m/>
    <m/>
    <m/>
    <m/>
    <m/>
    <n v="71.820000000006985"/>
    <n v="71.820000000006985"/>
    <s v="DDL, IAO 21.1."/>
    <s v="NO APLICA"/>
    <s v="NO APLICA"/>
    <s v="NO APLICA"/>
    <s v="NO APLICA"/>
    <s v="NO APLICA"/>
    <d v="2015-08-30T00:00:00"/>
    <d v="2015-09-07T00:00:00"/>
    <d v="2015-09-14T00:00:00"/>
    <d v="2015-09-29T00:00:00"/>
    <s v="NO APLICA"/>
    <d v="2015-10-06T00:00:00"/>
    <d v="2015-10-13T00:00:00"/>
    <s v="NO APLICA"/>
    <s v="NO APLICA"/>
    <s v="NO APLICA"/>
    <d v="2015-11-06T00:00:00"/>
    <s v="NO APLICA"/>
    <d v="2015-11-30T00:00:00"/>
    <d v="2015-12-03T00:00:00"/>
    <s v="NO APLICA"/>
    <s v="NO APLICA"/>
    <s v="NO APLICA"/>
    <m/>
    <s v="ü"/>
    <m/>
    <m/>
    <m/>
    <m/>
    <m/>
    <m/>
    <m/>
    <m/>
    <m/>
    <m/>
    <m/>
    <s v="ü"/>
    <s v="NO APLICA"/>
    <s v="SI"/>
    <n v="0.05"/>
    <d v="2016-02-17T00:00:00"/>
    <n v="234964.09"/>
    <m/>
    <d v="2016-07-27T00:00:00"/>
    <n v="106321.26"/>
    <m/>
    <d v="2016-09-27T00:00:00"/>
    <n v="61678.080000000002"/>
    <m/>
    <d v="2016-11-22T00:00:00"/>
    <n v="46992.819999999992"/>
    <s v="Pago -Devolución 50% de Fondo de Reparo"/>
    <d v="2016-11-22T00:00:00"/>
    <n v="19971.939999999999"/>
    <m/>
    <m/>
    <m/>
    <m/>
    <m/>
    <m/>
    <m/>
    <m/>
    <m/>
    <m/>
    <m/>
    <m/>
    <m/>
    <m/>
    <m/>
    <n v="469928.19"/>
    <m/>
    <m/>
    <m/>
    <m/>
    <m/>
    <m/>
    <m/>
    <n v="180"/>
    <s v="DESDE LA NOTIFICACIÓN DE LA ENTREGA DEL ANTICIPO"/>
    <d v="2016-02-18T00:00:00"/>
    <d v="2016-08-16T00:00:00"/>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m/>
    <m/>
    <m/>
    <m/>
  </r>
  <r>
    <x v="17"/>
    <s v="OBRAS"/>
    <x v="0"/>
    <s v="Proyectos de expansión y refuerzo en el Sistema Nacional de Distribución"/>
    <x v="3"/>
    <x v="3"/>
    <x v="1"/>
    <s v="GUAYAS"/>
    <x v="67"/>
    <n v="4"/>
    <x v="0"/>
    <s v="BID2-RSND-CNELMLG-ST-OB-004"/>
    <s v="ADQUISICIÓN E INSTALACIÓN DE CUATRO INTERRUPTOR A 69 KV MOTORIZADO, ACCIONADO EN GRUPO, PARA INSTALAR EN POSTE, TELECONTROLADOS Y COMUNICADOS AL CENTRO DE CONTROL"/>
    <m/>
    <s v="LPN"/>
    <s v="ex-post"/>
    <s v="EJECUTADO BID"/>
    <s v="BID2-RSND-CNELMLG-ST-OB-004"/>
    <s v="CONSORCIO INTERRUPTORES MILAGRO"/>
    <s v="ECUATORIANA"/>
    <s v="PERSONA JURÍDICA"/>
    <n v="1792706327001"/>
    <s v="DATO PENDIENTE"/>
    <s v="DATO PENDIENTE"/>
    <s v="ING. VICTOR UVILLUS JIMENEZ"/>
    <s v="DATO PENDIENTE"/>
    <m/>
    <n v="277000"/>
    <n v="0"/>
    <n v="277000"/>
    <n v="0"/>
    <n v="277000"/>
    <n v="0.12"/>
    <n v="33240"/>
    <n v="0"/>
    <n v="310240.00000000006"/>
    <n v="277000"/>
    <n v="0"/>
    <m/>
    <m/>
    <n v="277000"/>
    <m/>
    <n v="260000"/>
    <n v="0.14000000000000001"/>
    <n v="36400"/>
    <n v="296400"/>
    <m/>
    <m/>
    <m/>
    <m/>
    <m/>
    <m/>
    <m/>
    <m/>
    <m/>
    <m/>
    <m/>
    <n v="17000"/>
    <n v="17000"/>
    <s v="DDL, IAO 21.1."/>
    <s v="NO APLICA"/>
    <s v="NO APLICA"/>
    <s v="NO APLICA"/>
    <s v="NO APLICA"/>
    <s v="NO APLICA"/>
    <d v="2016-07-18T00:00:00"/>
    <s v="DATO PENDIENTE"/>
    <s v="DATO PENDIENTE"/>
    <d v="2016-08-17T00:00:00"/>
    <s v="NO APLICA"/>
    <m/>
    <m/>
    <s v="NO APLICA"/>
    <s v="NO APLICA"/>
    <s v="NO APLICA"/>
    <d v="2016-09-22T00:00:00"/>
    <s v="NO APLICA"/>
    <s v="NO APLICA"/>
    <d v="2016-10-20T00:00:00"/>
    <s v="NO APLICA"/>
    <s v="NO APLICA"/>
    <s v="NO APLICA"/>
    <m/>
    <s v="ü"/>
    <m/>
    <m/>
    <m/>
    <m/>
    <m/>
    <m/>
    <m/>
    <m/>
    <m/>
    <m/>
    <m/>
    <s v="ü"/>
    <s v="NO APLICA"/>
    <s v="SI"/>
    <n v="0.05"/>
    <d v="2016-11-12T00:00:00"/>
    <n v="130000"/>
    <m/>
    <m/>
    <m/>
    <m/>
    <m/>
    <m/>
    <m/>
    <m/>
    <m/>
    <m/>
    <m/>
    <m/>
    <m/>
    <m/>
    <m/>
    <m/>
    <m/>
    <m/>
    <m/>
    <m/>
    <m/>
    <m/>
    <m/>
    <m/>
    <m/>
    <m/>
    <m/>
    <n v="130000"/>
    <m/>
    <m/>
    <m/>
    <m/>
    <m/>
    <m/>
    <m/>
    <n v="180"/>
    <s v="DESDE LA NOTIFICACIÓN DE LA ENTREGA DEL ANTICIPO"/>
    <d v="2016-11-13T00:00:00"/>
    <d v="2017-05-12T00:00:00"/>
    <m/>
    <m/>
    <m/>
    <m/>
    <m/>
    <m/>
    <m/>
    <m/>
    <m/>
    <m/>
    <m/>
    <m/>
    <m/>
    <m/>
    <m/>
    <m/>
    <m/>
    <m/>
    <m/>
    <m/>
    <m/>
    <m/>
    <m/>
    <m/>
    <m/>
    <m/>
    <m/>
    <m/>
    <m/>
    <m/>
    <m/>
    <m/>
    <m/>
    <m/>
    <n v="0"/>
    <n v="0"/>
    <n v="0"/>
    <n v="0"/>
    <n v="0.1"/>
    <n v="0.1"/>
    <n v="0.35"/>
    <n v="0.53"/>
    <n v="0.88"/>
    <n v="0.88"/>
    <n v="0.98"/>
    <n v="1"/>
    <n v="1"/>
    <n v="1"/>
    <n v="1"/>
    <n v="0.98"/>
    <n v="0.99"/>
    <n v="0.99"/>
    <n v="0.99"/>
    <n v="1"/>
    <n v="1"/>
    <n v="1"/>
    <x v="0"/>
    <n v="1"/>
    <n v="1"/>
    <n v="1"/>
    <x v="0"/>
    <s v="no"/>
    <s v="no"/>
    <s v="no"/>
    <s v="no"/>
    <s v="no"/>
    <s v="no"/>
    <s v="NO?"/>
    <x v="0"/>
    <s v="si"/>
    <s v="si"/>
    <s v="si"/>
    <s v="Falta para poder liquidar, las pruebas de conexión al SCADA. Equipo funcionando desde junio de 2017"/>
    <m/>
    <m/>
    <s v="En etapa de pruebas y posterior liquidación"/>
    <s v="En etapa de pruebas de último interruptor y posterior liquidación"/>
    <s v="Se realiza segundo pago por 90.994,22"/>
    <s v="Pago final en mayo 2019 que corresponde a 2do pago de complementario 100% avance. No se sabe si está o no liquidado. Se verificó avance de 100% en campo. "/>
    <m/>
    <m/>
    <m/>
    <m/>
    <m/>
    <m/>
    <m/>
  </r>
  <r>
    <x v="18"/>
    <s v="OBRAS"/>
    <x v="0"/>
    <s v="Proyectos de expansión y refuerzo en el Sistema Nacional de Distribución"/>
    <x v="3"/>
    <x v="3"/>
    <x v="1"/>
    <s v="SANTA ELENA"/>
    <x v="68"/>
    <n v="1"/>
    <x v="0"/>
    <s v="BID2-RSND-CNELSTE-ST-OB-001"/>
    <s v="REPOTENCIACIÓN DE TRANSFORMADOR DE POTENCIA DE 16/20 MVA -69/13,8 KV DE S/E PLAYAS Y SAN VICENTE"/>
    <m/>
    <s v="LPN"/>
    <s v="ex-post"/>
    <s v="CONTRATADO"/>
    <s v="BID2-RSND-CNELSTE-ST-OB-001"/>
    <s v="COMPAÑÍA ELECTRICA Y MECÁNICA S.A."/>
    <s v="ECUATORIANA"/>
    <s v="PERSONA JURÍDICA"/>
    <s v="0 991495614001"/>
    <s v="FISCALIZADOR EXTERNO NO SE INDICA"/>
    <s v="DATO PENDIENTE"/>
    <s v="ING. RANDY MORENO V."/>
    <s v="DATO PENDIENTE"/>
    <m/>
    <n v="710714.29"/>
    <n v="0"/>
    <n v="730714.28599999996"/>
    <n v="0"/>
    <n v="730714.28599999996"/>
    <n v="0.12"/>
    <n v="87685.714319999999"/>
    <n v="0"/>
    <n v="818400.00031999999"/>
    <m/>
    <m/>
    <n v="21246.340000000084"/>
    <m/>
    <n v="730714.28599999996"/>
    <m/>
    <n v="689467.95"/>
    <n v="0.12"/>
    <n v="82736.153999999995"/>
    <n v="785993.46299999987"/>
    <m/>
    <m/>
    <m/>
    <m/>
    <m/>
    <m/>
    <m/>
    <m/>
    <m/>
    <m/>
    <m/>
    <n v="21246.340000000084"/>
    <n v="21246.340000000084"/>
    <s v="DDL, IAO 21.1."/>
    <s v="NO APLICA"/>
    <s v="NO APLICA"/>
    <s v="NO APLICA"/>
    <s v="NO APLICA"/>
    <s v="NO APLICA"/>
    <d v="2015-09-08T00:00:00"/>
    <d v="2015-09-11T00:00:00"/>
    <d v="2015-09-16T00:00:00"/>
    <d v="2015-09-28T00:00:00"/>
    <s v="NO APLICA"/>
    <d v="2015-10-12T00:00:00"/>
    <d v="2015-10-26T00:00:00"/>
    <s v="NO APLICA"/>
    <s v="NO APLICA"/>
    <s v="NO APLICA"/>
    <d v="2015-12-02T00:00:00"/>
    <s v="NO APLICA"/>
    <s v="NO APLICA"/>
    <d v="2015-12-18T00:00:00"/>
    <s v="NO APLICA"/>
    <s v="NO APLICA"/>
    <s v="NO APLICA"/>
    <m/>
    <s v="ü"/>
    <m/>
    <m/>
    <m/>
    <m/>
    <m/>
    <m/>
    <m/>
    <m/>
    <m/>
    <m/>
    <m/>
    <s v="ü"/>
    <s v="NO APLICA"/>
    <m/>
    <m/>
    <d v="2016-02-03T00:00:00"/>
    <n v="344733.97499999998"/>
    <s v="Pago 2/3 "/>
    <d v="2017-01-16T00:00:00"/>
    <n v="276544.55000000005"/>
    <s v="Pago 3/4 "/>
    <d v="2017-05-19T00:00:00"/>
    <n v="50294.81"/>
    <m/>
    <m/>
    <m/>
    <m/>
    <m/>
    <m/>
    <m/>
    <m/>
    <m/>
    <m/>
    <m/>
    <m/>
    <m/>
    <m/>
    <m/>
    <m/>
    <m/>
    <m/>
    <m/>
    <m/>
    <m/>
    <n v="671573.33499999996"/>
    <m/>
    <m/>
    <m/>
    <m/>
    <m/>
    <m/>
    <m/>
    <n v="210"/>
    <s v="DESDE LA NOTIFICACIÓN DE LA ENTREGA DEL ANTICIPO"/>
    <d v="2016-02-04T00:00:00"/>
    <d v="2016-09-01T00:00:00"/>
    <m/>
    <m/>
    <m/>
    <m/>
    <m/>
    <m/>
    <m/>
    <m/>
    <m/>
    <m/>
    <m/>
    <m/>
    <m/>
    <m/>
    <m/>
    <m/>
    <m/>
    <m/>
    <m/>
    <m/>
    <m/>
    <m/>
    <m/>
    <m/>
    <m/>
    <m/>
    <m/>
    <m/>
    <m/>
    <m/>
    <n v="0.1"/>
    <n v="0.1"/>
    <n v="0.1"/>
    <n v="0.73"/>
    <n v="0.92"/>
    <n v="0.92"/>
    <n v="0.92"/>
    <n v="0.92"/>
    <n v="0.92"/>
    <n v="0.92"/>
    <n v="0.92"/>
    <n v="0.92"/>
    <n v="0.92"/>
    <n v="0.92"/>
    <n v="0.92"/>
    <n v="1"/>
    <n v="1"/>
    <n v="1"/>
    <n v="1"/>
    <n v="1"/>
    <n v="1"/>
    <n v="1"/>
    <n v="1"/>
    <n v="1"/>
    <n v="1"/>
    <n v="1"/>
    <x v="0"/>
    <n v="1"/>
    <n v="1"/>
    <n v="1"/>
    <x v="0"/>
    <s v="no"/>
    <s v="no"/>
    <s v="no"/>
    <s v="no"/>
    <s v="no"/>
    <s v="no"/>
    <s v="no"/>
    <x v="1"/>
    <s v="no"/>
    <s v="no"/>
    <s v="no"/>
    <s v="Avance del 100%. Se espera S/E Móvil para realizar transferencia de carga y energizar trafo."/>
    <m/>
    <m/>
    <s v="AL momento no, esta en pruebas de carga, la subestación movil estara en sitio en este mes"/>
    <s v="AL momento no, esta en pruebas de carga, la subestación movil estara en sitio en este mes"/>
    <m/>
    <s v="no pagan planilla todavía. En liquidación"/>
    <m/>
    <m/>
    <m/>
    <m/>
    <m/>
    <m/>
    <m/>
  </r>
  <r>
    <x v="18"/>
    <s v="OBRAS"/>
    <x v="0"/>
    <s v="Proyectos de expansión y refuerzo en el Sistema Nacional de Distribución"/>
    <x v="3"/>
    <x v="3"/>
    <x v="1"/>
    <s v="SANTA ELENA"/>
    <x v="69"/>
    <n v="2"/>
    <x v="0"/>
    <s v="BID2-RSND-CNELSTE-ST-OB-002"/>
    <s v=" REPOTENCIACIÓN DE DOS TRANSFORMADORES DE POTENCIA DE 10/12 MVA -69/13,8 KV S/E CHANDUY Y MANGLARALTO"/>
    <m/>
    <s v="LPN"/>
    <s v="ex-post"/>
    <s v="CONTRATADO"/>
    <s v="BID2-RSND-CNELSTE-ST-OB-002"/>
    <s v="CONSORICIO CHANDUY - MANGLARALTO"/>
    <s v="ECUATORIANA"/>
    <s v="PERSONA JURÍDICA"/>
    <n v="1792633915001"/>
    <s v="FISCALIZADOR EXTERNO NO SE INDICA"/>
    <s v="DATO PENDIENTE"/>
    <s v="ING. ANTHONY RAMIREZ"/>
    <s v="DATO PENDIENTE"/>
    <m/>
    <n v="503571.43"/>
    <n v="0"/>
    <n v="523571.429"/>
    <n v="19569.330000000016"/>
    <n v="543140.75900000008"/>
    <n v="0.12"/>
    <n v="62828.571479999999"/>
    <n v="2348.3196000000021"/>
    <n v="608317.65008000017"/>
    <m/>
    <m/>
    <m/>
    <m/>
    <n v="523571.429"/>
    <m/>
    <n v="523140.76"/>
    <n v="0.12"/>
    <n v="62776.891199999998"/>
    <n v="585917.65120000008"/>
    <m/>
    <m/>
    <m/>
    <m/>
    <m/>
    <m/>
    <m/>
    <m/>
    <m/>
    <m/>
    <m/>
    <n v="-19569.330000000016"/>
    <n v="-19569.330000000016"/>
    <s v="DDL, IAO 21.1."/>
    <s v="NO APLICA"/>
    <s v="NO APLICA"/>
    <s v="NO APLICA"/>
    <s v="NO APLICA"/>
    <s v="NO APLICA"/>
    <d v="2015-09-08T00:00:00"/>
    <d v="2015-09-11T00:00:00"/>
    <d v="2015-09-16T00:00:00"/>
    <d v="2015-09-28T00:00:00"/>
    <s v="NO APLICA"/>
    <d v="2015-10-12T00:00:00"/>
    <d v="2015-10-26T00:00:00"/>
    <s v="NO APLICA"/>
    <s v="NO APLICA"/>
    <s v="NO APLICA"/>
    <d v="2015-11-16T00:00:00"/>
    <s v="NO APLICA"/>
    <d v="2015-11-16T00:00:00"/>
    <d v="2015-12-17T00:00:00"/>
    <s v="NO APLICA"/>
    <s v="NO APLICA"/>
    <s v="NO APLICA"/>
    <m/>
    <s v="ü"/>
    <m/>
    <m/>
    <m/>
    <m/>
    <m/>
    <m/>
    <m/>
    <m/>
    <m/>
    <m/>
    <m/>
    <s v="ü"/>
    <s v="NO APLICA"/>
    <s v="SI"/>
    <n v="0.05"/>
    <d v="2016-03-28T00:00:00"/>
    <n v="261570.38"/>
    <m/>
    <m/>
    <m/>
    <m/>
    <m/>
    <m/>
    <m/>
    <m/>
    <m/>
    <m/>
    <m/>
    <m/>
    <m/>
    <m/>
    <m/>
    <m/>
    <m/>
    <m/>
    <m/>
    <m/>
    <m/>
    <m/>
    <m/>
    <m/>
    <m/>
    <m/>
    <m/>
    <n v="261570.38"/>
    <m/>
    <m/>
    <m/>
    <m/>
    <m/>
    <m/>
    <m/>
    <n v="210"/>
    <s v="DESDE LA NOTIFICACIÓN DE LA ENTREGA DEL ANTICIPO"/>
    <d v="2016-03-29T00:00:00"/>
    <d v="2016-10-25T00:00:00"/>
    <m/>
    <m/>
    <m/>
    <m/>
    <m/>
    <m/>
    <m/>
    <m/>
    <m/>
    <m/>
    <m/>
    <m/>
    <m/>
    <m/>
    <m/>
    <m/>
    <m/>
    <m/>
    <m/>
    <m/>
    <m/>
    <m/>
    <m/>
    <m/>
    <m/>
    <m/>
    <m/>
    <m/>
    <m/>
    <m/>
    <m/>
    <m/>
    <m/>
    <m/>
    <n v="0.7"/>
    <n v="0.7"/>
    <n v="0.7"/>
    <n v="0.7"/>
    <n v="0.7"/>
    <n v="0.7"/>
    <n v="0.7"/>
    <n v="0.7"/>
    <n v="0.7"/>
    <n v="0.9"/>
    <n v="0.9"/>
    <n v="1"/>
    <n v="1"/>
    <n v="1"/>
    <n v="1"/>
    <n v="1"/>
    <n v="1"/>
    <n v="1"/>
    <n v="1"/>
    <n v="1"/>
    <n v="1"/>
    <n v="1"/>
    <x v="0"/>
    <n v="1"/>
    <n v="1"/>
    <n v="1"/>
    <x v="0"/>
    <s v="no"/>
    <s v="no"/>
    <s v="no"/>
    <s v="no"/>
    <s v="no"/>
    <s v="no"/>
    <s v="no"/>
    <x v="1"/>
    <s v="no"/>
    <s v="no"/>
    <s v="no"/>
    <s v="Avance 100%. Se espera S/E Móvil para realizar transferencia de carga y energizar trafo."/>
    <m/>
    <m/>
    <s v="AL momento no, esta en pruebas de carga, la subestación movil estara en sitio en este mes"/>
    <s v="AL momento no, esta en pruebas de carga, la subestación movil estara en sitio en este mes"/>
    <m/>
    <s v="no pagan planillas"/>
    <m/>
    <m/>
    <m/>
    <m/>
    <m/>
    <m/>
    <m/>
  </r>
  <r>
    <x v="18"/>
    <s v="OBRAS"/>
    <x v="0"/>
    <s v="Proyectos de expansión y refuerzo en el Sistema Nacional de Distribución"/>
    <x v="3"/>
    <x v="3"/>
    <x v="1"/>
    <s v="GUAYAS"/>
    <x v="70"/>
    <n v="3"/>
    <x v="0"/>
    <s v="BID2-RSND-CNELSTE-ST-OB-003"/>
    <s v=" REFORZAMIENTO EN LÍNEA DE SUBTRANSMISIÓN SAN LORENZO DEL MATE-CERECITA"/>
    <m/>
    <s v="LPN"/>
    <s v="ex-post"/>
    <s v="EJECUTADO BID"/>
    <s v="BID2-RSND-CNELSTE-ST-OB-003"/>
    <s v="PROYECTOS DEL ECUADOR S.A. PROYECSA"/>
    <s v="ECUATORIANA"/>
    <s v="PERSONA JURÍDICA"/>
    <n v="991356835001"/>
    <s v="FISCALIZADOR EXTERNO NO SE INDICA"/>
    <s v="DATO PENDIENTE"/>
    <s v="ING. HECTOR GARCÍA"/>
    <s v="DATO PENDIENTE"/>
    <m/>
    <n v="493570.84"/>
    <n v="0"/>
    <n v="481870.09999999992"/>
    <n v="0"/>
    <n v="481870.09999999992"/>
    <n v="0.12"/>
    <n v="57824.411999999989"/>
    <n v="0"/>
    <n v="539694.51199999999"/>
    <m/>
    <m/>
    <n v="43988.840000000026"/>
    <m/>
    <n v="481870.09999999992"/>
    <m/>
    <n v="449582"/>
    <n v="0.12"/>
    <n v="53949.84"/>
    <n v="503531.84"/>
    <m/>
    <m/>
    <m/>
    <m/>
    <m/>
    <m/>
    <m/>
    <m/>
    <m/>
    <m/>
    <m/>
    <n v="43988.840000000026"/>
    <n v="43988.840000000026"/>
    <s v="DDL, IAO 21.1."/>
    <s v="NO APLICA"/>
    <s v="NO APLICA"/>
    <s v="NO APLICA"/>
    <s v="NO APLICA"/>
    <s v="NO APLICA"/>
    <d v="2015-09-02T00:00:00"/>
    <d v="2015-09-07T00:00:00"/>
    <d v="2015-09-11T00:00:00"/>
    <d v="2015-09-22T00:00:00"/>
    <s v="NO APLICA"/>
    <d v="2015-10-07T00:00:00"/>
    <d v="2015-10-22T00:00:00"/>
    <s v="NO APLICA"/>
    <s v="NO APLICA"/>
    <s v="NO APLICA"/>
    <d v="2015-12-02T00:00:00"/>
    <s v="NO APLICA"/>
    <d v="2015-12-02T00:00:00"/>
    <d v="2015-12-18T00:00:00"/>
    <s v="NO APLICA"/>
    <s v="NO APLICA"/>
    <s v="NO APLICA"/>
    <m/>
    <s v="ü"/>
    <m/>
    <m/>
    <m/>
    <m/>
    <m/>
    <m/>
    <m/>
    <m/>
    <m/>
    <m/>
    <m/>
    <s v="ü"/>
    <s v="NO APLICA"/>
    <s v="SI"/>
    <n v="0.05"/>
    <d v="2016-02-18T00:00:00"/>
    <n v="224791"/>
    <s v="Pago 2/4 Planilla 1; 37%"/>
    <d v="2016-12-29T00:00:00"/>
    <n v="83485.530000000013"/>
    <m/>
    <m/>
    <m/>
    <m/>
    <m/>
    <m/>
    <m/>
    <m/>
    <m/>
    <m/>
    <m/>
    <m/>
    <m/>
    <m/>
    <m/>
    <m/>
    <m/>
    <m/>
    <m/>
    <m/>
    <m/>
    <m/>
    <m/>
    <m/>
    <n v="308276.53000000003"/>
    <m/>
    <m/>
    <m/>
    <m/>
    <m/>
    <m/>
    <m/>
    <n v="210"/>
    <s v="DESDE LA NOTIFICACIÓN DE LA ENTREGA DEL ANTICIPO"/>
    <d v="2016-02-19T00:00:00"/>
    <d v="2016-09-16T00:00:00"/>
    <m/>
    <m/>
    <m/>
    <m/>
    <m/>
    <m/>
    <m/>
    <m/>
    <m/>
    <m/>
    <m/>
    <m/>
    <m/>
    <m/>
    <m/>
    <m/>
    <m/>
    <m/>
    <m/>
    <m/>
    <m/>
    <m/>
    <m/>
    <m/>
    <m/>
    <m/>
    <m/>
    <m/>
    <m/>
    <m/>
    <m/>
    <m/>
    <n v="0.18"/>
    <n v="0.55000000000000004"/>
    <n v="0.81"/>
    <n v="1"/>
    <n v="1"/>
    <n v="1"/>
    <n v="1"/>
    <n v="1"/>
    <n v="1"/>
    <n v="1"/>
    <n v="1"/>
    <n v="1"/>
    <n v="1"/>
    <n v="1"/>
    <n v="1"/>
    <n v="1"/>
    <n v="1"/>
    <n v="1"/>
    <n v="1"/>
    <n v="1"/>
    <n v="1"/>
    <n v="1"/>
    <n v="1"/>
    <n v="1"/>
    <x v="0"/>
    <n v="1"/>
    <n v="1"/>
    <n v="1"/>
    <x v="0"/>
    <s v="no"/>
    <s v="no"/>
    <s v="no"/>
    <s v="no"/>
    <s v="no"/>
    <s v="no"/>
    <s v="no"/>
    <x v="1"/>
    <s v="no"/>
    <s v="no"/>
    <s v="no"/>
    <m/>
    <m/>
    <m/>
    <m/>
    <m/>
    <m/>
    <s v="no pagan planilla 4"/>
    <m/>
    <m/>
    <m/>
    <s v="DEL SALDO SE UTILIZA EL VALOR DE US$10.191,68 PARA CONTRATAR EL PROCESO VALOR UTILIZADO PARA CNEL GYE BID2-RSND-CNELGY-ST-OB-014 “EXTENSIÓN A LA LÍNEA DE SUBTRANSMISIÓN NUEVA PROSPERINA 2 PARA DIVIDIR LA BARRA A MAPASINGUE"/>
    <m/>
    <m/>
    <m/>
  </r>
  <r>
    <x v="18"/>
    <s v="OBRAS"/>
    <x v="0"/>
    <s v="Proyectos de expansión y refuerzo en el Sistema Nacional de Distribución"/>
    <x v="3"/>
    <x v="3"/>
    <x v="1"/>
    <s v="SANTA ELENA"/>
    <x v="71"/>
    <n v="4"/>
    <x v="0"/>
    <s v="BID2-RSND-CNELSTE-ST-OB-004"/>
    <s v="REFORZAMIENTO DE LÍNEAS DE SUBTRANSMISIÓN SALINAS-CHIPIPE"/>
    <m/>
    <s v="LPN"/>
    <s v="ex-post"/>
    <s v="EJECUTADO BID"/>
    <s v="BID2-RSND-CNELSTE-ST-OB-004"/>
    <s v="ING. WASHINGTON COLON  CASTILLO JURADO"/>
    <m/>
    <s v="PERSONA NATURAL"/>
    <n v="992950781001"/>
    <s v="FISCALIZADOR EXTERNO NO SE INDICA"/>
    <s v="DATO PENDIENTE"/>
    <s v="ING. HECTOR GARCÍA"/>
    <s v="DATO PENDIENTE"/>
    <m/>
    <n v="168355.91"/>
    <n v="0"/>
    <n v="157437.45000000001"/>
    <n v="0"/>
    <n v="157437.45000000001"/>
    <n v="0.12"/>
    <n v="18892.494000000002"/>
    <n v="0"/>
    <n v="176329.94400000002"/>
    <n v="131882.19"/>
    <n v="36473.72"/>
    <m/>
    <m/>
    <n v="157437.45000000001"/>
    <m/>
    <n v="152767.99"/>
    <n v="0.12"/>
    <n v="18332.158799999997"/>
    <n v="171100.1488"/>
    <m/>
    <m/>
    <m/>
    <m/>
    <m/>
    <m/>
    <m/>
    <m/>
    <m/>
    <m/>
    <m/>
    <n v="15587.920000000013"/>
    <n v="15587.920000000013"/>
    <s v="DDL, IAO 21.1."/>
    <s v="NO APLICA"/>
    <s v="NO APLICA"/>
    <s v="NO APLICA"/>
    <s v="NO APLICA"/>
    <s v="NO APLICA"/>
    <d v="2015-09-02T00:00:00"/>
    <d v="2015-09-07T00:00:00"/>
    <d v="2015-09-11T00:00:00"/>
    <d v="2015-09-22T00:00:00"/>
    <s v="NO APLICA"/>
    <d v="2015-10-07T00:00:00"/>
    <d v="2015-10-22T00:00:00"/>
    <s v="NO APLICA"/>
    <s v="NO APLICA"/>
    <s v="NO APLICA"/>
    <d v="2015-12-02T00:00:00"/>
    <s v="NO APLICA"/>
    <d v="2015-12-02T00:00:00"/>
    <d v="2015-12-31T00:00:00"/>
    <s v="NO APLICA"/>
    <s v="NO APLICA"/>
    <s v="NO APLICA"/>
    <m/>
    <s v="ü"/>
    <m/>
    <m/>
    <m/>
    <m/>
    <m/>
    <m/>
    <m/>
    <m/>
    <m/>
    <m/>
    <m/>
    <s v="ü"/>
    <s v="NO APLICA"/>
    <s v="SI"/>
    <n v="0.05"/>
    <d v="2016-02-18T00:00:00"/>
    <n v="76383.990000000005"/>
    <s v="Pago 2/2 Liquidación 50%"/>
    <d v="2017-01-26T00:00:00"/>
    <n v="55498.2"/>
    <m/>
    <m/>
    <m/>
    <m/>
    <m/>
    <m/>
    <m/>
    <m/>
    <m/>
    <m/>
    <m/>
    <m/>
    <m/>
    <m/>
    <m/>
    <m/>
    <m/>
    <m/>
    <m/>
    <m/>
    <m/>
    <m/>
    <m/>
    <m/>
    <n v="131882.19"/>
    <m/>
    <m/>
    <m/>
    <m/>
    <m/>
    <m/>
    <m/>
    <n v="180"/>
    <s v="DESDE LA NOTIFICACIÓN DE LA ENTREGA DEL ANTICIPO"/>
    <d v="2016-02-19T00:00:00"/>
    <d v="2016-08-17T00:00:00"/>
    <m/>
    <m/>
    <m/>
    <m/>
    <m/>
    <m/>
    <m/>
    <m/>
    <m/>
    <m/>
    <m/>
    <m/>
    <m/>
    <m/>
    <m/>
    <m/>
    <m/>
    <m/>
    <m/>
    <m/>
    <m/>
    <m/>
    <m/>
    <m/>
    <m/>
    <m/>
    <n v="0.1"/>
    <n v="0.1"/>
    <n v="0.1"/>
    <n v="0.1"/>
    <n v="0.1"/>
    <n v="0.35"/>
    <n v="0.86"/>
    <n v="1"/>
    <n v="1"/>
    <n v="1"/>
    <n v="1"/>
    <n v="1"/>
    <n v="1"/>
    <n v="1"/>
    <n v="1"/>
    <n v="1"/>
    <n v="1"/>
    <n v="1"/>
    <n v="1"/>
    <n v="1"/>
    <n v="1"/>
    <n v="1"/>
    <n v="1"/>
    <n v="1"/>
    <n v="1"/>
    <n v="1"/>
    <n v="1"/>
    <n v="1"/>
    <n v="1"/>
    <n v="1"/>
    <x v="0"/>
    <n v="1"/>
    <n v="1"/>
    <n v="1"/>
    <x v="0"/>
    <s v="si"/>
    <s v="si"/>
    <s v="si"/>
    <s v="si"/>
    <s v="si"/>
    <s v="si"/>
    <s v="si"/>
    <x v="0"/>
    <s v="si"/>
    <s v="si"/>
    <s v="si"/>
    <m/>
    <m/>
    <m/>
    <m/>
    <m/>
    <m/>
    <m/>
    <m/>
    <m/>
    <m/>
    <m/>
    <m/>
    <m/>
    <m/>
  </r>
  <r>
    <x v="18"/>
    <s v="OBRAS"/>
    <x v="0"/>
    <s v="Proyectos de expansión y refuerzo en el Sistema Nacional de Distribución"/>
    <x v="0"/>
    <x v="0"/>
    <x v="0"/>
    <s v="SANTA ELENA"/>
    <x v="72"/>
    <n v="5"/>
    <x v="0"/>
    <s v="BID2-RSND-CNELSTE-DI-OB-009"/>
    <s v="REPOTENCIACIÓN 3 SWITCHGEARS DE MEDIO VOLTAJE PARA ACOPLAR LOS TRANSFORMADORES A ADQUIRIR"/>
    <m/>
    <s v="LPN"/>
    <s v="ex-post"/>
    <s v="CONTRATADO"/>
    <s v="BID2-RSND-CNELSTE-DI-OB-009"/>
    <s v="CONSORCIO RST (CONSTITUIDO POR QUEMCO CIA. LTDA. Y IELMESA S.A.)"/>
    <s v="ECUATORIANA"/>
    <s v="PERSONA JURÍDICA"/>
    <s v="QUEMCO CIA. LTDA.  1790395405001 IELMESA S.A. - 0992590432001 "/>
    <m/>
    <m/>
    <m/>
    <m/>
    <m/>
    <n v="652740"/>
    <n v="0"/>
    <n v="652740"/>
    <n v="0"/>
    <n v="652740"/>
    <n v="0.12"/>
    <n v="78328.800000000003"/>
    <n v="0"/>
    <n v="731068.8"/>
    <m/>
    <m/>
    <n v="93826"/>
    <m/>
    <n v="652740"/>
    <m/>
    <n v="558914"/>
    <n v="0.14000000000000001"/>
    <n v="78247.960000000006"/>
    <n v="637161.96"/>
    <m/>
    <m/>
    <m/>
    <m/>
    <m/>
    <m/>
    <m/>
    <m/>
    <m/>
    <m/>
    <m/>
    <n v="93826"/>
    <n v="93826"/>
    <s v="DDL, IAO 21.1."/>
    <s v="NO APLICA"/>
    <s v="NO APLICA"/>
    <s v="NO APLICA"/>
    <s v="NO APLICA"/>
    <s v="NO APLICA"/>
    <d v="2016-11-16T00:00:00"/>
    <d v="2016-12-04T00:00:00"/>
    <d v="2016-12-09T00:00:00"/>
    <d v="2016-12-14T00:00:00"/>
    <s v="NO APLICA"/>
    <d v="2016-12-24T00:00:00"/>
    <d v="2016-12-28T00:00:00"/>
    <s v="NO APLICA"/>
    <s v="NO APLICA"/>
    <s v="NO APLICA"/>
    <d v="2017-03-27T00:00:00"/>
    <s v="NO APLICA"/>
    <d v="2017-04-10T00:00:00"/>
    <d v="2017-05-19T00:00:00"/>
    <s v="NO APLICA"/>
    <s v="NO APLICA"/>
    <s v="NO APLICA"/>
    <m/>
    <m/>
    <m/>
    <m/>
    <m/>
    <m/>
    <m/>
    <m/>
    <m/>
    <m/>
    <m/>
    <m/>
    <m/>
    <m/>
    <m/>
    <s v="SI"/>
    <n v="0.05"/>
    <m/>
    <m/>
    <m/>
    <m/>
    <m/>
    <m/>
    <m/>
    <m/>
    <m/>
    <m/>
    <m/>
    <m/>
    <m/>
    <m/>
    <m/>
    <m/>
    <m/>
    <m/>
    <m/>
    <m/>
    <m/>
    <m/>
    <m/>
    <m/>
    <m/>
    <m/>
    <m/>
    <m/>
    <m/>
    <n v="0"/>
    <m/>
    <m/>
    <m/>
    <m/>
    <m/>
    <m/>
    <m/>
    <n v="180"/>
    <s v="DESDE LA NOTIFICACIÓN DE LA ENTREGA DEL ANTICIPO"/>
    <s v="DATO PENDIENTE"/>
    <s v="DATO PENDIENTE"/>
    <m/>
    <m/>
    <m/>
    <m/>
    <m/>
    <m/>
    <m/>
    <m/>
    <m/>
    <m/>
    <m/>
    <m/>
    <m/>
    <m/>
    <m/>
    <m/>
    <m/>
    <m/>
    <m/>
    <m/>
    <m/>
    <m/>
    <m/>
    <m/>
    <m/>
    <m/>
    <m/>
    <m/>
    <m/>
    <m/>
    <m/>
    <m/>
    <m/>
    <m/>
    <m/>
    <m/>
    <m/>
    <m/>
    <m/>
    <m/>
    <n v="0"/>
    <n v="0"/>
    <n v="0.1"/>
    <n v="0.15"/>
    <n v="0.15"/>
    <n v="0.5"/>
    <n v="0.5"/>
    <n v="0.5"/>
    <n v="0.5"/>
    <n v="0.5"/>
    <n v="1"/>
    <n v="1"/>
    <n v="1"/>
    <n v="1"/>
    <n v="1"/>
    <n v="1"/>
    <x v="0"/>
    <n v="1"/>
    <n v="1"/>
    <n v="1"/>
    <x v="0"/>
    <s v="no"/>
    <s v="no"/>
    <s v="no"/>
    <s v="no"/>
    <s v="no"/>
    <s v="no"/>
    <s v="no"/>
    <x v="1"/>
    <s v="no"/>
    <s v="no"/>
    <s v="no"/>
    <s v="Avance del 50% (primera semana de agosto llegan las celdas para la instalación, se estima liquidar la obra en septiembre 2018)"/>
    <m/>
    <m/>
    <s v="En ejecución, obra civil terminada, celdas en media tensión según el cronograma el dia 15 de noviembre se realiza el montaje "/>
    <s v="En liquidación"/>
    <m/>
    <s v="no pagan planillas 3 y 4"/>
    <m/>
    <m/>
    <m/>
    <s v="REFORMA SOLICITUD No.1 FORMULARIO CONTROL DE CAMBIOS, REMITA POR (CORREO - OFICIO No. , AUTORIZADA MEDIANTE CORREO ELECTRÓNICO DE FECHA …"/>
    <m/>
    <s v="AUTORIZADO MEDIANTE OFICIO Nro. MINFIN-SRF-2017-0216-O DE 17 DE MARZO DE 2017"/>
    <m/>
  </r>
  <r>
    <x v="18"/>
    <s v="OBRAS"/>
    <x v="0"/>
    <s v="Proyectos de expansión y refuerzo en el Sistema Nacional de Distribución"/>
    <x v="0"/>
    <x v="0"/>
    <x v="0"/>
    <s v="GUAYAS"/>
    <x v="73"/>
    <n v="6"/>
    <x v="0"/>
    <s v="BID2-RSND-CNELSTE-DI-OB-006"/>
    <s v="REPOTENCIACION DEL ALIMENTADOR &quot;PROGRESO&quot; EN MEDIA TENSIÓN TRAMO SAN LORENZO-PROGRESO-SAN ANTONIO"/>
    <m/>
    <s v="LPN"/>
    <s v="ex-post"/>
    <s v="EJECUTADO BID"/>
    <s v="BID2-RSND-CNELSTE-DI-OB-006"/>
    <s v="ING. CARLOS ALBERTO LUCAS QUIJIJE"/>
    <m/>
    <s v="PERSONA NATURAL"/>
    <n v="1311767121001"/>
    <s v="FISCALIZADOR EXTERNO NO SE INDICA"/>
    <s v="DATO PENDIENTE"/>
    <s v="ING. KLEVER CHÁVEZ"/>
    <s v="DATO PENDIENTE"/>
    <m/>
    <n v="313297.39"/>
    <n v="0"/>
    <n v="353662.08"/>
    <n v="9223.75"/>
    <n v="362885.83"/>
    <n v="0.12"/>
    <n v="42439.4496"/>
    <n v="1106.8499999999999"/>
    <n v="406432.12960000004"/>
    <n v="322521.14"/>
    <n v="0"/>
    <m/>
    <m/>
    <n v="353662.08"/>
    <m/>
    <n v="339351.34"/>
    <n v="0.12"/>
    <n v="40722.160800000005"/>
    <n v="380073.50080000004"/>
    <m/>
    <m/>
    <m/>
    <m/>
    <m/>
    <m/>
    <m/>
    <m/>
    <m/>
    <m/>
    <m/>
    <n v="-26053.950000000012"/>
    <n v="-26053.950000000012"/>
    <s v="DDL, IAO 21.1."/>
    <s v="NO APLICA"/>
    <s v="NO APLICA"/>
    <s v="NO APLICA"/>
    <s v="NO APLICA"/>
    <s v="NO APLICA"/>
    <d v="2015-09-02T00:00:00"/>
    <d v="2015-09-07T00:00:00"/>
    <d v="2015-09-11T00:00:00"/>
    <d v="2015-09-22T00:00:00"/>
    <s v="NO APLICA"/>
    <d v="2015-10-07T00:00:00"/>
    <d v="2015-10-22T00:00:00"/>
    <s v="NO APLICA"/>
    <s v="NO APLICA"/>
    <s v="NO APLICA"/>
    <d v="2015-11-18T00:00:00"/>
    <s v="NO APLICA"/>
    <d v="2015-11-18T00:00:00"/>
    <d v="2015-12-14T00:00:00"/>
    <s v="NO APLICA"/>
    <s v="NO APLICA"/>
    <s v="NO APLICA"/>
    <m/>
    <s v="ü"/>
    <m/>
    <m/>
    <m/>
    <m/>
    <m/>
    <m/>
    <m/>
    <m/>
    <m/>
    <m/>
    <m/>
    <s v="ü"/>
    <s v="NO APLICA"/>
    <m/>
    <m/>
    <d v="2016-03-28T00:00:00"/>
    <n v="169675.67"/>
    <s v="Pago 2/4 "/>
    <d v="2017-04-20T00:00:00"/>
    <n v="70854.569999999992"/>
    <m/>
    <m/>
    <m/>
    <m/>
    <m/>
    <m/>
    <m/>
    <m/>
    <m/>
    <m/>
    <m/>
    <m/>
    <m/>
    <m/>
    <m/>
    <m/>
    <m/>
    <m/>
    <m/>
    <m/>
    <m/>
    <m/>
    <m/>
    <m/>
    <n v="240530.24"/>
    <m/>
    <m/>
    <m/>
    <m/>
    <m/>
    <m/>
    <m/>
    <n v="180"/>
    <s v="DESDE LA NOTIFICACIÓN DE LA ENTREGA DEL ANTICIPO"/>
    <d v="2016-03-29T00:00:00"/>
    <d v="2016-09-25T00:00:00"/>
    <m/>
    <m/>
    <m/>
    <m/>
    <m/>
    <m/>
    <m/>
    <m/>
    <m/>
    <m/>
    <m/>
    <m/>
    <m/>
    <m/>
    <m/>
    <m/>
    <m/>
    <m/>
    <m/>
    <m/>
    <m/>
    <m/>
    <m/>
    <m/>
    <m/>
    <m/>
    <m/>
    <m/>
    <m/>
    <m/>
    <n v="0"/>
    <n v="0.1"/>
    <n v="0.3"/>
    <n v="0.3"/>
    <n v="0.41"/>
    <n v="0.6"/>
    <n v="0.8"/>
    <n v="0.8"/>
    <n v="0.8"/>
    <n v="0.8"/>
    <n v="1"/>
    <n v="1"/>
    <n v="1"/>
    <n v="1"/>
    <n v="1"/>
    <n v="1"/>
    <n v="1"/>
    <n v="1"/>
    <n v="1"/>
    <n v="1"/>
    <n v="1"/>
    <n v="1"/>
    <n v="1"/>
    <n v="1"/>
    <n v="1"/>
    <n v="1"/>
    <x v="0"/>
    <n v="1"/>
    <n v="1"/>
    <n v="1"/>
    <x v="0"/>
    <s v="no"/>
    <s v="si"/>
    <s v="si"/>
    <s v="si"/>
    <s v="si"/>
    <s v="si"/>
    <s v="si"/>
    <x v="0"/>
    <s v="si"/>
    <s v="si"/>
    <s v="si"/>
    <m/>
    <m/>
    <m/>
    <m/>
    <m/>
    <m/>
    <m/>
    <m/>
    <m/>
    <m/>
    <m/>
    <m/>
    <m/>
    <m/>
  </r>
  <r>
    <x v="18"/>
    <s v="OBRAS"/>
    <x v="0"/>
    <s v="Proyectos de expansión y refuerzo en el Sistema Nacional de Distribución"/>
    <x v="0"/>
    <x v="0"/>
    <x v="0"/>
    <s v="GUAYAS"/>
    <x v="74"/>
    <n v="7"/>
    <x v="0"/>
    <s v="BID2-RSND-CNELSTE-DI-OB-007"/>
    <s v="REPOTENCIACIÓN DE 31,9 KM DE REDES ABIERTAS A PREENSAMBLADAS Y 16 TRANSFORMADORES DE DISTRIBUCIÓN POR DIVISIÓN DE CIRCUITOS -DIVISIÓN PLAYAS"/>
    <m/>
    <s v="LPN"/>
    <s v="ex-post"/>
    <s v="EJECUTADO BID"/>
    <s v="BID2-RSND-CNELSTE-DI-OB-007"/>
    <s v="IELCO INSTALACIONES ELECTRICAS Y CONSTRUCCIONES C. LTDA."/>
    <s v="ECUATORIANA"/>
    <s v="PERSONA JURÍDICA"/>
    <s v="0 990504377001"/>
    <m/>
    <m/>
    <m/>
    <m/>
    <m/>
    <n v="249870.96"/>
    <n v="0"/>
    <n v="298369.08"/>
    <n v="26621.120000000024"/>
    <n v="324990.20000000007"/>
    <n v="0.12"/>
    <n v="35804.289600000004"/>
    <n v="3194.5344000000027"/>
    <n v="363989.02400000009"/>
    <n v="276492.08"/>
    <n v="0"/>
    <m/>
    <m/>
    <n v="298369.08"/>
    <m/>
    <n v="276492.08"/>
    <n v="0.12"/>
    <n v="33179.049599999998"/>
    <n v="309671.12960000004"/>
    <m/>
    <m/>
    <m/>
    <m/>
    <m/>
    <m/>
    <m/>
    <m/>
    <m/>
    <m/>
    <m/>
    <n v="-26621.120000000024"/>
    <n v="-26621.120000000024"/>
    <s v="DDL, IAO 21.1."/>
    <s v="NO APLICA"/>
    <s v="NO APLICA"/>
    <s v="NO APLICA"/>
    <s v="NO APLICA"/>
    <s v="NO APLICA"/>
    <d v="2015-09-02T00:00:00"/>
    <d v="2015-09-07T00:00:00"/>
    <d v="2015-09-11T00:00:00"/>
    <d v="2015-09-22T00:00:00"/>
    <s v="NO APLICA"/>
    <d v="2015-10-07T00:00:00"/>
    <d v="2015-10-22T00:00:00"/>
    <s v="NO APLICA"/>
    <s v="NO APLICA"/>
    <s v="NO APLICA"/>
    <d v="2015-11-27T00:00:00"/>
    <s v="NO APLICA"/>
    <d v="2015-11-27T00:00:00"/>
    <d v="2015-12-09T00:00:00"/>
    <s v="NO APLICA"/>
    <s v="NO APLICA"/>
    <s v="NO APLICA"/>
    <m/>
    <s v="ü"/>
    <m/>
    <m/>
    <m/>
    <m/>
    <m/>
    <m/>
    <m/>
    <m/>
    <m/>
    <m/>
    <m/>
    <s v="ü"/>
    <s v="NO APLICA"/>
    <s v="SI"/>
    <n v="0.05"/>
    <d v="2015-12-16T00:00:00"/>
    <n v="138246.04"/>
    <m/>
    <d v="2016-10-19T00:00:00"/>
    <n v="138246.04"/>
    <m/>
    <m/>
    <m/>
    <m/>
    <m/>
    <m/>
    <m/>
    <m/>
    <m/>
    <m/>
    <m/>
    <m/>
    <m/>
    <m/>
    <m/>
    <m/>
    <m/>
    <m/>
    <m/>
    <m/>
    <m/>
    <m/>
    <m/>
    <m/>
    <n v="276492.08"/>
    <m/>
    <m/>
    <m/>
    <m/>
    <m/>
    <m/>
    <m/>
    <n v="180"/>
    <s v="NOTIFICACIÓN DEL ADMINISTRADOR"/>
    <d v="2015-12-17T00:00:00"/>
    <d v="2016-06-14T00:00:00"/>
    <m/>
    <m/>
    <m/>
    <m/>
    <m/>
    <m/>
    <m/>
    <m/>
    <m/>
    <m/>
    <m/>
    <m/>
    <m/>
    <m/>
    <m/>
    <m/>
    <m/>
    <m/>
    <m/>
    <m/>
    <d v="2061-07-22T00:00:00"/>
    <d v="2016-08-26T00:00:00"/>
    <m/>
    <m/>
    <m/>
    <m/>
    <m/>
    <m/>
    <m/>
    <m/>
    <m/>
    <m/>
    <m/>
    <m/>
    <n v="1"/>
    <n v="1"/>
    <n v="1"/>
    <n v="1"/>
    <n v="1"/>
    <n v="1"/>
    <n v="1"/>
    <n v="1"/>
    <n v="1"/>
    <n v="1"/>
    <n v="1"/>
    <n v="1"/>
    <n v="1"/>
    <n v="1"/>
    <n v="1"/>
    <n v="1"/>
    <n v="1"/>
    <n v="1"/>
    <n v="1"/>
    <n v="1"/>
    <n v="1"/>
    <n v="1"/>
    <x v="0"/>
    <n v="1"/>
    <n v="1"/>
    <n v="1"/>
    <x v="0"/>
    <s v="si"/>
    <s v="si"/>
    <s v="si"/>
    <s v="si"/>
    <s v="si"/>
    <s v="si"/>
    <s v="si"/>
    <x v="0"/>
    <s v="si"/>
    <s v="si"/>
    <s v="si"/>
    <m/>
    <m/>
    <m/>
    <m/>
    <m/>
    <m/>
    <m/>
    <m/>
    <m/>
    <m/>
    <m/>
    <m/>
    <m/>
    <m/>
  </r>
  <r>
    <x v="18"/>
    <s v="OBRAS"/>
    <x v="1"/>
    <s v="Mejoramiento de la eficiencia y fiabilidad de la red"/>
    <x v="2"/>
    <x v="2"/>
    <x v="0"/>
    <s v="SANTA ELENA"/>
    <x v="75"/>
    <n v="8"/>
    <x v="0"/>
    <s v="BID2-RSND-CNELSTE-AU-OB-010"/>
    <s v="_x000a_ADECUACIONES SCADA PARA DATA CENTER"/>
    <m/>
    <s v="LPN"/>
    <s v="ex-post"/>
    <s v="EJECUTADO BID"/>
    <s v="BID2-RSND-CNELSTE-AU-OB-010"/>
    <s v="W&amp;G COMPUTER S.A."/>
    <s v="ECUATORIANA"/>
    <s v="PERSONA JURÍDICA"/>
    <s v="0 992287705001"/>
    <m/>
    <m/>
    <m/>
    <m/>
    <m/>
    <n v="160000"/>
    <n v="0"/>
    <n v="160000"/>
    <n v="0"/>
    <n v="160000"/>
    <n v="0.12"/>
    <n v="19200"/>
    <n v="0"/>
    <n v="179200.00000000003"/>
    <n v="158929"/>
    <n v="1071"/>
    <m/>
    <m/>
    <n v="160000"/>
    <m/>
    <n v="158929"/>
    <n v="0.14000000000000001"/>
    <n v="22250.06"/>
    <n v="181179.06"/>
    <m/>
    <m/>
    <m/>
    <m/>
    <m/>
    <m/>
    <m/>
    <m/>
    <m/>
    <m/>
    <m/>
    <n v="1071"/>
    <n v="1071"/>
    <s v="DDL, IAO 21.1."/>
    <s v="NO APLICA"/>
    <s v="NO APLICA"/>
    <s v="NO APLICA"/>
    <s v="NO APLICA"/>
    <s v="NO APLICA"/>
    <d v="2016-11-09T00:00:00"/>
    <d v="2016-11-27T00:00:00"/>
    <d v="2016-12-02T00:00:00"/>
    <d v="2016-12-07T00:00:00"/>
    <s v="NO APLICA"/>
    <d v="2017-01-19T00:00:00"/>
    <d v="2017-01-23T00:00:00"/>
    <s v="NO APLICA"/>
    <s v="NO APLICA"/>
    <s v="NO APLICA"/>
    <d v="2017-01-17T00:00:00"/>
    <s v="NO APLICA"/>
    <d v="2017-04-19T00:00:00"/>
    <d v="2017-05-19T00:00:00"/>
    <s v="NO APLICA"/>
    <s v="NO APLICA"/>
    <s v="NO APLICA"/>
    <m/>
    <m/>
    <m/>
    <m/>
    <m/>
    <m/>
    <m/>
    <m/>
    <m/>
    <m/>
    <m/>
    <m/>
    <m/>
    <m/>
    <m/>
    <s v="SI"/>
    <n v="0.05"/>
    <d v="2017-05-31T00:00:00"/>
    <n v="79464.5"/>
    <m/>
    <m/>
    <m/>
    <m/>
    <m/>
    <m/>
    <m/>
    <m/>
    <m/>
    <m/>
    <m/>
    <m/>
    <m/>
    <m/>
    <m/>
    <m/>
    <m/>
    <m/>
    <m/>
    <m/>
    <m/>
    <m/>
    <m/>
    <m/>
    <m/>
    <m/>
    <m/>
    <n v="79464.5"/>
    <m/>
    <m/>
    <m/>
    <m/>
    <m/>
    <m/>
    <m/>
    <n v="120"/>
    <s v="DESDE LA NOTIFICACIÓN DE LA ENTREGA DEL ANTICIPO"/>
    <d v="2017-06-01T00:00:00"/>
    <d v="2017-09-29T00:00:00"/>
    <m/>
    <m/>
    <m/>
    <m/>
    <m/>
    <m/>
    <m/>
    <m/>
    <m/>
    <m/>
    <m/>
    <m/>
    <m/>
    <m/>
    <m/>
    <m/>
    <m/>
    <m/>
    <m/>
    <m/>
    <m/>
    <m/>
    <m/>
    <m/>
    <m/>
    <m/>
    <m/>
    <m/>
    <m/>
    <m/>
    <m/>
    <m/>
    <m/>
    <m/>
    <m/>
    <m/>
    <m/>
    <m/>
    <m/>
    <m/>
    <m/>
    <m/>
    <n v="0.6"/>
    <n v="1"/>
    <n v="1"/>
    <n v="1"/>
    <n v="1"/>
    <n v="1"/>
    <n v="1"/>
    <n v="1"/>
    <n v="1"/>
    <n v="1"/>
    <n v="1"/>
    <n v="1"/>
    <n v="1"/>
    <n v="1"/>
    <x v="0"/>
    <n v="1"/>
    <n v="1"/>
    <n v="1"/>
    <x v="0"/>
    <s v="no"/>
    <s v="si"/>
    <s v="si"/>
    <s v="si"/>
    <s v="si"/>
    <s v="si"/>
    <s v="si"/>
    <x v="0"/>
    <s v="si"/>
    <s v="si"/>
    <s v="si"/>
    <m/>
    <m/>
    <m/>
    <m/>
    <m/>
    <m/>
    <m/>
    <m/>
    <m/>
    <m/>
    <s v="REFORMA SOLICITUD No.2 FORMULARIO CONTROL DE CAMBIOS, REMITA POR (CORREO - OFICIO No. , AUTORIZADA MEDIANTE CORREO ELECTRÓNICO DE FECHA …"/>
    <m/>
    <s v="AUTORIZADO MEDIANTE OFICIO Nro. MINFIN-SRF-2017-0216-O DE 17 DE MARZO DE 2017"/>
    <m/>
  </r>
  <r>
    <x v="18"/>
    <s v="OBRAS"/>
    <x v="1"/>
    <s v="Mejoramiento de la eficiencia y fiabilidad de la red"/>
    <x v="2"/>
    <x v="2"/>
    <x v="0"/>
    <s v="SANTA ELENA"/>
    <x v="76"/>
    <n v="9"/>
    <x v="0"/>
    <s v="BID2-RSND-CNELSTE-AU-OB-011"/>
    <s v="ADECUACIONES SCADA PARA SECCIONADORES TRIPOLARES A 69KV "/>
    <m/>
    <s v="LPN"/>
    <s v="ex-post"/>
    <s v="EJECUTADO BID"/>
    <s v="BID2-RSND-CNELSTE-AU-OB-011"/>
    <s v="CONSORCIO 69 STE (CONFORMADO POR QUEMCO CÍA. LTDA. Y IELMESA S.A."/>
    <s v="ECUATORIANA"/>
    <s v="PERSONA JURÍDICA"/>
    <s v="QUEMCO CÍA. LTDA.: 1790395405001         IELMESA S.A.: 0992590432001"/>
    <m/>
    <m/>
    <m/>
    <m/>
    <m/>
    <n v="340000"/>
    <n v="0"/>
    <n v="340000"/>
    <n v="0"/>
    <n v="340000"/>
    <n v="0.12"/>
    <n v="40800"/>
    <n v="0"/>
    <n v="380800.00000000006"/>
    <n v="314194"/>
    <n v="25806"/>
    <m/>
    <m/>
    <n v="340000"/>
    <m/>
    <n v="314794"/>
    <m/>
    <m/>
    <m/>
    <m/>
    <m/>
    <m/>
    <m/>
    <m/>
    <m/>
    <m/>
    <m/>
    <m/>
    <m/>
    <m/>
    <n v="25206"/>
    <n v="25206"/>
    <s v="DDL, IAO 21.1."/>
    <s v="NO APLICA"/>
    <s v="NO APLICA"/>
    <s v="NO APLICA"/>
    <s v="NO APLICA"/>
    <s v="NO APLICA"/>
    <d v="2016-11-16T00:00:00"/>
    <d v="2016-12-04T00:00:00"/>
    <d v="2016-12-09T00:00:00"/>
    <d v="2016-12-14T00:00:00"/>
    <s v="NO APLICA"/>
    <d v="2016-12-24T00:00:00"/>
    <d v="2016-12-28T00:00:00"/>
    <s v="NO APLICA"/>
    <s v="NO APLICA"/>
    <s v="NO APLICA"/>
    <d v="2017-03-27T00:00:00"/>
    <s v="NO APLICA"/>
    <d v="2017-04-18T00:00:00"/>
    <d v="2017-05-24T00:00:00"/>
    <s v="NO APLICA"/>
    <s v="NO APLICA"/>
    <s v="NO APLICA"/>
    <m/>
    <m/>
    <m/>
    <m/>
    <m/>
    <m/>
    <m/>
    <m/>
    <m/>
    <m/>
    <m/>
    <m/>
    <m/>
    <m/>
    <m/>
    <s v="SI"/>
    <n v="0.05"/>
    <m/>
    <m/>
    <m/>
    <m/>
    <m/>
    <m/>
    <m/>
    <m/>
    <m/>
    <m/>
    <m/>
    <m/>
    <m/>
    <m/>
    <m/>
    <m/>
    <m/>
    <m/>
    <m/>
    <m/>
    <m/>
    <m/>
    <m/>
    <m/>
    <m/>
    <m/>
    <m/>
    <m/>
    <m/>
    <n v="0"/>
    <m/>
    <m/>
    <m/>
    <m/>
    <m/>
    <m/>
    <m/>
    <n v="180"/>
    <s v="DESDE LA NOTIFICACIÓN DE LA ENTREGA DEL ANTICIPO"/>
    <s v="DATO PENDIENTE"/>
    <s v="DATO PENDIENTE"/>
    <m/>
    <m/>
    <m/>
    <m/>
    <m/>
    <m/>
    <m/>
    <m/>
    <m/>
    <m/>
    <m/>
    <m/>
    <m/>
    <m/>
    <m/>
    <m/>
    <m/>
    <m/>
    <m/>
    <m/>
    <m/>
    <m/>
    <m/>
    <m/>
    <m/>
    <m/>
    <m/>
    <m/>
    <m/>
    <m/>
    <m/>
    <m/>
    <m/>
    <m/>
    <m/>
    <m/>
    <m/>
    <m/>
    <m/>
    <m/>
    <m/>
    <m/>
    <n v="0.15"/>
    <n v="0.15"/>
    <n v="0.15"/>
    <n v="0.95"/>
    <n v="0.95"/>
    <n v="0.95"/>
    <n v="0.95"/>
    <n v="0.99"/>
    <n v="1"/>
    <n v="1"/>
    <n v="1"/>
    <n v="1"/>
    <n v="1"/>
    <n v="1"/>
    <x v="0"/>
    <n v="1"/>
    <n v="1"/>
    <n v="1"/>
    <x v="0"/>
    <s v="no"/>
    <s v="no"/>
    <s v="no"/>
    <s v="no"/>
    <s v="no"/>
    <s v="no"/>
    <s v="no"/>
    <x v="0"/>
    <s v="si"/>
    <s v="si"/>
    <s v="si"/>
    <s v="Avance del 95%. Se liquida obra en Agosto de 2018."/>
    <m/>
    <m/>
    <s v="Falta un ultimo corte para terminar la obra, la fecha es el 23 de noviembre del 2018"/>
    <s v="En liquidación"/>
    <s v="Se realiza segundo pago por 125.960,00 el 6 de diciembre de 2018"/>
    <s v="ok"/>
    <m/>
    <m/>
    <m/>
    <m/>
    <m/>
    <s v="AUTORIZADO MEDIANTE OFICIO Nro. MINFIN-SRF-2017-0216-O DE 17 DE MARZO DE 2017"/>
    <m/>
  </r>
  <r>
    <x v="1"/>
    <s v="OBRAS"/>
    <x v="1"/>
    <s v="Mejoramiento de la eficiencia y fiabilidad de la red"/>
    <x v="6"/>
    <x v="6"/>
    <x v="0"/>
    <s v="SANTO DOMINGO DE LOS TSACHILAS"/>
    <x v="2"/>
    <n v="2"/>
    <x v="0"/>
    <s v="BID2-RSND-CNELSTD-AU-OB-005"/>
    <s v="READECUACIÓN DEL CENTRO DE OPERACIONES DE CNEL SANTO DOMINGO"/>
    <m/>
    <s v="LPN"/>
    <s v="ex-post"/>
    <s v="EJECUTADO BID"/>
    <s v="BID2-RSND-CNELSTD-AU-OB-005"/>
    <s v="ING. FRNAKLIN WILLIAM CARPIO MOYA"/>
    <s v="ECUATORIANA"/>
    <s v="PERSONA NATURAL"/>
    <n v="1715537179001"/>
    <s v="DATO PENDIENTE"/>
    <s v="DATO PENDIENTE"/>
    <s v="NO SE INDICA EN EL NOMBRE DEL ADMINISTRADOR EN LA CGC 1.1. (u)"/>
    <s v="DATO PENDIENTE"/>
    <m/>
    <n v="41000"/>
    <n v="0"/>
    <n v="41000"/>
    <n v="0"/>
    <n v="41000"/>
    <n v="0.12"/>
    <n v="4920"/>
    <n v="0"/>
    <n v="45920.000000000007"/>
    <n v="35007.24"/>
    <n v="5992.760000000002"/>
    <m/>
    <m/>
    <n v="35817.089999999997"/>
    <m/>
    <n v="35178.089999999997"/>
    <n v="0.14000000000000001"/>
    <n v="4924.9326000000001"/>
    <n v="40103.022599999989"/>
    <m/>
    <m/>
    <m/>
    <m/>
    <m/>
    <m/>
    <s v="DATO PENDIENTE"/>
    <s v="DATO PENDIENTE"/>
    <n v="6150"/>
    <n v="861.00000000000011"/>
    <m/>
    <n v="5821.9100000000035"/>
    <n v="-328.08999999999651"/>
    <s v="DDL, IAO 21.1."/>
    <s v="NO APLICA"/>
    <s v="NO APLICA"/>
    <s v="NO APLICA"/>
    <s v="NO APLICA"/>
    <s v="NO APLICA"/>
    <d v="2015-11-11T00:00:00"/>
    <d v="2015-11-13T00:00:00"/>
    <d v="2015-11-18T00:00:00"/>
    <d v="2015-11-30T00:00:00"/>
    <s v="NO APLICA"/>
    <d v="2015-12-08T00:00:00"/>
    <d v="2015-12-11T00:00:00"/>
    <s v="NO APLICA"/>
    <s v="NO APLICA"/>
    <s v="NO APLICA"/>
    <d v="2015-12-11T00:00:00"/>
    <s v="NO APLICA"/>
    <d v="2015-12-14T00:00:00"/>
    <d v="2016-01-21T00:00:00"/>
    <s v="NO APLICA"/>
    <s v="NO APLICA"/>
    <s v="NO APLICA"/>
    <m/>
    <s v="ü"/>
    <m/>
    <m/>
    <m/>
    <m/>
    <m/>
    <m/>
    <m/>
    <m/>
    <m/>
    <m/>
    <m/>
    <s v="ü"/>
    <s v="NO APLICA"/>
    <s v="DATO PENDIENTE"/>
    <s v="DATO PENDIENTE"/>
    <d v="2017-03-29T00:00:00"/>
    <n v="17589.05"/>
    <m/>
    <m/>
    <m/>
    <m/>
    <m/>
    <m/>
    <m/>
    <m/>
    <m/>
    <m/>
    <m/>
    <m/>
    <m/>
    <m/>
    <m/>
    <m/>
    <m/>
    <m/>
    <m/>
    <m/>
    <m/>
    <m/>
    <m/>
    <m/>
    <m/>
    <m/>
    <m/>
    <n v="17589.05"/>
    <m/>
    <m/>
    <m/>
    <m/>
    <m/>
    <m/>
    <m/>
    <n v="60"/>
    <s v="DESDE LA NOTIFICACIÓN DE LA ENTREGA DEL ANTICIPO"/>
    <d v="2017-03-30T00:00:00"/>
    <d v="2017-05-29T00:00:00"/>
    <m/>
    <m/>
    <m/>
    <m/>
    <m/>
    <m/>
    <m/>
    <m/>
    <m/>
    <m/>
    <m/>
    <m/>
    <m/>
    <m/>
    <m/>
    <m/>
    <m/>
    <m/>
    <m/>
    <m/>
    <m/>
    <m/>
    <m/>
    <m/>
    <m/>
    <m/>
    <m/>
    <m/>
    <m/>
    <m/>
    <m/>
    <m/>
    <m/>
    <m/>
    <m/>
    <m/>
    <m/>
    <n v="0.1"/>
    <n v="0.1"/>
    <n v="0.1"/>
    <n v="1"/>
    <n v="1"/>
    <n v="1"/>
    <n v="1"/>
    <n v="1"/>
    <n v="1"/>
    <n v="1"/>
    <n v="1"/>
    <n v="1"/>
    <n v="1"/>
    <n v="1"/>
    <n v="1"/>
    <n v="1"/>
    <n v="1"/>
    <n v="1"/>
    <n v="1"/>
    <x v="0"/>
    <n v="1"/>
    <n v="1"/>
    <n v="1"/>
    <x v="0"/>
    <s v="si"/>
    <s v="si"/>
    <s v="si"/>
    <s v="si"/>
    <s v="si"/>
    <s v="si"/>
    <s v="si"/>
    <x v="0"/>
    <s v="si"/>
    <s v="si"/>
    <s v="si"/>
    <m/>
    <m/>
    <m/>
    <m/>
    <m/>
    <m/>
    <m/>
    <m/>
    <m/>
    <m/>
    <m/>
    <m/>
    <s v="PENDIENTE JUSTIFICAR COMPLEMENTARIO / EN LA MATRIZ DE ANEXO REVISADA EL 20 DE FEBRERO DE 2017, NO CONSTA ESTE COMPLEMENTARIO PORQUE NO CUENTA CON LA AUTORIZACIÓN DE CNEL MATRIZ"/>
    <m/>
  </r>
  <r>
    <x v="1"/>
    <s v="OBRAS"/>
    <x v="0"/>
    <s v=" Proyectos de expansión y refuerzo en el Sistema Nacional de Distribución"/>
    <x v="0"/>
    <x v="0"/>
    <x v="0"/>
    <s v="MANABI"/>
    <x v="77"/>
    <n v="3"/>
    <x v="0"/>
    <s v="BID2-RSND-CNELSTD-DI-OB-001 "/>
    <s v="REPOTENCIACIÓN DE CENTROS DE TRANSFORMACIÓN, REDES DE BAJA Y MEDIA TENSIÓN DE LA ZONA NORTE DE MANABÍ"/>
    <m/>
    <s v="LPN"/>
    <s v="ex-post"/>
    <s v="EJECUTADO BID"/>
    <s v="BID2-RSND-CNELSTD-DI-OB-001 "/>
    <s v="ING. MANUEL VINICIO HINOJOSA ORTIZ"/>
    <s v="ECUATORIANA"/>
    <s v="PERSONA NATURAL"/>
    <s v="0 400810263001"/>
    <s v="DATO PENDIENTE"/>
    <s v="DATO PENDIENTE"/>
    <s v="ING. TATIANA VERA"/>
    <s v="0 999888489"/>
    <m/>
    <n v="486379.27"/>
    <n v="0"/>
    <n v="459294.63"/>
    <n v="0"/>
    <n v="459294.63"/>
    <n v="0.12"/>
    <n v="55115.355599999995"/>
    <n v="0"/>
    <n v="514409.98560000007"/>
    <n v="449737.81999999995"/>
    <n v="36641.45000000007"/>
    <m/>
    <m/>
    <n v="459294.63"/>
    <m/>
    <n v="453048.64"/>
    <n v="0.12"/>
    <n v="54365.836799999997"/>
    <n v="507414.47680000006"/>
    <m/>
    <m/>
    <m/>
    <m/>
    <m/>
    <m/>
    <s v="DATO PENDIENTE"/>
    <s v="DATO PENDIENTE"/>
    <m/>
    <m/>
    <m/>
    <n v="33330.630000000005"/>
    <n v="33330.630000000005"/>
    <s v="DDL, IAO 21.1."/>
    <s v="NO APLICA"/>
    <s v="NO APLICA"/>
    <s v="NO APLICA"/>
    <s v="NO APLICA"/>
    <s v="NO APLICA"/>
    <d v="2015-08-21T00:00:00"/>
    <d v="2015-08-27T00:00:00"/>
    <d v="2015-09-01T00:00:00"/>
    <d v="2015-09-22T00:00:00"/>
    <s v="NO APLICA"/>
    <d v="2015-10-01T00:00:00"/>
    <d v="2015-10-15T00:00:00"/>
    <s v="NO APLICA"/>
    <s v="NO APLICA"/>
    <s v="NO APLICA"/>
    <d v="2016-10-15T00:00:00"/>
    <s v="NO APLICA"/>
    <s v="DATO PENDIENTE"/>
    <d v="2015-11-24T00:00:00"/>
    <s v="NO APLICA"/>
    <s v="NO APLICA"/>
    <s v="NO APLICA"/>
    <m/>
    <s v="ü"/>
    <m/>
    <m/>
    <m/>
    <m/>
    <m/>
    <m/>
    <m/>
    <m/>
    <m/>
    <m/>
    <m/>
    <s v="ü"/>
    <s v="NO APLICA"/>
    <s v="SI"/>
    <n v="0.05"/>
    <d v="2015-12-14T00:00:00"/>
    <n v="226524.32"/>
    <s v="Pago 2/4 avance de planilla"/>
    <d v="2016-12-05T00:00:00"/>
    <n v="90609.73"/>
    <s v="Pago 3/4 avance de planilla"/>
    <d v="2016-12-05T00:00:00"/>
    <n v="90609.73"/>
    <m/>
    <m/>
    <m/>
    <m/>
    <m/>
    <m/>
    <m/>
    <m/>
    <m/>
    <m/>
    <m/>
    <m/>
    <m/>
    <m/>
    <m/>
    <m/>
    <m/>
    <m/>
    <m/>
    <m/>
    <m/>
    <n v="407743.77999999997"/>
    <m/>
    <m/>
    <m/>
    <m/>
    <m/>
    <m/>
    <m/>
    <n v="210"/>
    <s v="DESDE LA NOTIFICACIÓN DE LA ENTREGA DEL ANTICIPO"/>
    <d v="2015-12-15T00:00:00"/>
    <d v="2016-07-12T00:00:00"/>
    <m/>
    <m/>
    <m/>
    <m/>
    <m/>
    <m/>
    <m/>
    <m/>
    <m/>
    <m/>
    <m/>
    <m/>
    <m/>
    <m/>
    <m/>
    <m/>
    <m/>
    <m/>
    <m/>
    <m/>
    <m/>
    <m/>
    <m/>
    <m/>
    <m/>
    <n v="0.01"/>
    <n v="7.0000000000000007E-2"/>
    <n v="7.0000000000000007E-2"/>
    <n v="7.0000000000000007E-2"/>
    <n v="7.0000000000000007E-2"/>
    <n v="0.3"/>
    <n v="0.5"/>
    <n v="0.6"/>
    <n v="0.75"/>
    <n v="1"/>
    <n v="1"/>
    <n v="1"/>
    <n v="1"/>
    <n v="1"/>
    <n v="1"/>
    <n v="1"/>
    <n v="1"/>
    <n v="1"/>
    <n v="1"/>
    <n v="1"/>
    <n v="1"/>
    <n v="1"/>
    <n v="1"/>
    <n v="1"/>
    <n v="1"/>
    <n v="1"/>
    <n v="1"/>
    <n v="1"/>
    <n v="1"/>
    <n v="1"/>
    <n v="1"/>
    <x v="0"/>
    <n v="1"/>
    <n v="1"/>
    <n v="1"/>
    <x v="0"/>
    <s v="no"/>
    <s v="si"/>
    <s v="si"/>
    <s v="si"/>
    <s v="si"/>
    <s v="si"/>
    <s v="si"/>
    <x v="0"/>
    <s v="si"/>
    <s v="si"/>
    <s v="si"/>
    <m/>
    <m/>
    <m/>
    <m/>
    <m/>
    <m/>
    <m/>
    <m/>
    <m/>
    <m/>
    <m/>
    <m/>
    <m/>
    <m/>
  </r>
  <r>
    <x v="1"/>
    <s v="OBRAS"/>
    <x v="0"/>
    <s v=" Proyectos de expansión y refuerzo en el Sistema Nacional de Distribución"/>
    <x v="0"/>
    <x v="0"/>
    <x v="0"/>
    <s v="MANABI"/>
    <x v="78"/>
    <n v="4"/>
    <x v="0"/>
    <s v="BID2-RSND-CNELSTD-DI-OB-002 "/>
    <s v="REPOTENCIACIÓN DE ALIMENTADOR PUEBLO NUEVO EN LA ZONA NORTE DE MANABÍ (COMPROMISO PRESIDENCIAL)"/>
    <m/>
    <s v="LPN"/>
    <s v="ex-post"/>
    <s v="EJECUTADO BID"/>
    <s v="BID2-RSND-CNELSTD-DI-OB-002 "/>
    <s v="ING. GONZALO FABRICIO MONTALVAN AREVALO"/>
    <s v="ECUATORIANA"/>
    <s v="PERSONA NATURAL"/>
    <n v="1102662606001"/>
    <s v="ING. FLAVIO MENDEZ"/>
    <s v="DATO PENDIENTE "/>
    <s v="ING. TATIANA VERA"/>
    <s v="DATO PENDIENTE "/>
    <m/>
    <n v="185484.51"/>
    <n v="0"/>
    <n v="185484.51"/>
    <n v="0"/>
    <n v="185484.51"/>
    <n v="0.12"/>
    <n v="22258.141200000002"/>
    <n v="0"/>
    <n v="207742.65120000002"/>
    <n v="185272.85"/>
    <n v="211.66000000000349"/>
    <m/>
    <m/>
    <n v="185484.51"/>
    <m/>
    <n v="185484.51"/>
    <n v="0.12"/>
    <n v="22258.141200000002"/>
    <n v="207742.65120000002"/>
    <m/>
    <m/>
    <m/>
    <m/>
    <m/>
    <m/>
    <s v="DATO PENDIENTE"/>
    <s v="DATO PENDIENTE"/>
    <n v="27822.67"/>
    <n v="3895.1738"/>
    <m/>
    <n v="0"/>
    <n v="-27822.67"/>
    <s v="DDL, IAO 21.1."/>
    <s v="NO APLICA"/>
    <s v="NO APLICA"/>
    <s v="NO APLICA"/>
    <s v="NO APLICA"/>
    <s v="NO APLICA"/>
    <d v="2015-08-21T00:00:00"/>
    <d v="2015-08-28T00:00:00"/>
    <d v="2015-09-02T00:00:00"/>
    <d v="2015-09-23T00:00:00"/>
    <s v="NO APLICA"/>
    <d v="2015-10-02T00:00:00"/>
    <d v="2015-10-16T00:00:00"/>
    <s v="NO APLICA"/>
    <s v="NO APLICA"/>
    <s v="NO APLICA"/>
    <d v="2015-10-15T00:00:00"/>
    <s v="NO APLICA"/>
    <d v="2016-10-16T00:00:00"/>
    <d v="2015-11-24T00:00:00"/>
    <s v="NO APLICA"/>
    <s v="NO APLICA"/>
    <s v="NO APLICA"/>
    <m/>
    <s v="ü"/>
    <m/>
    <m/>
    <m/>
    <m/>
    <m/>
    <m/>
    <m/>
    <m/>
    <m/>
    <m/>
    <m/>
    <s v="ü"/>
    <s v="NO APLICA"/>
    <s v="SI"/>
    <n v="0.05"/>
    <d v="2015-12-14T00:00:00"/>
    <n v="92742.255000000005"/>
    <s v="Pago 2/4avance de planilla "/>
    <d v="2016-12-05T00:00:00"/>
    <n v="37096.909999999996"/>
    <s v="Pago 3/4avance de planilla "/>
    <d v="2016-12-05T00:00:00"/>
    <n v="37096.909999999996"/>
    <m/>
    <m/>
    <m/>
    <m/>
    <m/>
    <m/>
    <m/>
    <m/>
    <m/>
    <m/>
    <m/>
    <m/>
    <m/>
    <m/>
    <m/>
    <m/>
    <m/>
    <m/>
    <m/>
    <m/>
    <m/>
    <n v="166936.07500000001"/>
    <m/>
    <m/>
    <m/>
    <m/>
    <m/>
    <m/>
    <m/>
    <n v="210"/>
    <s v="DESDE LA NOTIFICACIÓN DE LA ENTREGA DEL ANTICIPO"/>
    <d v="2015-12-15T00:00:00"/>
    <d v="2016-07-12T00:00:00"/>
    <m/>
    <s v="DATO PENDIENTE"/>
    <s v="DATO PENDIENTE"/>
    <m/>
    <m/>
    <m/>
    <m/>
    <m/>
    <m/>
    <m/>
    <m/>
    <m/>
    <s v="DATO PENDIENTE"/>
    <s v="DATO PENDIENTE"/>
    <m/>
    <m/>
    <m/>
    <m/>
    <m/>
    <m/>
    <m/>
    <m/>
    <m/>
    <m/>
    <m/>
    <n v="0.01"/>
    <n v="7.0000000000000007E-2"/>
    <n v="7.0000000000000007E-2"/>
    <n v="7.0000000000000007E-2"/>
    <n v="7.0000000000000007E-2"/>
    <n v="0.3"/>
    <n v="0.5"/>
    <n v="0.6"/>
    <n v="0.75"/>
    <n v="0.85"/>
    <n v="0.9"/>
    <n v="1"/>
    <n v="1"/>
    <n v="1"/>
    <n v="1"/>
    <n v="1"/>
    <n v="1"/>
    <n v="1"/>
    <n v="1"/>
    <n v="1"/>
    <n v="1"/>
    <n v="1"/>
    <n v="1"/>
    <n v="1"/>
    <n v="1"/>
    <n v="1"/>
    <n v="1"/>
    <n v="1"/>
    <n v="1"/>
    <n v="1"/>
    <n v="1"/>
    <x v="0"/>
    <n v="1"/>
    <n v="1"/>
    <n v="1"/>
    <x v="0"/>
    <s v="no"/>
    <s v="si"/>
    <s v="si"/>
    <s v="si"/>
    <s v="si"/>
    <s v="si"/>
    <s v="si"/>
    <x v="0"/>
    <s v="si"/>
    <s v="si"/>
    <s v="si"/>
    <m/>
    <m/>
    <m/>
    <m/>
    <m/>
    <m/>
    <m/>
    <m/>
    <m/>
    <m/>
    <s v="EL SALDO DE ESTE PROCESO SE UTILIZÓ PARA ATENDER EL PLAN DE CONTIGENCIA DE ELEPCO, POR ESTA RAZÓN EN EL DDL EL VALOR DE PRESUPUESTO REFERENCIAL QUE SE PUBLICÓ SE REDUJO AL VALOR DE LO EFECTIVAMENTE CONTRATADO. EJECUCIÓN DEL PROCESO AFECTADO POR EL TERREMOTO DE ABRIL 2016"/>
    <m/>
    <s v="REVISADO, PDTE JUSTIFICACIÓN DE MATRIZ DE CNEL EP"/>
    <m/>
  </r>
  <r>
    <x v="1"/>
    <s v="OBRAS"/>
    <x v="0"/>
    <s v=" Proyectos de expansión y refuerzo en el Sistema Nacional de Distribución"/>
    <x v="0"/>
    <x v="0"/>
    <x v="0"/>
    <s v="SANTO DOMINGO DE LOS TSACHILAS"/>
    <x v="79"/>
    <n v="5"/>
    <x v="0"/>
    <s v="BID2-RSND-CNELSTD-DI-OB-005"/>
    <s v="CONSTRUCCIÓN POSICIONES DE SALIDA DE S/E 11 Y RECONFIGURACIÓN ALIMENTADORES EN SANTO DOMINGO"/>
    <m/>
    <s v="LPN"/>
    <s v="ex-post"/>
    <s v="EJECUTADO BID"/>
    <s v="BID2-RSND-CNELSTD-DI-OB-005"/>
    <s v="ING. JOSÉ VICENTE ROJAS GÓMEZ"/>
    <s v="ECUATORIANA"/>
    <s v="PERSONA NATURAL"/>
    <n v="1710071620001"/>
    <s v="DATO PENDIENTE "/>
    <s v="DATO PENDIENTE "/>
    <s v="NO SE INDICA EN EL NOMBRE DEL ADMINISTRADOR EN LA CGC 1.1. (u)"/>
    <s v="DATO PENDIENTE "/>
    <m/>
    <n v="385900"/>
    <n v="0"/>
    <n v="385900"/>
    <n v="0"/>
    <n v="385900"/>
    <n v="0.12"/>
    <n v="46308"/>
    <n v="0"/>
    <n v="432208.00000000006"/>
    <n v="383826.78"/>
    <n v="2073.2199999999721"/>
    <m/>
    <m/>
    <n v="385900"/>
    <m/>
    <n v="384253.42"/>
    <n v="0.14000000000000001"/>
    <n v="53795.478800000004"/>
    <m/>
    <m/>
    <m/>
    <m/>
    <m/>
    <m/>
    <m/>
    <m/>
    <m/>
    <m/>
    <m/>
    <m/>
    <n v="1646.5800000000163"/>
    <n v="1646.5800000000163"/>
    <s v="DDL, IAO 21.1."/>
    <s v="NO APLICA"/>
    <s v="NO APLICA"/>
    <s v="NO APLICA"/>
    <s v="NO APLICA"/>
    <s v="NO APLICA"/>
    <d v="2015-12-31T00:00:00"/>
    <d v="2016-01-06T00:00:00"/>
    <d v="2016-01-08T00:00:00"/>
    <d v="2016-01-25T00:00:00"/>
    <s v="NO APLICA"/>
    <d v="2016-02-04T00:00:00"/>
    <d v="2016-02-08T00:00:00"/>
    <s v="NO APLICA"/>
    <s v="NO APLICA"/>
    <s v="NO APLICA"/>
    <d v="2016-08-22T00:00:00"/>
    <s v="NO APLICA"/>
    <s v="DATO PENDIENTE"/>
    <d v="2016-10-19T00:00:00"/>
    <s v="NO APLICA"/>
    <s v="NO APLICA"/>
    <s v="NO APLICA"/>
    <m/>
    <s v="ü"/>
    <m/>
    <m/>
    <m/>
    <m/>
    <m/>
    <m/>
    <m/>
    <m/>
    <m/>
    <m/>
    <m/>
    <s v="ü"/>
    <s v="NO APLICA"/>
    <s v="SI"/>
    <n v="0.05"/>
    <d v="2016-11-30T00:00:00"/>
    <n v="192126.71"/>
    <s v="Pago 2/4 pago anticipo "/>
    <d v="2017-03-17T00:00:00"/>
    <n v="76850.69"/>
    <s v="Pago 3/4 avance 2 "/>
    <d v="2017-04-06T00:00:00"/>
    <n v="76850.69"/>
    <m/>
    <m/>
    <m/>
    <m/>
    <m/>
    <m/>
    <m/>
    <m/>
    <m/>
    <m/>
    <m/>
    <m/>
    <m/>
    <m/>
    <m/>
    <m/>
    <m/>
    <m/>
    <m/>
    <m/>
    <m/>
    <n v="345828.09"/>
    <m/>
    <m/>
    <m/>
    <m/>
    <m/>
    <m/>
    <m/>
    <n v="270"/>
    <s v="DESDE LA NOTIFICACIÓN DE LA ENTREGA DEL ANTICIPO"/>
    <d v="2016-12-01T00:00:00"/>
    <d v="2017-08-28T00:00:00"/>
    <m/>
    <m/>
    <m/>
    <m/>
    <m/>
    <m/>
    <m/>
    <m/>
    <m/>
    <m/>
    <m/>
    <m/>
    <m/>
    <m/>
    <m/>
    <m/>
    <m/>
    <m/>
    <m/>
    <m/>
    <m/>
    <m/>
    <m/>
    <m/>
    <m/>
    <m/>
    <m/>
    <m/>
    <m/>
    <m/>
    <m/>
    <m/>
    <m/>
    <m/>
    <n v="0.08"/>
    <n v="0.15"/>
    <n v="0.45"/>
    <n v="0.75"/>
    <n v="0.75"/>
    <n v="0.75"/>
    <n v="0.75"/>
    <n v="0.75"/>
    <n v="1"/>
    <n v="1"/>
    <n v="1"/>
    <n v="1"/>
    <n v="1"/>
    <n v="1"/>
    <n v="1"/>
    <n v="1"/>
    <n v="1"/>
    <n v="1"/>
    <n v="1"/>
    <n v="1"/>
    <n v="1"/>
    <n v="1"/>
    <x v="0"/>
    <n v="1"/>
    <n v="1"/>
    <n v="1"/>
    <x v="0"/>
    <s v="si"/>
    <s v="si"/>
    <s v="si"/>
    <s v="si"/>
    <s v="si"/>
    <s v="si"/>
    <s v="si"/>
    <x v="0"/>
    <s v="si"/>
    <s v="si"/>
    <s v="si"/>
    <m/>
    <m/>
    <m/>
    <m/>
    <m/>
    <m/>
    <m/>
    <m/>
    <m/>
    <m/>
    <m/>
    <m/>
    <s v="REVISADO, PDTE JUSTIFICACIÓN DE MATRIZ DE CNEL EP"/>
    <m/>
  </r>
  <r>
    <x v="2"/>
    <s v="OBRAS"/>
    <x v="0"/>
    <s v="Proyectos de expansión y refuerzo en el Sistema Nacional de Distribución"/>
    <x v="3"/>
    <x v="3"/>
    <x v="1"/>
    <s v="ORELLANA"/>
    <x v="80"/>
    <n v="3"/>
    <x v="0"/>
    <s v="BID2-RSND-CNELSUC-ST-OB-009 "/>
    <s v="REPOTENCIACIÓN LINEA DE SUBTRANSMISIÓN SACHA-ORELLANA "/>
    <m/>
    <s v="LPN"/>
    <s v="ex-post"/>
    <s v="EJECUTADO BID"/>
    <s v="BID2-RSND-CNELSUC-ST-OB-009 "/>
    <s v="WORTRYMEC  ELECTROMECANICA CÍA. LTDA."/>
    <s v="ECUATORIANA"/>
    <s v="PERSONA JURÍDICA"/>
    <n v="1792131286001"/>
    <s v="SR. LORENZO OREJUELA"/>
    <s v="DATO PENDIENTE "/>
    <s v="TLGO. OLIVER LOAYZA"/>
    <s v="DATO PENDIENTE "/>
    <m/>
    <n v="602722.5"/>
    <n v="0"/>
    <n v="602722.49999999988"/>
    <n v="0"/>
    <n v="602722.49999999988"/>
    <n v="0.12"/>
    <n v="72326.699999999983"/>
    <n v="0"/>
    <n v="675049.2"/>
    <n v="598828.37"/>
    <n v="3894.1300000000047"/>
    <m/>
    <m/>
    <n v="602722.49999999988"/>
    <m/>
    <n v="602651.97"/>
    <n v="0.14000000000000001"/>
    <m/>
    <n v="687023.24579999992"/>
    <m/>
    <m/>
    <m/>
    <m/>
    <m/>
    <m/>
    <m/>
    <m/>
    <m/>
    <m/>
    <m/>
    <n v="70.53000000002794"/>
    <n v="70.53000000002794"/>
    <s v="DATO PENDIENTE NO ESTA PUBLICADO EL DDL"/>
    <s v="NO APLICA"/>
    <s v="NO APLICA"/>
    <s v="NO APLICA"/>
    <s v="NO APLICA"/>
    <s v="NO APLICA"/>
    <m/>
    <m/>
    <m/>
    <m/>
    <m/>
    <m/>
    <m/>
    <s v="NO APLICA"/>
    <s v="NO APLICA"/>
    <s v="NO APLICA"/>
    <d v="2016-10-07T00:00:00"/>
    <s v="NO APLICA"/>
    <d v="2016-10-12T00:00:00"/>
    <d v="2016-11-10T00:00:00"/>
    <s v="NO APLICA"/>
    <s v="NO APLICA"/>
    <s v="NO APLICA"/>
    <m/>
    <m/>
    <m/>
    <m/>
    <m/>
    <m/>
    <m/>
    <m/>
    <m/>
    <m/>
    <m/>
    <m/>
    <m/>
    <s v="ü"/>
    <s v="NO APLICA"/>
    <s v="NO APLICA"/>
    <s v="NO APLICA"/>
    <d v="2016-11-30T00:00:00"/>
    <n v="301325.98499999999"/>
    <m/>
    <m/>
    <m/>
    <m/>
    <m/>
    <m/>
    <m/>
    <m/>
    <m/>
    <m/>
    <m/>
    <m/>
    <m/>
    <m/>
    <m/>
    <m/>
    <m/>
    <m/>
    <m/>
    <m/>
    <m/>
    <m/>
    <m/>
    <m/>
    <m/>
    <m/>
    <m/>
    <n v="301325.98499999999"/>
    <m/>
    <n v="108477"/>
    <n v="192849"/>
    <m/>
    <m/>
    <n v="602651.98499999999"/>
    <n v="-1.5000000013969839E-2"/>
    <n v="150"/>
    <s v="DESDE LA NOTIFICACIÓN DE LA ENTREGA DEL ANTICIPO"/>
    <d v="2016-12-01T00:00:00"/>
    <d v="2017-04-30T00:00:00"/>
    <m/>
    <m/>
    <m/>
    <m/>
    <m/>
    <m/>
    <m/>
    <m/>
    <m/>
    <m/>
    <m/>
    <m/>
    <m/>
    <m/>
    <m/>
    <m/>
    <m/>
    <m/>
    <m/>
    <m/>
    <m/>
    <m/>
    <m/>
    <m/>
    <m/>
    <m/>
    <m/>
    <m/>
    <m/>
    <m/>
    <m/>
    <m/>
    <m/>
    <m/>
    <n v="0.01"/>
    <n v="0.02"/>
    <n v="0.03"/>
    <n v="0.2"/>
    <n v="0.4"/>
    <n v="0.55000000000000004"/>
    <n v="0.8"/>
    <n v="0.8"/>
    <n v="0.8"/>
    <n v="1"/>
    <n v="1"/>
    <n v="1"/>
    <n v="1"/>
    <n v="1"/>
    <n v="1"/>
    <n v="1"/>
    <n v="1"/>
    <n v="1"/>
    <n v="1"/>
    <n v="1"/>
    <n v="1"/>
    <n v="1"/>
    <x v="0"/>
    <n v="1"/>
    <n v="1"/>
    <n v="1"/>
    <x v="0"/>
    <s v="si"/>
    <s v="si"/>
    <s v="si"/>
    <s v="si"/>
    <s v="si"/>
    <s v="si"/>
    <s v="si"/>
    <x v="0"/>
    <s v="si"/>
    <s v="si"/>
    <s v="si"/>
    <m/>
    <m/>
    <m/>
    <m/>
    <m/>
    <m/>
    <m/>
    <m/>
    <m/>
    <m/>
    <s v="REAPERTUA DEL PROCESO BID2-RSND-CNELSUC-ST-OB-007, FORMULARIO DE CONTROL DE CAMBIOS, SOLICITUD No.4 DEL 30.MAY.2016"/>
    <m/>
    <m/>
    <m/>
  </r>
  <r>
    <x v="2"/>
    <s v="OBRAS"/>
    <x v="0"/>
    <s v="Proyectos de expansión y refuerzo en el Sistema Nacional de Distribución"/>
    <x v="0"/>
    <x v="0"/>
    <x v="0"/>
    <s v="SUCUMBIOS"/>
    <x v="81"/>
    <n v="4"/>
    <x v="0"/>
    <s v="BID2-RSND-CNELSUC-DI-OB-002"/>
    <s v="REFORZAMIENTO DE REDES RED TRIFASICA TARAPOA-LA “Y” DE CUYABENO"/>
    <m/>
    <s v="LPN"/>
    <s v="ex-post"/>
    <s v="EJECUTADO BID"/>
    <s v="No.327-AJ-2015"/>
    <s v="SERVICOTEC CIA. LTDA."/>
    <s v="ECUATORIANA"/>
    <s v="PERSONA JURÍDICA"/>
    <n v="2191722550001"/>
    <s v="NO SE INDICA EN LA GCG 1.1 (u)"/>
    <s v="DATO PENDIENTE "/>
    <s v="ING. JOSÉ LUIS GARCIA MORENO"/>
    <s v="DATO PENDIENTE "/>
    <m/>
    <n v="296116.34000000003"/>
    <n v="0"/>
    <n v="296116.33743299992"/>
    <n v="0"/>
    <n v="296116.33743299992"/>
    <n v="0.12"/>
    <n v="35533.960491959988"/>
    <n v="0"/>
    <n v="331650.29792495992"/>
    <n v="279737.68"/>
    <n v="16378.660000000033"/>
    <m/>
    <m/>
    <n v="296116.33743299992"/>
    <m/>
    <n v="291954.34000000003"/>
    <n v="0.14000000000000001"/>
    <m/>
    <n v="332827.94760000001"/>
    <m/>
    <m/>
    <m/>
    <m/>
    <m/>
    <m/>
    <m/>
    <m/>
    <m/>
    <m/>
    <m/>
    <n v="4162"/>
    <n v="4162"/>
    <s v="DDL, IAO 21.1."/>
    <s v="NO APLICA"/>
    <s v="NO APLICA"/>
    <s v="NO APLICA"/>
    <s v="NO APLICA"/>
    <s v="NO APLICA"/>
    <d v="2015-09-11T00:00:00"/>
    <d v="2015-10-01T00:00:00"/>
    <d v="2015-10-08T00:00:00"/>
    <d v="2015-10-23T00:00:00"/>
    <s v="NO APLICA"/>
    <d v="2015-11-06T00:00:00"/>
    <d v="2015-11-10T00:00:00"/>
    <s v="NO APLICA"/>
    <s v="NO APLICA"/>
    <s v="NO APLICA"/>
    <d v="2015-12-08T00:00:00"/>
    <s v="NO APLICA"/>
    <s v="DATO PENDIENTE"/>
    <d v="2015-12-22T00:00:00"/>
    <s v="NO APLICA"/>
    <s v="NO APLICA"/>
    <s v="NO APLICA"/>
    <m/>
    <s v="ü"/>
    <m/>
    <m/>
    <m/>
    <m/>
    <m/>
    <m/>
    <m/>
    <m/>
    <m/>
    <m/>
    <m/>
    <s v="ü"/>
    <s v="NO APLICA"/>
    <s v="SI"/>
    <n v="0.05"/>
    <d v="2016-02-22T00:00:00"/>
    <n v="145977.18"/>
    <s v="Pago 2/5 - Planilla N.1-  15%"/>
    <d v="2016-08-30T00:00:00"/>
    <n v="43793.15"/>
    <s v="Pago 3/5 - Planilla N.2-  15%"/>
    <d v="2016-10-11T00:00:00"/>
    <n v="43793.15"/>
    <s v="Pago 4/5 - Planilla Liquidación.- 100%"/>
    <d v="2017-03-06T00:00:00"/>
    <n v="46174.200000000004"/>
    <m/>
    <m/>
    <m/>
    <m/>
    <m/>
    <m/>
    <m/>
    <m/>
    <m/>
    <m/>
    <m/>
    <m/>
    <m/>
    <m/>
    <m/>
    <m/>
    <m/>
    <m/>
    <n v="279737.68"/>
    <m/>
    <m/>
    <m/>
    <m/>
    <m/>
    <m/>
    <m/>
    <n v="180"/>
    <s v="DESDE LA NOTIFICACIÓN DE LA ENTREGA DEL ANTICIPO"/>
    <d v="2016-02-23T00:00:00"/>
    <d v="2016-08-21T00:00:00"/>
    <m/>
    <m/>
    <m/>
    <m/>
    <m/>
    <m/>
    <m/>
    <m/>
    <m/>
    <m/>
    <m/>
    <m/>
    <m/>
    <m/>
    <m/>
    <m/>
    <m/>
    <m/>
    <m/>
    <m/>
    <m/>
    <m/>
    <m/>
    <m/>
    <m/>
    <m/>
    <n v="0.1"/>
    <n v="0.15"/>
    <n v="0.2"/>
    <n v="0.3"/>
    <n v="0.4"/>
    <n v="0.5"/>
    <n v="0.6"/>
    <n v="0.7"/>
    <n v="0.8"/>
    <n v="0.9"/>
    <n v="1"/>
    <n v="1"/>
    <n v="1"/>
    <n v="1"/>
    <n v="1"/>
    <n v="1"/>
    <n v="1"/>
    <n v="1"/>
    <n v="1"/>
    <n v="1"/>
    <n v="1"/>
    <n v="1"/>
    <n v="1"/>
    <n v="1"/>
    <n v="1"/>
    <n v="1"/>
    <n v="1"/>
    <n v="1"/>
    <n v="1"/>
    <n v="1"/>
    <x v="0"/>
    <n v="1"/>
    <n v="1"/>
    <n v="1"/>
    <x v="0"/>
    <s v="si"/>
    <s v="si"/>
    <s v="si"/>
    <s v="si"/>
    <s v="si"/>
    <s v="si"/>
    <s v="si"/>
    <x v="0"/>
    <s v="si"/>
    <s v="si"/>
    <s v="si"/>
    <m/>
    <m/>
    <m/>
    <m/>
    <m/>
    <m/>
    <m/>
    <m/>
    <m/>
    <m/>
    <s v="OBRA LIQUIDADA - PENDIENTE CNEL SUC DEBE REMITIR EL ACTA DE ENTREGA RECEPCIÓN PROVISIONAL"/>
    <m/>
    <m/>
    <m/>
  </r>
  <r>
    <x v="2"/>
    <s v="OBRAS"/>
    <x v="0"/>
    <s v="Proyectos de expansión y refuerzo en el Sistema Nacional de Distribución"/>
    <x v="0"/>
    <x v="0"/>
    <x v="0"/>
    <s v="SUCUMBIOS"/>
    <x v="82"/>
    <n v="5"/>
    <x v="0"/>
    <s v="BID2-RSND-CNELSUC-DI-OB-003"/>
    <s v="REFORZAMIENTO DE REDES EN EL SECTOR DE PACAYACU - LA GUARAPERA"/>
    <m/>
    <s v="LPN"/>
    <s v="ex-post"/>
    <s v="EJECUTADO BID"/>
    <s v="No.311-AJ-2015"/>
    <s v="ING. SÓCRATES CEVALLOS ROSADO"/>
    <s v="ECUATORIANA"/>
    <s v="PERSONA NATURAL"/>
    <n v="1306737808001"/>
    <s v="NO SE INDICA EN LA GCG 1.1 (u)"/>
    <s v="DATO PENDIENTE "/>
    <s v="ING. JOSÉ LUIS GARCIA MORENO"/>
    <s v="DATO PENDIENTE "/>
    <m/>
    <n v="372758.98"/>
    <n v="0"/>
    <n v="372758.98"/>
    <n v="0"/>
    <n v="372758.98"/>
    <n v="0.12"/>
    <n v="44731.077599999997"/>
    <n v="0"/>
    <n v="417490.0576"/>
    <n v="361660.85"/>
    <n v="11098.130000000005"/>
    <m/>
    <m/>
    <n v="372758.98"/>
    <m/>
    <n v="372698.45"/>
    <n v="0.14000000000000001"/>
    <m/>
    <n v="424876.23299999995"/>
    <m/>
    <m/>
    <m/>
    <m/>
    <m/>
    <m/>
    <m/>
    <m/>
    <m/>
    <m/>
    <m/>
    <n v="60.529999999969732"/>
    <n v="60.529999999969732"/>
    <s v="DDL, IAO 21.1."/>
    <s v="NO APLICA"/>
    <s v="NO APLICA"/>
    <s v="NO APLICA"/>
    <s v="NO APLICA"/>
    <s v="NO APLICA"/>
    <d v="2015-08-28T00:00:00"/>
    <d v="2015-09-17T00:00:00"/>
    <d v="2015-09-25T00:00:00"/>
    <d v="2015-10-19T00:00:00"/>
    <s v="NO APLICA"/>
    <d v="2015-10-30T00:00:00"/>
    <d v="2015-11-06T00:00:00"/>
    <s v="NO APLICA"/>
    <s v="NO APLICA"/>
    <s v="NO APLICA"/>
    <s v="DATO PENDIENTE"/>
    <s v="NO APLICA"/>
    <s v="DATO PENDIENTE"/>
    <d v="2015-12-11T00:00:00"/>
    <s v="NO APLICA"/>
    <s v="NO APLICA"/>
    <s v="NO APLICA"/>
    <m/>
    <s v="ü"/>
    <m/>
    <m/>
    <m/>
    <m/>
    <m/>
    <m/>
    <m/>
    <m/>
    <m/>
    <m/>
    <m/>
    <s v="ü"/>
    <s v="NO APLICA"/>
    <s v="SI"/>
    <n v="0.05"/>
    <d v="2016-02-22T00:00:00"/>
    <n v="186349.22"/>
    <s v="Pago 2/5 - Planilla N.1 15%"/>
    <d v="2016-07-27T00:00:00"/>
    <n v="55904.77"/>
    <s v="Pago 3/5 - Planilla N.2 15%"/>
    <d v="2016-08-30T00:00:00"/>
    <n v="55904.77"/>
    <s v="Pago /5 - Planilla Liquidación. 100%"/>
    <d v="2017-03-06T00:00:00"/>
    <n v="63502.09"/>
    <m/>
    <m/>
    <m/>
    <m/>
    <m/>
    <m/>
    <m/>
    <m/>
    <m/>
    <m/>
    <m/>
    <m/>
    <m/>
    <m/>
    <m/>
    <m/>
    <m/>
    <m/>
    <n v="361660.85"/>
    <m/>
    <m/>
    <m/>
    <m/>
    <m/>
    <m/>
    <m/>
    <n v="180"/>
    <s v="DESDE LA NOTIFICACIÓN DE LA ENTREGA DEL ANTICIPO"/>
    <d v="2016-02-23T00:00:00"/>
    <d v="2016-08-21T00:00:00"/>
    <m/>
    <m/>
    <m/>
    <m/>
    <m/>
    <m/>
    <m/>
    <m/>
    <m/>
    <m/>
    <m/>
    <m/>
    <m/>
    <m/>
    <m/>
    <m/>
    <m/>
    <m/>
    <m/>
    <m/>
    <m/>
    <m/>
    <m/>
    <m/>
    <m/>
    <m/>
    <n v="0.1"/>
    <n v="0.15"/>
    <n v="0.2"/>
    <n v="0.3"/>
    <n v="0.4"/>
    <n v="0.5"/>
    <n v="0.6"/>
    <n v="0.7"/>
    <n v="0.8"/>
    <n v="0.9"/>
    <n v="1"/>
    <n v="1"/>
    <n v="1"/>
    <n v="1"/>
    <n v="1"/>
    <n v="1"/>
    <n v="1"/>
    <n v="1"/>
    <n v="1"/>
    <n v="1"/>
    <n v="1"/>
    <n v="1"/>
    <n v="1"/>
    <n v="1"/>
    <n v="1"/>
    <n v="1"/>
    <n v="1"/>
    <n v="1"/>
    <n v="1"/>
    <n v="1"/>
    <x v="0"/>
    <n v="1"/>
    <n v="1"/>
    <n v="1"/>
    <x v="0"/>
    <s v="si"/>
    <s v="si"/>
    <s v="si"/>
    <s v="si"/>
    <s v="si"/>
    <s v="si"/>
    <s v="si"/>
    <x v="0"/>
    <s v="si"/>
    <s v="si"/>
    <s v="si"/>
    <m/>
    <m/>
    <m/>
    <m/>
    <m/>
    <m/>
    <m/>
    <m/>
    <m/>
    <m/>
    <s v="OBRA LIQUIDADA - PENDIENTE CNEL SUC DEBE REMITIR EL ACTA DE ENTREGA RECEPCIÓN PROVISIONAL"/>
    <m/>
    <m/>
    <m/>
  </r>
  <r>
    <x v="2"/>
    <s v="OBRAS"/>
    <x v="0"/>
    <s v="Proyectos de expansión y refuerzo en el Sistema Nacional de Distribución"/>
    <x v="0"/>
    <x v="0"/>
    <x v="0"/>
    <s v="ORELLANA"/>
    <x v="83"/>
    <n v="6"/>
    <x v="0"/>
    <s v="BID2-RSND-CNELSUC-DI-OB-005"/>
    <s v="REPOTENCIACIÓN DE LA RED DE MEDIA Y BAJA TENSIÓN ALIMENTADOR COCA 3"/>
    <m/>
    <s v="LPN"/>
    <s v="ex-post"/>
    <s v="EJECUTADO BID"/>
    <s v="No.-326-AJ-2015"/>
    <s v="ING. DANIEL RENATO LÓPEZ BELTRÁN"/>
    <s v="ECUATORIANA"/>
    <s v="PERSONA NATURAL"/>
    <n v="1714614649001"/>
    <s v="DATO PENDIENTE "/>
    <s v="DATO PENDIENTE "/>
    <s v="ING. JOSÉ LUIS GARCIA MORENO"/>
    <s v="DATO PENDIENTE "/>
    <m/>
    <n v="467896.8"/>
    <n v="0"/>
    <n v="467896.8"/>
    <n v="0"/>
    <n v="467896.8"/>
    <n v="0.12"/>
    <n v="56147.615999999995"/>
    <n v="0"/>
    <n v="524044.41600000003"/>
    <m/>
    <m/>
    <m/>
    <m/>
    <n v="467896.78"/>
    <m/>
    <n v="466351.4"/>
    <n v="0.14000000000000001"/>
    <m/>
    <n v="531640.59600000002"/>
    <m/>
    <m/>
    <m/>
    <m/>
    <m/>
    <m/>
    <m/>
    <m/>
    <m/>
    <m/>
    <m/>
    <n v="1545.3999999999651"/>
    <n v="1545.3999999999651"/>
    <s v="DDL, IAO 21.1."/>
    <s v="NO APLICA"/>
    <s v="NO APLICA"/>
    <s v="NO APLICA"/>
    <s v="NO APLICA"/>
    <s v="NO APLICA"/>
    <d v="2015-08-28T00:00:00"/>
    <d v="2015-09-17T00:00:00"/>
    <d v="2015-09-25T00:00:00"/>
    <d v="2015-10-19T00:00:00"/>
    <s v="NO APLICA"/>
    <d v="2015-10-30T00:00:00"/>
    <d v="2015-11-06T00:00:00"/>
    <s v="NO APLICA"/>
    <s v="NO APLICA"/>
    <s v="NO APLICA"/>
    <d v="2015-12-14T00:00:00"/>
    <s v="NO APLICA"/>
    <s v="DATO PENDIENTE"/>
    <d v="2016-01-05T00:00:00"/>
    <s v="NO APLICA"/>
    <s v="NO APLICA"/>
    <s v="NO APLICA"/>
    <m/>
    <s v="ü"/>
    <m/>
    <m/>
    <m/>
    <m/>
    <m/>
    <m/>
    <m/>
    <m/>
    <m/>
    <m/>
    <m/>
    <s v="ü"/>
    <s v="NO APLICA"/>
    <s v="SI"/>
    <n v="0.05"/>
    <d v="2016-06-29T00:00:00"/>
    <n v="233175.7"/>
    <m/>
    <d v="2016-12-02T00:00:00"/>
    <n v="69952.710000000006"/>
    <m/>
    <m/>
    <m/>
    <m/>
    <m/>
    <m/>
    <m/>
    <m/>
    <m/>
    <m/>
    <m/>
    <m/>
    <m/>
    <m/>
    <m/>
    <m/>
    <m/>
    <m/>
    <m/>
    <m/>
    <m/>
    <m/>
    <m/>
    <m/>
    <n v="303128.41000000003"/>
    <m/>
    <m/>
    <m/>
    <m/>
    <m/>
    <m/>
    <m/>
    <n v="180"/>
    <s v="DESDE LA NOTIFICACIÓN DE LA ENTREGA DEL ANTICIPO"/>
    <d v="2016-06-30T00:00:00"/>
    <d v="2016-12-27T00:00:00"/>
    <m/>
    <m/>
    <m/>
    <m/>
    <m/>
    <m/>
    <m/>
    <m/>
    <m/>
    <m/>
    <m/>
    <m/>
    <m/>
    <m/>
    <m/>
    <m/>
    <m/>
    <m/>
    <m/>
    <m/>
    <m/>
    <m/>
    <m/>
    <m/>
    <m/>
    <m/>
    <m/>
    <m/>
    <m/>
    <n v="0.2"/>
    <n v="0.3"/>
    <n v="0.4"/>
    <n v="0.6"/>
    <n v="0.7"/>
    <n v="0.8"/>
    <n v="0.9"/>
    <n v="1"/>
    <n v="1"/>
    <n v="1"/>
    <n v="1"/>
    <n v="1"/>
    <n v="1"/>
    <n v="1"/>
    <n v="1"/>
    <n v="1"/>
    <n v="1"/>
    <n v="1"/>
    <n v="1"/>
    <n v="1"/>
    <n v="1"/>
    <n v="1"/>
    <n v="1"/>
    <n v="1"/>
    <n v="1"/>
    <n v="1"/>
    <n v="1"/>
    <x v="0"/>
    <n v="1"/>
    <n v="1"/>
    <n v="1"/>
    <x v="0"/>
    <s v="no"/>
    <s v="no"/>
    <s v="no"/>
    <s v="no"/>
    <s v="no"/>
    <s v="no"/>
    <s v="no"/>
    <x v="1"/>
    <s v="no"/>
    <s v="no"/>
    <s v="no"/>
    <m/>
    <m/>
    <m/>
    <m/>
    <m/>
    <m/>
    <s v="Por liquidar"/>
    <m/>
    <m/>
    <m/>
    <m/>
    <m/>
    <m/>
    <m/>
  </r>
  <r>
    <x v="2"/>
    <s v="OBRAS"/>
    <x v="0"/>
    <s v="Proyectos de expansión y refuerzo en el Sistema Nacional de Distribución"/>
    <x v="0"/>
    <x v="0"/>
    <x v="0"/>
    <s v="SUCUMBIOS"/>
    <x v="84"/>
    <n v="7"/>
    <x v="0"/>
    <s v="BID2-RSND-CNELSUC-DI-OB-006"/>
    <s v="REFORZAMIENTO DE REDES EN  LAS COMUNIDADES AKISUYO, AKSIR, RUMPIPAMBA._x000a_"/>
    <m/>
    <s v="LPN"/>
    <s v="ex-post"/>
    <s v="EJECUTADO BID"/>
    <s v="BID2-RSND-CNELSUC-DI-OB-006"/>
    <s v="ING. GABRIEL PATRICIO PITA CASTILLO"/>
    <s v="ECUATORIANA"/>
    <s v="PERSONA NATURAL"/>
    <n v="1308823697001"/>
    <s v="NO SE INDICA EN LA GCG 1.1 (u)"/>
    <s v="DATO PENDIENTE "/>
    <s v="NO SE INDICA EN LA GCG 1.1 (u)"/>
    <s v="DATO PENDIENTE "/>
    <m/>
    <n v="104515.86"/>
    <n v="0"/>
    <n v="104515.85714285713"/>
    <n v="0"/>
    <n v="104515.85714285713"/>
    <n v="0.12"/>
    <n v="12541.902857142855"/>
    <n v="0"/>
    <n v="117057.76"/>
    <n v="103638.01000000001"/>
    <n v="877.84999999999127"/>
    <m/>
    <m/>
    <n v="104515.85714285713"/>
    <m/>
    <n v="103765.02"/>
    <n v="0.14000000000000001"/>
    <m/>
    <n v="103766.16"/>
    <m/>
    <m/>
    <m/>
    <m/>
    <m/>
    <m/>
    <m/>
    <m/>
    <m/>
    <m/>
    <m/>
    <n v="750.83999999999651"/>
    <n v="750.83999999999651"/>
    <s v="DDL, IAO 21.1."/>
    <s v="NO APLICA"/>
    <s v="NO APLICA"/>
    <s v="NO APLICA"/>
    <s v="NO APLICA"/>
    <s v="NO APLICA"/>
    <d v="2015-08-21T00:00:00"/>
    <d v="2015-09-21T00:00:00"/>
    <d v="2015-09-28T00:00:00"/>
    <d v="2015-10-05T00:00:00"/>
    <s v="NO APLICA"/>
    <d v="2015-10-23T00:00:00"/>
    <d v="2015-10-27T00:00:00"/>
    <s v="NO APLICA"/>
    <s v="NO APLICA"/>
    <s v="NO APLICA"/>
    <d v="2015-10-27T00:00:00"/>
    <s v="NO APLICA"/>
    <s v="DATO PENDIENTE"/>
    <s v="CONTRATO SIN FECHA"/>
    <s v="NO APLICA"/>
    <s v="NO APLICA"/>
    <s v="NO APLICA"/>
    <m/>
    <s v="ü"/>
    <m/>
    <m/>
    <m/>
    <m/>
    <m/>
    <m/>
    <m/>
    <m/>
    <m/>
    <m/>
    <m/>
    <s v="CONTRATO SIN FECHA"/>
    <s v="NO APLICA"/>
    <s v="SI"/>
    <n v="0.05"/>
    <d v="2016-02-22T00:00:00"/>
    <n v="51882.51"/>
    <m/>
    <d v="2016-06-29T00:00:00"/>
    <n v="41506.01"/>
    <m/>
    <m/>
    <m/>
    <m/>
    <m/>
    <m/>
    <m/>
    <m/>
    <m/>
    <m/>
    <m/>
    <m/>
    <m/>
    <m/>
    <m/>
    <m/>
    <m/>
    <m/>
    <m/>
    <m/>
    <m/>
    <m/>
    <m/>
    <m/>
    <n v="93388.52"/>
    <m/>
    <m/>
    <m/>
    <m/>
    <m/>
    <m/>
    <m/>
    <n v="120"/>
    <s v="DESDE LA NOTIFICACIÓN DE LA ENTREGA DEL ANTICIPO"/>
    <d v="2016-02-23T00:00:00"/>
    <d v="2016-06-22T00:00:00"/>
    <m/>
    <m/>
    <m/>
    <m/>
    <m/>
    <m/>
    <m/>
    <m/>
    <m/>
    <m/>
    <m/>
    <m/>
    <m/>
    <m/>
    <m/>
    <m/>
    <m/>
    <m/>
    <m/>
    <m/>
    <m/>
    <m/>
    <m/>
    <m/>
    <m/>
    <n v="0.2"/>
    <n v="0.4"/>
    <n v="0.6"/>
    <n v="0.8"/>
    <n v="1"/>
    <n v="1"/>
    <n v="1"/>
    <n v="1"/>
    <n v="1"/>
    <n v="1"/>
    <n v="1"/>
    <n v="1"/>
    <n v="1"/>
    <n v="1"/>
    <n v="1"/>
    <n v="1"/>
    <n v="1"/>
    <n v="1"/>
    <n v="1"/>
    <n v="1"/>
    <n v="1"/>
    <n v="1"/>
    <n v="1"/>
    <n v="1"/>
    <n v="1"/>
    <n v="1"/>
    <n v="1"/>
    <n v="1"/>
    <n v="1"/>
    <n v="1"/>
    <n v="1"/>
    <x v="0"/>
    <n v="1"/>
    <n v="1"/>
    <n v="1"/>
    <x v="0"/>
    <s v="si"/>
    <s v="si"/>
    <s v="si"/>
    <s v="si"/>
    <s v="si"/>
    <s v="si"/>
    <s v="si"/>
    <x v="0"/>
    <s v="si"/>
    <s v="si"/>
    <s v="si"/>
    <m/>
    <m/>
    <m/>
    <m/>
    <m/>
    <m/>
    <m/>
    <m/>
    <m/>
    <m/>
    <s v="OBRA LIQUIDADA - PENDIENTE CNEL SUC DEBE REMITIR EL ACTA DE ENTREGA RECEPCIÓN PROVISIONAL"/>
    <m/>
    <m/>
    <m/>
  </r>
  <r>
    <x v="2"/>
    <s v="OBRAS"/>
    <x v="1"/>
    <s v="Mejoramiento de la eficiencia y fiabilidad de la red"/>
    <x v="2"/>
    <x v="5"/>
    <x v="0"/>
    <s v="SUCUMBIOS"/>
    <x v="85"/>
    <n v="8"/>
    <x v="0"/>
    <s v="BID2-RSND-CNELSUC-AU-OB-014"/>
    <s v="AUTOMATIZACIÓN E IMPLANTACIÓN DE LA BAHÍA A 69 KV DE LA SUBESTACIÓN JIVINO DE CELEC TRANSELECTRIC PARA MEJORAR LA CALIDAD DE SERVICIO Y LA GESTIÓN DE LA DEMANDA EN CNEL UN SUCUMBIOS"/>
    <m/>
    <s v="LPN"/>
    <s v="ex-post"/>
    <s v="EJECUTADO BID"/>
    <s v="Contrato Nro.86-17"/>
    <s v="ACX ENGENEHARIA CLTA. EEP"/>
    <s v="BRASILERA"/>
    <s v="PERSONA JURÍDICA"/>
    <n v="1091762427001"/>
    <m/>
    <m/>
    <m/>
    <m/>
    <m/>
    <n v="470271.42"/>
    <n v="0"/>
    <n v="470271.42"/>
    <n v="0"/>
    <n v="470271.42"/>
    <n v="0.12"/>
    <n v="56432.570399999997"/>
    <n v="0"/>
    <n v="526703.99040000001"/>
    <n v="463680.66"/>
    <n v="6590.7600000000093"/>
    <m/>
    <m/>
    <n v="470271.42"/>
    <m/>
    <n v="464267.47"/>
    <n v="0.14000000000000001"/>
    <n v="64997.445800000001"/>
    <n v="529264.91579999996"/>
    <m/>
    <m/>
    <m/>
    <m/>
    <m/>
    <m/>
    <m/>
    <m/>
    <m/>
    <m/>
    <m/>
    <n v="6003.9500000000116"/>
    <n v="6003.9500000000116"/>
    <s v="DDL, IAO 21.1."/>
    <s v="NO APLICA"/>
    <s v="NO APLICA"/>
    <s v="NO APLICA"/>
    <s v="NO APLICA"/>
    <s v="NO APLICA"/>
    <d v="2017-02-21T00:00:00"/>
    <d v="2017-03-06T00:00:00"/>
    <d v="2017-03-13T00:00:00"/>
    <d v="2017-03-20T00:00:00"/>
    <s v="NO APLICA"/>
    <d v="2017-03-29T00:00:00"/>
    <d v="2017-03-31T00:00:00"/>
    <s v="NO APLICA"/>
    <s v="NO APLICA"/>
    <s v="NO APLICA"/>
    <d v="2017-05-03T00:00:00"/>
    <m/>
    <m/>
    <d v="2017-05-15T00:00:00"/>
    <s v="NO APLICA"/>
    <s v="NO APLICA"/>
    <s v="NO APLICA"/>
    <m/>
    <m/>
    <m/>
    <m/>
    <m/>
    <m/>
    <m/>
    <m/>
    <m/>
    <m/>
    <m/>
    <m/>
    <m/>
    <m/>
    <m/>
    <m/>
    <m/>
    <s v="DATO PENDIENTE"/>
    <m/>
    <m/>
    <m/>
    <m/>
    <m/>
    <m/>
    <m/>
    <m/>
    <m/>
    <m/>
    <m/>
    <m/>
    <m/>
    <m/>
    <m/>
    <m/>
    <m/>
    <m/>
    <m/>
    <m/>
    <m/>
    <m/>
    <m/>
    <m/>
    <m/>
    <m/>
    <m/>
    <m/>
    <n v="0"/>
    <m/>
    <m/>
    <m/>
    <m/>
    <m/>
    <m/>
    <m/>
    <n v="150"/>
    <s v="DESDE LA NOTIFICACIÓN DE LA ENTREGA DEL ANTICIPO"/>
    <m/>
    <m/>
    <m/>
    <m/>
    <m/>
    <m/>
    <m/>
    <m/>
    <m/>
    <m/>
    <m/>
    <m/>
    <m/>
    <m/>
    <m/>
    <m/>
    <m/>
    <m/>
    <m/>
    <m/>
    <m/>
    <m/>
    <m/>
    <m/>
    <m/>
    <m/>
    <m/>
    <m/>
    <m/>
    <m/>
    <m/>
    <m/>
    <m/>
    <m/>
    <m/>
    <m/>
    <m/>
    <m/>
    <m/>
    <m/>
    <m/>
    <m/>
    <n v="0"/>
    <n v="0"/>
    <n v="0"/>
    <n v="0.5"/>
    <n v="0.5"/>
    <n v="0.95"/>
    <n v="0.95"/>
    <n v="0.95"/>
    <n v="0.95"/>
    <n v="1"/>
    <n v="1"/>
    <n v="1"/>
    <n v="1"/>
    <n v="1"/>
    <n v="1"/>
    <n v="1"/>
    <x v="0"/>
    <n v="1"/>
    <n v="1"/>
    <n v="1"/>
    <x v="0"/>
    <s v="no"/>
    <s v="no"/>
    <s v="no"/>
    <s v="no"/>
    <s v="no"/>
    <s v="si"/>
    <s v="si"/>
    <x v="0"/>
    <s v="si"/>
    <s v="si"/>
    <s v="si"/>
    <s v="En liquidación, obra concluida"/>
    <m/>
    <m/>
    <s v="El proyecto se encuentra culminado en su totalidad la parte constructiva y se han realizado las pruebas pertinentes en la subestación, actualmente se encuentra a la espera de CELEC realice un vínculo de comunicación y coordinación de entre los relés diferenciales de Jivino Celec y Jivino Cnel, se estima que la firma del acta provisional se la realice a finales del mes de Noviembre actualmente está acta se encuentra en revisión por el personal del departamento Jurídico."/>
    <s v="El proyecto se encuentra culminado en su totalidad la parte constructiva y se han realizado las pruebas pertinentes en la subestación, actualmente se encuentra a la espera de CELEC realice un vínculo de comunicación y coordinación de entre los relés diferenciales de Jivino Celec y Jivino Cnel, se estima que la firma del acta provisional se la realice en diciembre actualmente está acta se encuentra en revisión por el personal del departamento Jurídico. _x000a_Pagado 417.253,92"/>
    <s v="Se realiza pago 4 de 4 por 46.426,74 el 27 de diciembre de 2018"/>
    <m/>
    <m/>
    <m/>
    <m/>
    <s v="NUEVO PROYECTO , FORMULARIO DE CONTROL DE CAMBIOS, SOLICITUD No.2 DEL 25.FEB.2016, PDTE ANALISIS FINANCIERO PARA FINANCIAMIENTO CON RECURSOS BID.  FORMULARIO DE CONTROL DE CAMBIOS, SOLICITUD No.10 DEL 17.NOV.2016. EL 14 DE SEPTIEMBRE DE 2017, ESTE PROYECTO SE MODIFICA DE COMPONENTE, DE: Medición inteligente, en alimentadores, monitoreo y gestión de activos fijos concentrados en subestaciones y alimentadores. A: Proyectos de automatización y adecuación de subestaciones"/>
    <m/>
    <s v="AUTORIZADO MEDIANTE OFICIO Nro. MINFIN-SRF-2017-0216-O DE 17 DE MARZO DE 2017"/>
    <d v="2016-02-25T00:00:00"/>
  </r>
  <r>
    <x v="2"/>
    <s v="OBRAS"/>
    <x v="0"/>
    <s v="Proyectos de expansión y refuerzo en el Sistema Nacional de Distribución"/>
    <x v="3"/>
    <x v="3"/>
    <x v="1"/>
    <s v="SUCUMBIOS"/>
    <x v="86"/>
    <n v="9"/>
    <x v="0"/>
    <s v="BID2-RSND-CNELSUC-ST-OB-010"/>
    <s v="CONSTRUCCION DE SALIDAS SUBTERRANEAS DE ALIMENTADORES PRIMARIOS DE LA SUBESTACION JIVINO Y ADECUACIÓN DEL PATIO DE MANIOBRAS DE LA SUBESTACION LAGO AGRIO"/>
    <m/>
    <s v="LPN"/>
    <s v="ex-post"/>
    <s v="EJECUTADO BID"/>
    <s v="Nro.115-17"/>
    <s v=" _x000a_  PROYECTOS OBRAS Y CONSTRUCCIONES VELASMARIN CIA.LTDA."/>
    <s v="ECUATORIANA"/>
    <s v="PERSONA JURÍDICA"/>
    <n v="2191737620001"/>
    <m/>
    <m/>
    <m/>
    <m/>
    <n v="72579.099999999991"/>
    <n v="110015.55"/>
    <n v="72579.099999999991"/>
    <n v="110015.54999999999"/>
    <n v="0"/>
    <n v="110015.54999999999"/>
    <n v="0.12"/>
    <n v="13201.865999999998"/>
    <n v="0"/>
    <n v="123217.416"/>
    <n v="91063.5"/>
    <n v="18952.050000000003"/>
    <m/>
    <m/>
    <n v="92536.17"/>
    <m/>
    <n v="92536.17"/>
    <n v="0.12"/>
    <n v="11104.340399999999"/>
    <n v="103640.51040000001"/>
    <m/>
    <m/>
    <m/>
    <m/>
    <m/>
    <m/>
    <m/>
    <m/>
    <m/>
    <m/>
    <m/>
    <m/>
    <n v="0"/>
    <m/>
    <s v="NO APLICA"/>
    <s v="NO APLICA"/>
    <s v="NO APLICA"/>
    <s v="NO APLICA"/>
    <s v="NO APLICA"/>
    <d v="2017-06-23T00:00:00"/>
    <d v="2017-07-07T00:00:00"/>
    <d v="2017-07-14T00:00:00"/>
    <d v="2017-07-24T00:00:00"/>
    <s v="NO APLICA"/>
    <d v="2017-07-31T00:00:00"/>
    <d v="2017-08-10T00:00:00"/>
    <s v="NO APLICA"/>
    <s v="NO APLICA"/>
    <s v="NO APLICA"/>
    <d v="2017-08-22T00:00:00"/>
    <s v="NO APLICA"/>
    <m/>
    <d v="2017-10-18T00:00:00"/>
    <s v="NO APLICA"/>
    <s v="NO APLICA"/>
    <s v="NO APLICA"/>
    <m/>
    <m/>
    <m/>
    <m/>
    <m/>
    <m/>
    <m/>
    <m/>
    <m/>
    <m/>
    <m/>
    <m/>
    <m/>
    <m/>
    <m/>
    <s v="NO APLICA"/>
    <m/>
    <m/>
    <m/>
    <m/>
    <m/>
    <m/>
    <m/>
    <m/>
    <m/>
    <m/>
    <m/>
    <m/>
    <m/>
    <m/>
    <m/>
    <m/>
    <m/>
    <m/>
    <m/>
    <m/>
    <m/>
    <m/>
    <m/>
    <m/>
    <m/>
    <m/>
    <m/>
    <m/>
    <m/>
    <m/>
    <n v="0"/>
    <m/>
    <n v="36289.550000000003"/>
    <n v="36289.550000000003"/>
    <m/>
    <m/>
    <m/>
    <m/>
    <n v="90"/>
    <m/>
    <m/>
    <m/>
    <m/>
    <m/>
    <m/>
    <m/>
    <m/>
    <m/>
    <m/>
    <m/>
    <m/>
    <m/>
    <m/>
    <m/>
    <m/>
    <m/>
    <m/>
    <m/>
    <m/>
    <m/>
    <m/>
    <m/>
    <m/>
    <m/>
    <m/>
    <m/>
    <m/>
    <m/>
    <m/>
    <m/>
    <m/>
    <m/>
    <m/>
    <m/>
    <m/>
    <m/>
    <m/>
    <m/>
    <m/>
    <n v="0"/>
    <n v="0"/>
    <n v="0"/>
    <n v="0"/>
    <n v="0"/>
    <n v="0"/>
    <n v="0"/>
    <n v="0"/>
    <n v="1"/>
    <n v="1"/>
    <n v="1"/>
    <n v="1"/>
    <n v="1"/>
    <n v="1"/>
    <n v="1"/>
    <n v="1"/>
    <n v="1"/>
    <n v="1"/>
    <n v="1"/>
    <x v="0"/>
    <n v="1"/>
    <n v="1"/>
    <n v="1"/>
    <x v="0"/>
    <s v="si"/>
    <s v="si"/>
    <s v="si"/>
    <s v="si"/>
    <s v="si"/>
    <s v="si"/>
    <s v="si"/>
    <x v="0"/>
    <s v="si"/>
    <s v="si"/>
    <s v="si"/>
    <m/>
    <m/>
    <m/>
    <m/>
    <s v="No aparece totalmente liquidado"/>
    <m/>
    <m/>
    <m/>
    <m/>
    <m/>
    <s v="NUEVO PROYECTO , FORMULARIO DE CONTROL DE CAMBIOS, SOLICITUD No.9 DEL 23.SEP.2016, PDTE ANALISIS FINANCIERO PARA FINANCIAMIENTO CON RECURSOS BID"/>
    <m/>
    <s v="AUTORIZADO MEDIANTE OFICIO Nro. MINFIN-SRF-2017-0216-O DE 17 DE MARZO DE 2017"/>
    <d v="2016-09-23T00:00:00"/>
  </r>
  <r>
    <x v="2"/>
    <s v="OBRAS"/>
    <x v="0"/>
    <s v="Proyectos de expansión y refuerzo en el Sistema Nacional de Distribución"/>
    <x v="3"/>
    <x v="3"/>
    <x v="1"/>
    <s v="SUCUMBIOS"/>
    <x v="86"/>
    <n v="9"/>
    <x v="0"/>
    <s v="BID2-RSND-CNELSUC-ST-OB-010"/>
    <s v="CONSTRUCCION DE SALIDAS SUBTERRANEAS DE ALIMENTADORES PRIMARIOS DE LA SUBESTACION JIVINO Y ADECUACIÓN DEL PATIO DE MANIOBRAS DE LA SUBESTACION LAGO AGRIO"/>
    <m/>
    <s v="LPN"/>
    <s v="ex-post"/>
    <s v="EJECUTADO BID"/>
    <s v="Nro.115-17"/>
    <s v=" _x000a_  PROYECTOS OBRAS Y CONSTRUCCIONES VELASMARIN CIA.LTDA."/>
    <s v="ECUATORIANA"/>
    <s v="PERSONA JURÍDICA"/>
    <n v="2191737620001"/>
    <m/>
    <m/>
    <m/>
    <m/>
    <n v="37436.449999999997"/>
    <n v="0"/>
    <n v="37436.449999999997"/>
    <m/>
    <n v="0"/>
    <n v="0"/>
    <n v="0.12"/>
    <n v="0"/>
    <n v="0"/>
    <n v="0"/>
    <m/>
    <m/>
    <m/>
    <m/>
    <m/>
    <m/>
    <m/>
    <m/>
    <m/>
    <m/>
    <m/>
    <m/>
    <m/>
    <m/>
    <m/>
    <m/>
    <m/>
    <m/>
    <m/>
    <m/>
    <m/>
    <m/>
    <n v="0"/>
    <m/>
    <s v="NO APLICA"/>
    <s v="NO APLICA"/>
    <s v="NO APLICA"/>
    <s v="NO APLICA"/>
    <s v="NO APLICA"/>
    <d v="2017-06-23T00:00:00"/>
    <d v="2017-07-07T00:00:00"/>
    <d v="2017-07-14T00:00:00"/>
    <d v="2017-07-24T00:00:00"/>
    <s v="NO APLICA"/>
    <d v="2017-07-31T00:00:00"/>
    <d v="2017-08-10T00:00:00"/>
    <s v="NO APLICA"/>
    <s v="NO APLICA"/>
    <s v="NO APLICA"/>
    <d v="2017-08-22T00:00:00"/>
    <s v="NO APLICA"/>
    <m/>
    <d v="2017-10-18T00:00:00"/>
    <s v="NO APLICA"/>
    <s v="NO APLICA"/>
    <s v="NO APLICA"/>
    <m/>
    <m/>
    <m/>
    <m/>
    <m/>
    <m/>
    <m/>
    <m/>
    <m/>
    <m/>
    <m/>
    <m/>
    <m/>
    <m/>
    <m/>
    <s v="NO APLICA"/>
    <m/>
    <m/>
    <m/>
    <m/>
    <m/>
    <m/>
    <m/>
    <m/>
    <m/>
    <m/>
    <m/>
    <m/>
    <m/>
    <m/>
    <m/>
    <m/>
    <m/>
    <m/>
    <m/>
    <m/>
    <m/>
    <m/>
    <m/>
    <m/>
    <m/>
    <m/>
    <m/>
    <m/>
    <m/>
    <m/>
    <n v="0"/>
    <m/>
    <m/>
    <m/>
    <m/>
    <m/>
    <m/>
    <m/>
    <n v="90"/>
    <m/>
    <m/>
    <m/>
    <m/>
    <m/>
    <m/>
    <m/>
    <m/>
    <m/>
    <m/>
    <m/>
    <m/>
    <m/>
    <m/>
    <m/>
    <m/>
    <m/>
    <m/>
    <m/>
    <m/>
    <m/>
    <m/>
    <m/>
    <m/>
    <m/>
    <m/>
    <m/>
    <m/>
    <m/>
    <m/>
    <m/>
    <m/>
    <m/>
    <m/>
    <m/>
    <m/>
    <m/>
    <m/>
    <m/>
    <m/>
    <n v="0"/>
    <n v="0"/>
    <n v="0"/>
    <n v="0"/>
    <n v="0"/>
    <n v="0"/>
    <n v="0"/>
    <n v="0"/>
    <n v="0"/>
    <n v="0"/>
    <n v="0"/>
    <n v="0"/>
    <n v="1"/>
    <n v="1"/>
    <n v="1"/>
    <n v="1"/>
    <n v="1"/>
    <n v="1"/>
    <n v="1"/>
    <x v="0"/>
    <n v="1"/>
    <n v="1"/>
    <n v="1"/>
    <x v="0"/>
    <s v="no"/>
    <s v="no"/>
    <s v="no"/>
    <s v="no"/>
    <s v="no"/>
    <s v="si"/>
    <s v="si"/>
    <x v="0"/>
    <s v="si"/>
    <s v="si"/>
    <s v="si"/>
    <m/>
    <m/>
    <m/>
    <m/>
    <m/>
    <m/>
    <m/>
    <m/>
    <m/>
    <m/>
    <s v="NUEVO PROYECTO , FORMULARIO DE CONTROL DE CAMBIOS, SOLICITUD No.9 DEL 23.SEP.2016, PDTE ANALISIS FINANCIERO PARA FINANCIAMIENTO CON RECURSOS BID"/>
    <m/>
    <s v="AUTORIZADO MEDIANTE OFICIO Nro. MINFIN-SRF-2017-0216-O DE 17 DE MARZO DE 2017"/>
    <d v="2016-09-23T00:00:00"/>
  </r>
  <r>
    <x v="2"/>
    <s v="OBRAS"/>
    <x v="0"/>
    <s v="Proyectos de expansión y refuerzo en el Sistema Nacional de Distribución"/>
    <x v="0"/>
    <x v="0"/>
    <x v="0"/>
    <s v="SUCUMBIOS"/>
    <x v="87"/>
    <n v="10"/>
    <x v="0"/>
    <s v="BID2-RSND-CNELSUC-DI-OB-011"/>
    <s v="ELECTRIFICACIÓN DE COOPERATIVA SIONA 2"/>
    <m/>
    <s v="LPN"/>
    <s v="ex-post"/>
    <s v="EJECUTADO BID"/>
    <s v="Nro. 114-17"/>
    <s v="CONSORCIO BECERRA Y JIMENEZ"/>
    <s v="ECUATORIANA"/>
    <s v="PERSONA NATURAL"/>
    <n v="2191747812001"/>
    <s v="ING. GALO PAGUAY"/>
    <m/>
    <s v="ING. HUGO RAMOS"/>
    <m/>
    <m/>
    <n v="31915.200000000001"/>
    <n v="0"/>
    <n v="31915.200000000001"/>
    <n v="0"/>
    <n v="31915.200000000001"/>
    <n v="0.12"/>
    <n v="3829.8240000000001"/>
    <n v="0"/>
    <n v="35745.024000000005"/>
    <n v="19681.45"/>
    <n v="12233.75"/>
    <m/>
    <m/>
    <n v="19767.59"/>
    <m/>
    <n v="19767.59"/>
    <n v="0.12"/>
    <n v="2372.1107999999999"/>
    <n v="22139.700800000002"/>
    <m/>
    <m/>
    <m/>
    <m/>
    <m/>
    <m/>
    <m/>
    <m/>
    <m/>
    <m/>
    <m/>
    <m/>
    <n v="0"/>
    <m/>
    <s v="NO APLICA"/>
    <s v="NO APLICA"/>
    <s v="NO APLICA"/>
    <s v="NO APLICA"/>
    <s v="NO APLICA"/>
    <d v="2017-06-15T00:00:00"/>
    <d v="2017-06-29T00:00:00"/>
    <d v="2017-07-06T00:00:00"/>
    <d v="2017-07-17T00:00:00"/>
    <s v="NO APLICA"/>
    <d v="2017-07-24T00:00:00"/>
    <d v="2017-08-04T00:00:00"/>
    <s v="NO APLICA"/>
    <s v="NO APLICA"/>
    <s v="NO APLICA"/>
    <d v="2017-08-18T00:00:00"/>
    <m/>
    <m/>
    <d v="2017-10-02T00:00:00"/>
    <s v="NO APLICA"/>
    <s v="NO APLICA"/>
    <s v="NO APLICA"/>
    <m/>
    <m/>
    <m/>
    <m/>
    <m/>
    <m/>
    <m/>
    <m/>
    <m/>
    <m/>
    <m/>
    <m/>
    <m/>
    <m/>
    <m/>
    <m/>
    <m/>
    <s v="DATO PENDIENTE"/>
    <m/>
    <m/>
    <m/>
    <m/>
    <m/>
    <m/>
    <m/>
    <m/>
    <m/>
    <m/>
    <m/>
    <m/>
    <m/>
    <m/>
    <m/>
    <m/>
    <m/>
    <m/>
    <m/>
    <m/>
    <m/>
    <m/>
    <m/>
    <m/>
    <m/>
    <m/>
    <m/>
    <m/>
    <n v="0"/>
    <m/>
    <m/>
    <m/>
    <m/>
    <m/>
    <m/>
    <m/>
    <n v="60"/>
    <s v="DESDE LA NOTIFICACIÓN DE LA ENTREGA DEL ANTICIPO"/>
    <m/>
    <m/>
    <m/>
    <m/>
    <m/>
    <m/>
    <m/>
    <m/>
    <m/>
    <m/>
    <m/>
    <m/>
    <m/>
    <m/>
    <m/>
    <m/>
    <m/>
    <m/>
    <m/>
    <m/>
    <m/>
    <m/>
    <m/>
    <m/>
    <m/>
    <m/>
    <m/>
    <m/>
    <m/>
    <m/>
    <m/>
    <m/>
    <m/>
    <m/>
    <m/>
    <m/>
    <m/>
    <m/>
    <m/>
    <n v="0"/>
    <n v="0"/>
    <n v="0"/>
    <n v="0"/>
    <n v="0"/>
    <n v="0"/>
    <n v="0"/>
    <n v="0"/>
    <n v="1"/>
    <n v="1"/>
    <n v="1"/>
    <n v="1"/>
    <n v="1"/>
    <n v="1"/>
    <n v="1"/>
    <n v="1"/>
    <n v="1"/>
    <n v="1"/>
    <n v="1"/>
    <x v="0"/>
    <n v="1"/>
    <n v="1"/>
    <n v="1"/>
    <x v="0"/>
    <s v="si"/>
    <s v="si"/>
    <s v="si"/>
    <s v="si"/>
    <s v="si"/>
    <s v="si"/>
    <s v="si"/>
    <x v="0"/>
    <s v="si"/>
    <s v="si"/>
    <s v="si"/>
    <m/>
    <m/>
    <m/>
    <m/>
    <m/>
    <m/>
    <m/>
    <m/>
    <m/>
    <m/>
    <s v="NUEVO PROYECTO , FORMULARIO DE CONTROL DE CAMBIOS, SOLICITUD No.9 DEL 23.SEP.2016, PDTE ANALISIS FINANCIERO PARA FINANCIAMIENTO CON RECURSOS BID"/>
    <m/>
    <s v="AUTORIZADO MEDIANTE OFICIO Nro. MINFIN-SRF-2017-0216-O DE 17 DE MARZO DE 2017"/>
    <d v="2016-09-23T00:00:00"/>
  </r>
  <r>
    <x v="2"/>
    <s v="OBRAS"/>
    <x v="0"/>
    <s v="Proyectos de expansión y refuerzo en el Sistema Nacional de Distribución"/>
    <x v="0"/>
    <x v="0"/>
    <x v="0"/>
    <s v="SUCUMBIOS"/>
    <x v="88"/>
    <n v="11"/>
    <x v="0"/>
    <s v="BID2-RSND-CNELSUC-DI-OB-015"/>
    <s v="ELECTRIFICACIÓN DE COMUNIDAD BAVURUE KANKHE"/>
    <m/>
    <s v="LPN"/>
    <s v="ex-post"/>
    <s v="EJECUTADO BID"/>
    <s v="No.110-17"/>
    <s v="CONSTRUCCIONES Y SERVICIOS TOXPEL CÍA. LTDA."/>
    <s v="ECUATORIANA"/>
    <s v="PERSONA JURÍDICA"/>
    <n v="1691714841001"/>
    <s v="SR. CARLOS OROZCO"/>
    <m/>
    <s v="ING. LUIS LECHON"/>
    <m/>
    <m/>
    <n v="34554"/>
    <n v="0"/>
    <n v="34554"/>
    <n v="0"/>
    <n v="34554"/>
    <n v="0.12"/>
    <n v="4146.4799999999996"/>
    <n v="0"/>
    <n v="38700.480000000003"/>
    <n v="31787.68"/>
    <n v="2766.3199999999997"/>
    <m/>
    <m/>
    <n v="34554"/>
    <m/>
    <n v="32264.22"/>
    <n v="0.12"/>
    <n v="3871.7064"/>
    <n v="36135.926400000004"/>
    <m/>
    <m/>
    <m/>
    <n v="0"/>
    <m/>
    <s v="NO APLICA"/>
    <s v="NO APLICA"/>
    <m/>
    <m/>
    <m/>
    <m/>
    <m/>
    <m/>
    <m/>
    <s v="NO APLICA"/>
    <s v="NO APLICA"/>
    <s v="NO APLICA"/>
    <s v="NO APLICA"/>
    <s v="NO APLICA"/>
    <d v="2017-06-12T00:00:00"/>
    <d v="2017-06-25T00:00:00"/>
    <d v="2017-07-03T00:00:00"/>
    <d v="2017-07-12T00:00:00"/>
    <s v="NO APLICA"/>
    <d v="2017-07-19T00:00:00"/>
    <d v="2017-07-31T00:00:00"/>
    <s v="NO APLICA"/>
    <s v="NO APLICA"/>
    <s v="NO APLICA"/>
    <d v="2017-08-21T00:00:00"/>
    <m/>
    <m/>
    <d v="2017-09-08T00:00:00"/>
    <s v="NO APLICA"/>
    <s v="NO APLICA"/>
    <s v="NO APLICA"/>
    <m/>
    <m/>
    <m/>
    <m/>
    <m/>
    <m/>
    <m/>
    <m/>
    <m/>
    <m/>
    <m/>
    <m/>
    <m/>
    <m/>
    <m/>
    <m/>
    <n v="0"/>
    <m/>
    <m/>
    <m/>
    <m/>
    <m/>
    <m/>
    <m/>
    <m/>
    <s v="DESDE LA NOTIFICACIÓN DE LA ENTREGA DEL ANTICIPO"/>
    <m/>
    <m/>
    <m/>
    <m/>
    <m/>
    <m/>
    <m/>
    <m/>
    <m/>
    <m/>
    <m/>
    <m/>
    <m/>
    <m/>
    <m/>
    <m/>
    <m/>
    <m/>
    <m/>
    <m/>
    <m/>
    <m/>
    <m/>
    <m/>
    <m/>
    <m/>
    <m/>
    <m/>
    <n v="60"/>
    <s v="DESDE LA NOTIFICACIÓN DE LA ENTREGA DEL ANTICIPO"/>
    <m/>
    <m/>
    <m/>
    <m/>
    <m/>
    <m/>
    <m/>
    <m/>
    <m/>
    <m/>
    <m/>
    <m/>
    <m/>
    <m/>
    <m/>
    <m/>
    <m/>
    <m/>
    <m/>
    <m/>
    <m/>
    <m/>
    <m/>
    <m/>
    <m/>
    <m/>
    <m/>
    <m/>
    <m/>
    <m/>
    <m/>
    <m/>
    <m/>
    <m/>
    <m/>
    <m/>
    <m/>
    <m/>
    <m/>
    <m/>
    <m/>
    <n v="0"/>
    <n v="0"/>
    <n v="0"/>
    <n v="0"/>
    <n v="0"/>
    <n v="0"/>
    <n v="1"/>
    <n v="1"/>
    <n v="1"/>
    <n v="1"/>
    <n v="1"/>
    <n v="1"/>
    <n v="1"/>
    <n v="1"/>
    <n v="1"/>
    <n v="1"/>
    <n v="1"/>
    <x v="0"/>
    <n v="1"/>
    <n v="1"/>
    <n v="1"/>
    <x v="0"/>
    <s v="no"/>
    <s v="si"/>
    <s v="si"/>
    <s v="si"/>
    <s v="si"/>
    <s v="si"/>
    <s v="si"/>
    <x v="0"/>
    <s v="si"/>
    <s v="si"/>
    <s v="si"/>
    <m/>
    <m/>
    <m/>
    <m/>
    <m/>
    <m/>
    <m/>
    <m/>
    <m/>
    <m/>
    <m/>
    <m/>
    <s v="AUTORIZADO MEDIANTE OFICIO Nro. MINFIN-SRF-2017-0216-O DE 17 DE MARZO DE 2017"/>
    <d v="2016-09-23T00:00:00"/>
  </r>
  <r>
    <x v="2"/>
    <s v="OBRAS"/>
    <x v="0"/>
    <s v="Proyectos de expansión y refuerzo en el Sistema Nacional de Distribución"/>
    <x v="0"/>
    <x v="0"/>
    <x v="0"/>
    <s v="SUCUMBIOS"/>
    <x v="89"/>
    <n v="12"/>
    <x v="0"/>
    <s v="BID2-RSND-CNELSUC-DI-OB-016"/>
    <s v="ELECTRIFICACIÓN DE NUEVA ESPERANZA"/>
    <m/>
    <s v="LPN"/>
    <s v="ex-post"/>
    <s v="EJECUTADO BID"/>
    <s v="Nro. 113-17 "/>
    <s v="WILMER ALEXIS CHANGOLUISA GUALOTUÑA"/>
    <s v="ECUATORIANA"/>
    <s v="PERSONA NATURAL"/>
    <n v="1721772802001"/>
    <s v="ING. POLO FERNANDEZ"/>
    <m/>
    <s v="ING. JUAN CASTAÑEDA"/>
    <m/>
    <m/>
    <n v="27607.27"/>
    <n v="0"/>
    <n v="27607.27"/>
    <n v="0"/>
    <n v="27607.27"/>
    <n v="0.12"/>
    <n v="3312.8723999999997"/>
    <n v="0"/>
    <n v="30920.142400000004"/>
    <n v="25374.259999999995"/>
    <n v="2233.0100000000057"/>
    <m/>
    <m/>
    <n v="27607.27"/>
    <m/>
    <n v="26194.1"/>
    <n v="0.12"/>
    <n v="3143.2919999999999"/>
    <n v="29337.392"/>
    <m/>
    <m/>
    <m/>
    <m/>
    <m/>
    <m/>
    <m/>
    <m/>
    <m/>
    <m/>
    <m/>
    <m/>
    <n v="0"/>
    <m/>
    <s v="NO APLICA"/>
    <s v="NO APLICA"/>
    <s v="NO APLICA"/>
    <s v="NO APLICA"/>
    <s v="NO APLICA"/>
    <d v="2017-06-12T00:00:00"/>
    <d v="2017-06-25T00:00:00"/>
    <d v="2017-07-03T00:00:00"/>
    <d v="2017-07-12T00:00:00"/>
    <s v="NO APLICA"/>
    <d v="2017-07-19T00:00:00"/>
    <d v="2016-07-31T00:00:00"/>
    <s v="NO APLICA"/>
    <s v="NO APLICA"/>
    <s v="NO APLICA"/>
    <d v="2017-08-25T00:00:00"/>
    <m/>
    <m/>
    <d v="2017-09-29T00:00:00"/>
    <s v="NO APLICA"/>
    <s v="NO APLICA"/>
    <s v="NO APLICA"/>
    <m/>
    <m/>
    <m/>
    <m/>
    <m/>
    <m/>
    <m/>
    <m/>
    <m/>
    <m/>
    <m/>
    <m/>
    <m/>
    <m/>
    <m/>
    <m/>
    <m/>
    <m/>
    <m/>
    <m/>
    <m/>
    <m/>
    <m/>
    <m/>
    <m/>
    <s v="DESDE LA NOTIFICACIÓN DE LA ENTREGA DEL ANTICIPO"/>
    <m/>
    <m/>
    <m/>
    <m/>
    <m/>
    <m/>
    <m/>
    <m/>
    <m/>
    <m/>
    <m/>
    <m/>
    <m/>
    <m/>
    <m/>
    <m/>
    <m/>
    <m/>
    <m/>
    <m/>
    <n v="0"/>
    <m/>
    <m/>
    <m/>
    <m/>
    <m/>
    <m/>
    <m/>
    <n v="60"/>
    <s v="DESDE LA NOTIFICACIÓN DE LA ENTREGA DEL ANTICIPO"/>
    <m/>
    <m/>
    <m/>
    <m/>
    <m/>
    <m/>
    <m/>
    <m/>
    <m/>
    <m/>
    <m/>
    <m/>
    <m/>
    <m/>
    <m/>
    <m/>
    <m/>
    <m/>
    <m/>
    <m/>
    <m/>
    <m/>
    <m/>
    <m/>
    <m/>
    <m/>
    <m/>
    <m/>
    <m/>
    <m/>
    <m/>
    <m/>
    <m/>
    <m/>
    <m/>
    <m/>
    <m/>
    <m/>
    <m/>
    <n v="0"/>
    <n v="0"/>
    <n v="0"/>
    <n v="0"/>
    <n v="0"/>
    <n v="0"/>
    <n v="0"/>
    <n v="0"/>
    <n v="1"/>
    <n v="1"/>
    <n v="1"/>
    <n v="1"/>
    <n v="1"/>
    <n v="1"/>
    <n v="1"/>
    <n v="1"/>
    <n v="1"/>
    <n v="1"/>
    <n v="1"/>
    <x v="0"/>
    <n v="1"/>
    <n v="1"/>
    <n v="1"/>
    <x v="0"/>
    <s v="si"/>
    <s v="si"/>
    <s v="si"/>
    <s v="si"/>
    <s v="si"/>
    <s v="si"/>
    <s v="si"/>
    <x v="0"/>
    <s v="si"/>
    <s v="si"/>
    <s v="si"/>
    <m/>
    <m/>
    <m/>
    <m/>
    <m/>
    <m/>
    <m/>
    <m/>
    <m/>
    <m/>
    <s v="NUEVO PROYECTO , FORMULARIO DE CONTROL DE CAMBIOS, SOLICITUD No.9 DEL 23.SEP.2016, PDTE ANALISIS FINANCIERO PARA FINANCIAMIENTO CON RECURSOS BID"/>
    <m/>
    <s v="AUTORIZADO MEDIANTE OFICIO Nro. MINFIN-SRF-2017-0216-O DE 17 DE MARZO DE 2017"/>
    <d v="2016-09-23T00:00:00"/>
  </r>
  <r>
    <x v="19"/>
    <s v="OBRAS"/>
    <x v="0"/>
    <s v="Proyectos de expansión y refuerzo en el Sistema Nacional de Distribución"/>
    <x v="3"/>
    <x v="3"/>
    <x v="0"/>
    <s v="TUNGURAHUA"/>
    <x v="90"/>
    <n v="1"/>
    <x v="0"/>
    <s v="BID2-RSND-EEASA-ST-OB-001"/>
    <s v=" CONSTRUCCIÓN S/E BATÁN Y LÍNEA DE S/T ASOCIADA A 69 KV"/>
    <m/>
    <s v="LPN"/>
    <s v="ex-post"/>
    <s v="EJECUTADO BID"/>
    <s v="No.280-2015"/>
    <s v="ENSILECTRIC S.A."/>
    <s v="ECUATORIANA"/>
    <s v="PERSONA JURÍDICA"/>
    <n v="1792356342001"/>
    <m/>
    <m/>
    <s v="ING. FABIAN RUBIO CASTRO"/>
    <m/>
    <m/>
    <n v="2300000"/>
    <n v="0"/>
    <n v="2300000"/>
    <n v="92117.070000000298"/>
    <n v="2392117.0700000003"/>
    <n v="0.12"/>
    <n v="276000"/>
    <n v="11054.048400000036"/>
    <n v="2679171.1184000005"/>
    <n v="2392117.0700000003"/>
    <n v="0"/>
    <m/>
    <m/>
    <n v="2280437.4900000002"/>
    <m/>
    <n v="2198800.0099999998"/>
    <m/>
    <m/>
    <m/>
    <m/>
    <m/>
    <m/>
    <m/>
    <m/>
    <m/>
    <m/>
    <m/>
    <m/>
    <m/>
    <m/>
    <n v="101199.99000000022"/>
    <n v="101199.99000000022"/>
    <s v="DDL, IAO 21.1."/>
    <s v="NO APLICA"/>
    <s v="NO APLICA"/>
    <s v="NO APLICA"/>
    <s v="NO APLICA"/>
    <s v="NO APLICA"/>
    <d v="2015-09-08T00:00:00"/>
    <d v="2015-09-28T00:00:00"/>
    <d v="2015-10-02T00:00:00"/>
    <d v="2015-10-23T00:00:00"/>
    <s v="NO APLICA"/>
    <d v="2015-11-20T00:00:00"/>
    <d v="2015-11-25T00:00:00"/>
    <s v="NO APLICA"/>
    <s v="NO APLICA"/>
    <s v="NO APLICA"/>
    <d v="2016-12-10T00:00:00"/>
    <s v="NO APLICA"/>
    <s v="DATO PENDIENTE"/>
    <d v="2015-12-22T00:00:00"/>
    <s v="NO APLICA"/>
    <s v="NO APLICA"/>
    <s v="NO APLICA"/>
    <m/>
    <s v="ü"/>
    <m/>
    <m/>
    <m/>
    <m/>
    <m/>
    <m/>
    <m/>
    <m/>
    <m/>
    <m/>
    <m/>
    <s v="ü"/>
    <s v="NO APLICA"/>
    <s v="SI"/>
    <n v="0.05"/>
    <d v="2016-06-10T00:00:00"/>
    <n v="1099400"/>
    <s v="Pago2/10- Planilla 1-12.48%"/>
    <d v="2016-10-12T00:00:00"/>
    <n v="120402.59"/>
    <s v="Pago3/10- Planilla 2-14.71%"/>
    <d v="2016-11-30T00:00:00"/>
    <n v="41366.370000000003"/>
    <s v="Pago4/10- Planilla 3-17.22%"/>
    <d v="2017-01-30T00:00:00"/>
    <n v="27577.13"/>
    <s v="Pago5/10- Planilla 4 (Costos+Porcentaje)-20.06%"/>
    <d v="2017-02-01T00:00:00"/>
    <n v="62490.37"/>
    <m/>
    <m/>
    <m/>
    <m/>
    <m/>
    <m/>
    <m/>
    <m/>
    <m/>
    <m/>
    <m/>
    <m/>
    <m/>
    <m/>
    <m/>
    <n v="1351236.4600000002"/>
    <n v="474820.23"/>
    <n v="395784"/>
    <m/>
    <n v="67026.820000000007"/>
    <m/>
    <n v="2288867.5100000002"/>
    <n v="90067.500000000466"/>
    <n v="270"/>
    <s v="DESDE LA NOTIFICACIÓN DE LA ENTREGA DEL ANTICIPO"/>
    <d v="2016-06-11T00:00:00"/>
    <d v="2017-03-08T00:00:00"/>
    <m/>
    <m/>
    <m/>
    <m/>
    <m/>
    <m/>
    <m/>
    <m/>
    <m/>
    <m/>
    <m/>
    <m/>
    <m/>
    <m/>
    <m/>
    <m/>
    <m/>
    <m/>
    <m/>
    <m/>
    <m/>
    <m/>
    <m/>
    <m/>
    <m/>
    <m/>
    <m/>
    <m/>
    <m/>
    <n v="2.5000000000000001E-2"/>
    <n v="0.1"/>
    <n v="0.2"/>
    <n v="0.2"/>
    <n v="0.25"/>
    <n v="0.3"/>
    <n v="0.4"/>
    <n v="0.45"/>
    <n v="0.5"/>
    <n v="0.5"/>
    <n v="0.7"/>
    <n v="0.9"/>
    <n v="0.95"/>
    <n v="0.95"/>
    <n v="0.95"/>
    <n v="0.95"/>
    <n v="1"/>
    <n v="1"/>
    <n v="1"/>
    <n v="1"/>
    <n v="1"/>
    <n v="1"/>
    <n v="1"/>
    <n v="1"/>
    <n v="1"/>
    <n v="1"/>
    <n v="1"/>
    <x v="0"/>
    <n v="1"/>
    <n v="1"/>
    <n v="1"/>
    <x v="0"/>
    <s v="si"/>
    <s v="si"/>
    <s v="si"/>
    <s v="si"/>
    <s v="si"/>
    <s v="si"/>
    <s v="si"/>
    <x v="0"/>
    <s v="si"/>
    <s v="si"/>
    <s v="si"/>
    <m/>
    <m/>
    <m/>
    <m/>
    <s v="Sube mucho pago con devolución de fondos garantías."/>
    <m/>
    <m/>
    <m/>
    <m/>
    <m/>
    <m/>
    <m/>
    <m/>
    <m/>
  </r>
  <r>
    <x v="19"/>
    <s v="OBRAS"/>
    <x v="1"/>
    <s v="Mejoramiento de la eficiencia y fiabilidad de la red"/>
    <x v="5"/>
    <x v="5"/>
    <x v="0"/>
    <s v="TUNGURAHUA"/>
    <x v="91"/>
    <n v="2"/>
    <x v="0"/>
    <s v="BID2-RSND-EEASA-AU-OB-003"/>
    <s v="MODERNIZACIÓN DE LAS REDES ELÉCTRICAS DEL CENTRO DE LA CIUDAD DE BAÑOS"/>
    <m/>
    <s v="LPN"/>
    <s v="ex-post"/>
    <s v="EJECUTADO BID"/>
    <s v="No.026-2017"/>
    <s v="G&amp;S INGENIEROS CÍA. LTDA."/>
    <s v="ECUATORIANA"/>
    <s v="PERSONA JURÍDICA"/>
    <s v="0 591706306001"/>
    <s v="ING. CARLOS SOLIS INTRIAGO"/>
    <s v="DATO PENDIENTE "/>
    <s v="ING. IVÁN NARANJO PROAÑO "/>
    <s v="DATO PENDIENTE "/>
    <m/>
    <n v="312569"/>
    <n v="0"/>
    <n v="312569"/>
    <n v="0"/>
    <n v="312569"/>
    <n v="0.12"/>
    <n v="37508.28"/>
    <n v="0"/>
    <n v="350077.28"/>
    <n v="311343.48"/>
    <n v="1225.5200000000186"/>
    <m/>
    <m/>
    <n v="312569"/>
    <m/>
    <n v="281582.90000000002"/>
    <n v="0.14000000000000001"/>
    <n v="39421.606000000007"/>
    <n v="321004.50599999999"/>
    <m/>
    <m/>
    <m/>
    <m/>
    <m/>
    <m/>
    <m/>
    <m/>
    <m/>
    <m/>
    <m/>
    <n v="30986.099999999977"/>
    <n v="30986.099999999977"/>
    <s v="DDL, IAO 21.1."/>
    <s v="NO APLICA"/>
    <s v="NO APLICA"/>
    <s v="NO APLICA"/>
    <s v="NO APLICA"/>
    <s v="NO APLICA"/>
    <d v="2016-12-07T00:00:00"/>
    <d v="2016-12-13T00:00:00"/>
    <d v="2016-12-21T00:00:00"/>
    <d v="2016-12-27T00:00:00"/>
    <s v="NO APLICA"/>
    <d v="2017-01-11T00:00:00"/>
    <d v="2017-01-13T00:00:00"/>
    <s v="NO APLICA"/>
    <s v="NO APLICA"/>
    <s v="NO APLICA"/>
    <d v="2016-01-20T00:00:00"/>
    <s v="NO APLICA"/>
    <d v="2016-01-24T00:00:00"/>
    <d v="2017-02-06T00:00:00"/>
    <s v="NO APLICA"/>
    <s v="NO APLICA"/>
    <s v="NO APLICA"/>
    <m/>
    <s v="ü"/>
    <m/>
    <m/>
    <m/>
    <m/>
    <m/>
    <m/>
    <m/>
    <m/>
    <m/>
    <m/>
    <m/>
    <s v="ü"/>
    <s v="NO APLICA"/>
    <s v="NO APLICA"/>
    <s v="NO APLICA"/>
    <d v="2017-02-09T00:00:00"/>
    <n v="140791.45000000001"/>
    <m/>
    <m/>
    <m/>
    <m/>
    <m/>
    <m/>
    <m/>
    <m/>
    <m/>
    <m/>
    <m/>
    <m/>
    <m/>
    <m/>
    <m/>
    <m/>
    <m/>
    <m/>
    <m/>
    <m/>
    <m/>
    <m/>
    <m/>
    <m/>
    <m/>
    <m/>
    <m/>
    <n v="140791.45000000001"/>
    <m/>
    <m/>
    <m/>
    <m/>
    <m/>
    <n v="140791.45000000001"/>
    <n v="-140791.45000000001"/>
    <n v="180"/>
    <s v="DESDE LA NOTIFICACIÓN DE LA ENTREGA DEL ANTICIPO"/>
    <d v="2017-02-10T00:00:00"/>
    <d v="2017-08-09T00:00:00"/>
    <m/>
    <m/>
    <m/>
    <m/>
    <m/>
    <m/>
    <m/>
    <m/>
    <m/>
    <m/>
    <m/>
    <m/>
    <m/>
    <m/>
    <m/>
    <m/>
    <m/>
    <m/>
    <m/>
    <m/>
    <m/>
    <m/>
    <m/>
    <m/>
    <m/>
    <m/>
    <m/>
    <m/>
    <m/>
    <m/>
    <m/>
    <m/>
    <m/>
    <m/>
    <n v="0"/>
    <n v="0"/>
    <n v="0.1"/>
    <n v="0.4"/>
    <n v="0.4"/>
    <n v="0.7"/>
    <n v="0.98"/>
    <n v="0.99"/>
    <n v="1"/>
    <n v="1"/>
    <n v="1"/>
    <n v="1"/>
    <n v="1"/>
    <n v="1"/>
    <n v="1"/>
    <n v="1"/>
    <n v="1"/>
    <n v="1"/>
    <n v="1"/>
    <n v="1"/>
    <n v="1"/>
    <n v="1"/>
    <x v="0"/>
    <n v="1"/>
    <n v="1"/>
    <n v="1"/>
    <x v="0"/>
    <s v="si"/>
    <s v="si"/>
    <s v="si"/>
    <s v="si"/>
    <s v="si"/>
    <s v="si"/>
    <s v="si"/>
    <x v="0"/>
    <s v="si"/>
    <s v="si"/>
    <s v="si"/>
    <m/>
    <m/>
    <m/>
    <m/>
    <m/>
    <m/>
    <m/>
    <m/>
    <m/>
    <m/>
    <s v="REAPERTURA DEL PROCESOBID2-RSND-EEASA-AU-OB-002, FORMULARIO DE CONTROL DE CAMBIOS, SOLICITUD No.2 DEL 28.NOV.2016"/>
    <m/>
    <m/>
    <d v="2016-06-10T00:00:00"/>
  </r>
  <r>
    <x v="3"/>
    <s v="OBRAS"/>
    <x v="0"/>
    <s v="Proyectos de expansión y refuerzo en el Sistema Nacional de Distribución"/>
    <x v="3"/>
    <x v="3"/>
    <x v="0"/>
    <s v="CAÑAR"/>
    <x v="92"/>
    <n v="2"/>
    <x v="0"/>
    <s v="BID2-RSND-EEAZ-ST-OB-001"/>
    <s v="CONCLUSIÓN INTEGRACIÓN DE LOS SISTEMAS DE SUBTRANSMISIÓN DE LAS EMPRESAS AZOGUES - CENTRO SUR - CELEC EP HIDROAZOGUEZ"/>
    <m/>
    <s v="LPN"/>
    <s v="ex-post"/>
    <s v="CONTRATADO"/>
    <s v="BID2-RSND-EEAZ-ST-OB-001"/>
    <s v="JOP INGENIERIA ELECTRICA CÍA. LTDA."/>
    <s v="ECUATORIANA"/>
    <s v="PERSONA JURÍDICA"/>
    <s v="0 190352757001"/>
    <s v="DATO PENDIENTE "/>
    <s v="DATO PENDIENTE "/>
    <s v="ING. CRISTIAN PÉREZ "/>
    <s v="TELF:(07) 2240-377    EXT. 146            CEL: 0987-214-812"/>
    <m/>
    <n v="741752.03"/>
    <n v="0"/>
    <n v="741752.03"/>
    <n v="0"/>
    <n v="741752.03"/>
    <n v="0.12"/>
    <n v="89010.243600000002"/>
    <n v="0"/>
    <n v="830762.27360000007"/>
    <m/>
    <m/>
    <m/>
    <m/>
    <n v="741752.03"/>
    <m/>
    <n v="701945.62"/>
    <n v="0.14000000000000001"/>
    <n v="98272.386800000007"/>
    <n v="800218.00679999997"/>
    <m/>
    <m/>
    <m/>
    <m/>
    <m/>
    <m/>
    <s v="VER CORREO DEL 15 DE FEBRERO DE 2017 REMITIDO POR MARCELO CARDENAS"/>
    <s v="2.76%"/>
    <n v="19364"/>
    <n v="2710.96"/>
    <m/>
    <n v="39806.410000000033"/>
    <n v="20442.410000000033"/>
    <s v="DDL, IAO 21.1."/>
    <s v="NO APLICA"/>
    <s v="NO APLICA"/>
    <s v="NO APLICA"/>
    <s v="NO APLICA"/>
    <s v="NO APLICA"/>
    <d v="2015-10-02T00:00:00"/>
    <d v="2015-11-06T00:00:00"/>
    <d v="2015-11-11T00:00:00"/>
    <d v="2015-11-16T00:00:00"/>
    <s v="NO APLICA"/>
    <d v="2015-11-24T00:00:00"/>
    <d v="2015-11-27T00:00:00"/>
    <s v="NO APLICA"/>
    <s v="NO APLICA"/>
    <s v="NO APLICA"/>
    <d v="2015-12-09T00:00:00"/>
    <s v="NO APLICA"/>
    <s v="DATO PENDIENTE"/>
    <d v="2016-06-16T00:00:00"/>
    <s v="NO APLICA"/>
    <s v="NO APLICA"/>
    <s v="NO APLICA"/>
    <m/>
    <s v="ü"/>
    <m/>
    <m/>
    <m/>
    <m/>
    <m/>
    <m/>
    <m/>
    <m/>
    <m/>
    <m/>
    <m/>
    <s v="ü"/>
    <s v="NO APLICA"/>
    <s v="SI"/>
    <n v="0.05"/>
    <d v="2016-06-30T00:00:00"/>
    <n v="350972.81"/>
    <s v="PRIMERA ENMIENDA CONTRATO BID II-RSND-EEAZ-ST-OB-001 (No 2017-03-20-035-AJ), Pago 1/4 Anticipo - 50%"/>
    <d v="2017-05-04T00:00:00"/>
    <n v="9682"/>
    <m/>
    <m/>
    <m/>
    <m/>
    <m/>
    <m/>
    <m/>
    <m/>
    <m/>
    <m/>
    <m/>
    <m/>
    <m/>
    <m/>
    <m/>
    <m/>
    <m/>
    <m/>
    <m/>
    <m/>
    <m/>
    <m/>
    <m/>
    <m/>
    <n v="360654.81"/>
    <m/>
    <m/>
    <m/>
    <m/>
    <m/>
    <m/>
    <m/>
    <n v="180"/>
    <s v="DESDE LA NOTIFICACIÓN DE LA ENTREGA DEL ANTICIPO"/>
    <d v="2016-07-01T00:00:00"/>
    <d v="2016-12-28T00:00:00"/>
    <m/>
    <m/>
    <m/>
    <m/>
    <m/>
    <m/>
    <m/>
    <m/>
    <m/>
    <m/>
    <m/>
    <m/>
    <m/>
    <m/>
    <m/>
    <m/>
    <m/>
    <m/>
    <m/>
    <m/>
    <m/>
    <m/>
    <m/>
    <m/>
    <m/>
    <m/>
    <m/>
    <m/>
    <m/>
    <m/>
    <m/>
    <m/>
    <m/>
    <m/>
    <m/>
    <m/>
    <n v="0.17499999999999999"/>
    <n v="0.17499999999999999"/>
    <n v="0.17499999999999999"/>
    <n v="0.17499999999999999"/>
    <n v="0.2"/>
    <n v="0.2"/>
    <n v="0.44"/>
    <n v="0.44"/>
    <n v="0.65"/>
    <n v="0.65"/>
    <n v="0.65"/>
    <n v="0.65"/>
    <n v="0.65"/>
    <n v="0.65"/>
    <n v="0.65"/>
    <n v="0.65"/>
    <n v="0.65"/>
    <n v="0.65"/>
    <n v="0.65"/>
    <n v="0.65"/>
    <x v="6"/>
    <n v="0.65"/>
    <n v="0.75"/>
    <n v="0.8"/>
    <x v="4"/>
    <s v="no"/>
    <s v="no"/>
    <s v="no"/>
    <s v="no"/>
    <s v="no"/>
    <s v="no"/>
    <s v="no"/>
    <x v="1"/>
    <s v="no"/>
    <s v="no"/>
    <s v="no"/>
    <s v="Se realizaron acuerdos con la Centrosur para en Octubre 2018 concluir la obra."/>
    <m/>
    <m/>
    <s v="La obra se encuentra suspendida y el contrato no ha sido liquidado debido a la falta de autorización y legalización del esquema de distibución de pérdidas técnicas acordado por las Empresas Eléctricas Azogues y Centro Sur. Se han realizado las gestiones correspondientes ante el ARCONEL. Como acción pertinente para continuar con el proceso de integración se gestiona de parte de los representantes administrativos la autorización por parte del ARCONEL._x000a_Adicional a la observación correspondiente a la distribución de pérdidas, es necesario aclarar que dentro de la ejecución del contrato se estableció y aprobó la necesidad de reemplazar la fibra ADSS por fibra óptica OPGW, de igual manera se realizó la repotenciación de la línea de subtransmisión. Para cumplir los dos aspectos señalados fue necesaria la suscripción de dos enmiendas modificatorias al contrato inicial."/>
    <s v="La obra se encuentra suspendida y el contrato no ha sido liquidado debido a la falta de autorización y legalización del esquema de distibución de pérdidas técnicas acordado por las Empresas Eléctricas Azogues y Centro Sur. Se han realizado las gestiones correspondientes ante el ARCONEL. Como acción pertinente para continuar con el proceso de integración se gestiona de parte de los representantes administrativos la autorización por parte del ARCONEL._x000a_Adicional a la observación correspondiente a la distribución de pérdidas, es necesario aclarar que dentro de la ejecución del contrato se estableció y aprobó la necesidad de reemplazar la fibra ADSS por fibra óptica OPGW, de igual manera se realizó la repotenciación de la línea de subtransmisión. Para cumplir los dos aspectos señalados fue necesaria la suscripción de dos enmiendas modificatorias al contrato inicial."/>
    <m/>
    <m/>
    <m/>
    <s v="Se coordinan acciones con la Empresa Centrosur para lograr la integración operativa entre las dos empresas.  Se indica que debe concluir máximo el 30 de septiembre"/>
    <s v="El 3 de septiembre la EEAZ remite un oficio a Centrosur, pidiendo se concluya la obra hasta el 30 de Septiembre de 2019."/>
    <s v="SEGÚN CORREO DEL ING. MARCELO CÁRDENAS, DE FECHA 31 DE MARZO DE 2017, EL CONTRATO SE ENCUENTRA SUSPENDIDO PORQUE EXISTE LA NECESIDAD DE SUSCRIBIR UN CONTRATO MODIFICATORIO, POR EL CAMBIO DEL TIPO DE FIBRA ÓPTICA ADSS a OPGW, DEBIDO A QUE CAMBIARON LAS CONDICIONES OPERATIVAS Y DE SUMINISTRO PARA LA SUBESTACIÓN AZOGUES 1 Y GUAPAN, POR TANTO NO SE PODRÁ SUSPENDER EL SERVICIO ELÉCTRICO DE LA LÍNEA S/E CUENCA - S/E AZOGUES 1."/>
    <m/>
    <m/>
    <m/>
  </r>
  <r>
    <x v="3"/>
    <s v="OBRAS"/>
    <x v="0"/>
    <s v="Proyectos de expansión y refuerzo en el Sistema Nacional de Distribución"/>
    <x v="3"/>
    <x v="3"/>
    <x v="1"/>
    <s v="CAÑAR"/>
    <x v="93"/>
    <n v="3"/>
    <x v="0"/>
    <s v="BID2-RSND-EEAZ-ST-OB-002"/>
    <s v=" POSICION DE LÍNEA PARA S/E GUAPAN UCEM EN LA S/E AZOGUES 1"/>
    <m/>
    <s v="LPN"/>
    <s v="ex-post"/>
    <s v="CONTRATADO"/>
    <s v="BID2-RSND-EEAZ-ST-OB-002"/>
    <s v="JOP INGENIERIA ELECTRICA CÍA. LTDA."/>
    <s v="ECUATORIANA"/>
    <s v="PERSONA JURÍDICA"/>
    <s v="0 190352757001"/>
    <s v="DATO PENDIENTE "/>
    <s v="DATO PENDIENTE "/>
    <s v="ING. RAÚL CÓRDOVA CALLE"/>
    <s v="TELF: (07)  2240-377      EXT. 135         CEL.  0998-041-880"/>
    <m/>
    <n v="226099.6"/>
    <n v="0"/>
    <n v="226099.59821428568"/>
    <n v="0"/>
    <n v="226099.59821428568"/>
    <n v="0.12"/>
    <n v="27131.951785714282"/>
    <n v="0"/>
    <n v="253231.55"/>
    <m/>
    <m/>
    <m/>
    <m/>
    <n v="226099.59821428568"/>
    <m/>
    <n v="230063.78"/>
    <n v="0.14000000000000001"/>
    <n v="32208.929200000002"/>
    <n v="262272.70919999998"/>
    <m/>
    <m/>
    <m/>
    <m/>
    <m/>
    <m/>
    <m/>
    <m/>
    <m/>
    <m/>
    <m/>
    <n v="-3964.179999999993"/>
    <n v="-3964.179999999993"/>
    <s v="DDL, IAO 21.1."/>
    <s v="NO APLICA"/>
    <s v="NO APLICA"/>
    <s v="NO APLICA"/>
    <s v="NO APLICA"/>
    <s v="NO APLICA"/>
    <d v="2015-10-02T00:00:00"/>
    <d v="2015-10-22T00:00:00"/>
    <d v="2015-10-30T00:00:00"/>
    <d v="2015-11-16T00:00:00"/>
    <s v="NO APLICA"/>
    <d v="2015-11-24T00:00:00"/>
    <d v="2015-11-26T00:00:00"/>
    <s v="NO APLICA"/>
    <s v="NO APLICA"/>
    <s v="NO APLICA"/>
    <d v="2016-07-21T00:00:00"/>
    <s v="NO APLICA"/>
    <s v="DATO PENDIENTE"/>
    <d v="2016-07-19T00:00:00"/>
    <s v="NO APLICA"/>
    <s v="NO APLICA"/>
    <s v="NO APLICA"/>
    <m/>
    <s v="ü"/>
    <m/>
    <m/>
    <m/>
    <m/>
    <m/>
    <m/>
    <m/>
    <m/>
    <m/>
    <m/>
    <m/>
    <s v="ü"/>
    <s v="NO APLICA"/>
    <s v="SI"/>
    <n v="0.05"/>
    <d v="2016-08-22T00:00:00"/>
    <n v="115031.89"/>
    <m/>
    <m/>
    <m/>
    <m/>
    <m/>
    <m/>
    <m/>
    <m/>
    <m/>
    <m/>
    <m/>
    <m/>
    <m/>
    <m/>
    <m/>
    <m/>
    <m/>
    <m/>
    <m/>
    <m/>
    <m/>
    <m/>
    <m/>
    <m/>
    <m/>
    <m/>
    <m/>
    <n v="115031.89"/>
    <m/>
    <m/>
    <m/>
    <m/>
    <m/>
    <m/>
    <m/>
    <n v="270"/>
    <s v="DESDE LA NOTIFICACIÓN DE LA ENTREGA DEL ANTICIPO"/>
    <d v="2016-08-23T00:00:00"/>
    <d v="2017-05-20T00:00:00"/>
    <m/>
    <m/>
    <m/>
    <m/>
    <m/>
    <m/>
    <m/>
    <m/>
    <m/>
    <m/>
    <m/>
    <m/>
    <m/>
    <m/>
    <m/>
    <m/>
    <m/>
    <m/>
    <m/>
    <m/>
    <m/>
    <m/>
    <m/>
    <m/>
    <m/>
    <m/>
    <m/>
    <m/>
    <m/>
    <m/>
    <m/>
    <m/>
    <m/>
    <m/>
    <m/>
    <m/>
    <n v="0.17499999999999999"/>
    <n v="0.17499999999999999"/>
    <n v="0.17499999999999999"/>
    <n v="0.17499999999999999"/>
    <n v="0.2"/>
    <n v="0.2"/>
    <n v="0.4"/>
    <n v="0.4"/>
    <n v="0.4"/>
    <n v="0.4"/>
    <n v="0.4"/>
    <n v="0.4"/>
    <n v="0.4"/>
    <n v="0.44"/>
    <n v="0.44"/>
    <n v="0.44"/>
    <n v="0.44"/>
    <n v="0.44"/>
    <n v="0.44"/>
    <n v="0.44"/>
    <x v="5"/>
    <n v="0.98"/>
    <n v="1"/>
    <n v="1"/>
    <x v="0"/>
    <s v="no"/>
    <s v="no"/>
    <s v="no"/>
    <s v="no"/>
    <s v="no"/>
    <s v="no"/>
    <s v="no"/>
    <x v="1"/>
    <s v="no"/>
    <s v="no"/>
    <s v="no"/>
    <s v="Se realizaron acuerdos con la Centrosur para en Octubre 2018 concluir la obra"/>
    <m/>
    <m/>
    <s v="En la ejecución del contrato, y de acuerdo al cronograma establecido para este fin, se contemplaba el suministro e instalación del equipo GIS 69KV, mismo que debía ser entregado en las bodegas de la Contratante el 23 de octubre de 2018; ante esta condición particular de incumplimiento debo informar que el Contratista ha puesto en conocimineto de la Contratante que los problemas se deben a un incumplimiento por parte del proveedor,  por lo cual se están tomando las acciones legales correspondientes entre el proveedor y el Contratista. El plazo de ejecución del contrato de acuerdo al cronograma de actividades es el 15 de noviembre del año en curso."/>
    <s v="En la ejecución del contrato, y de acuerdo al cronograma establecido para este fin, se contemplaba el suministro e instalación del equipo GIS 69KV, mismo que debía ser entregado en las bodegas de la Contratante el 23 de octubre de 2018; ante esta condición particular de incumplimiento debo informar que el Contratista ha puesto en conocimineto de la Contratante que los problemas se deben a un incumplimiento por parte del proveedor,  por lo cual se están tomando las acciones legales correspondientes entre el proveedor y el Contratista. El plazo de ejecución del contrato de acuerdo al cronograma de actividades es el 15 de noviembre del año en curso."/>
    <m/>
    <s v="Se solucionn problemas con CENTROSUR. Se presenta cronograma de trabajo. Obra finaliza a mediados de Octubre de 2019."/>
    <m/>
    <m/>
    <m/>
    <s v="SEGÚN CORREO DEL ING. MARCELO CÁRDENAS, DE FECHA 31 DE MARZO DE 2017, EL CONTRATO SE ENCUENTRA SUSPENDIDO, PARA LLEGAR A ACUERDOS DE LAS ESPECIFICACIONES TÉCNICAS DE LOS EQUIPOS A SUMINISTRARSE"/>
    <m/>
    <m/>
    <m/>
  </r>
  <r>
    <x v="4"/>
    <s v="OBRAS"/>
    <x v="0"/>
    <s v="Proyectos de expansión y refuerzo en el Sistema Nacional de Distribución"/>
    <x v="0"/>
    <x v="0"/>
    <x v="0"/>
    <s v="COTOPAXI"/>
    <x v="94"/>
    <n v="2"/>
    <x v="0"/>
    <s v="BID2-RSND-ELEPCO-DI-OB-003"/>
    <s v="REFORZAMIENTO DE REDES CALLE 19 DE MAYO (LA MANÁ)"/>
    <m/>
    <s v="LPN"/>
    <s v="ex-post"/>
    <s v="EJECUTADO BID"/>
    <s v="No. 078/2015 (P)"/>
    <s v="IMHOTEPCON CÍA. LTDA."/>
    <s v="ECUATORIANA"/>
    <s v="PERSONA JURÍDICA"/>
    <n v="179217958001"/>
    <m/>
    <m/>
    <s v="ING. FERNANDO CULQUI "/>
    <s v="DATO PENDIENTE"/>
    <m/>
    <n v="1191735.45"/>
    <n v="0"/>
    <n v="1191735.45"/>
    <n v="0"/>
    <n v="1191735.45"/>
    <n v="0.12"/>
    <n v="143008.25399999999"/>
    <n v="0"/>
    <n v="1334743.7040000001"/>
    <n v="1100459.58"/>
    <n v="91275.869999999879"/>
    <m/>
    <m/>
    <n v="1191735.45"/>
    <m/>
    <n v="1132043.6000000001"/>
    <m/>
    <m/>
    <m/>
    <m/>
    <m/>
    <m/>
    <m/>
    <m/>
    <m/>
    <m/>
    <m/>
    <m/>
    <m/>
    <m/>
    <n v="59691.84999999986"/>
    <n v="59691.84999999986"/>
    <s v="DDL, IAO 21.1."/>
    <s v="NO APLICA"/>
    <s v="NO APLICA"/>
    <s v="NO APLICA"/>
    <s v="NO APLICA"/>
    <s v="NO APLICA"/>
    <d v="2015-08-17T00:00:00"/>
    <d v="2015-08-21T00:00:00"/>
    <d v="2015-08-26T00:00:00"/>
    <d v="2015-09-16T00:00:00"/>
    <m/>
    <d v="2015-10-12T00:00:00"/>
    <d v="2015-10-20T00:00:00"/>
    <s v="NO APLICA"/>
    <s v="NO APLICA"/>
    <s v="NO APLICA"/>
    <s v="DATO PENDIENTE"/>
    <s v="NO APLICA"/>
    <s v="DATO PENDIENTE"/>
    <d v="2015-12-16T00:00:00"/>
    <s v="NO APLICA"/>
    <s v="NO APLICA"/>
    <s v="NO APLICA"/>
    <s v="ü"/>
    <s v="ü"/>
    <s v="NO ESTA PUBLICADO"/>
    <s v="ü"/>
    <s v="ü"/>
    <s v="NO ESTA PUBLICADO"/>
    <s v="NO ESTA PUBLICADO"/>
    <s v="NO ESTA PUBLICADO"/>
    <s v="NO ESTA PUBLICADO"/>
    <s v="NO SE ABRE EL ARCHIVO"/>
    <s v="NO ESTA PUBLICADO"/>
    <m/>
    <s v="NO ESTA PUBLICADO"/>
    <s v="ü"/>
    <s v="NO APLICA"/>
    <s v="SI"/>
    <n v="0.05"/>
    <d v="2016-03-29T00:00:00"/>
    <n v="566021.80000000005"/>
    <s v="PAGO 2/4 - 20%  PLANILLA 1 CONTRATO 78/2015"/>
    <d v="2016-09-16T00:00:00"/>
    <n v="226408.72"/>
    <s v="PAGO 3/4 - 20%  PLANILLA 2 AVANCE OBRA 70%"/>
    <d v="2016-11-07T00:00:00"/>
    <n v="226408.72"/>
    <s v="PAGO 4/4 - LIQUIDACION"/>
    <d v="2016-12-29T00:00:00"/>
    <n v="81620.340000000011"/>
    <m/>
    <m/>
    <m/>
    <m/>
    <m/>
    <m/>
    <m/>
    <m/>
    <m/>
    <m/>
    <m/>
    <m/>
    <m/>
    <m/>
    <m/>
    <m/>
    <m/>
    <m/>
    <n v="1100459.58"/>
    <m/>
    <m/>
    <m/>
    <m/>
    <m/>
    <m/>
    <m/>
    <n v="180"/>
    <s v="DESDE LA NOTIFICACIÓN DE LA ENTREGA DEL ANTICIPO"/>
    <d v="2016-03-30T00:00:00"/>
    <d v="2016-09-26T00:00:00"/>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s v="CONTRATO EN PROCESO DE LIQUIDACIÓN"/>
    <m/>
    <m/>
    <m/>
  </r>
  <r>
    <x v="4"/>
    <s v="OBRAS"/>
    <x v="1"/>
    <s v="Mejoramiento de la eficiencia y fiabilidad de la red"/>
    <x v="6"/>
    <x v="6"/>
    <x v="0"/>
    <s v="COTOPAXI"/>
    <x v="95"/>
    <n v="3"/>
    <x v="0"/>
    <s v="BID2-RSND-ELEPCO-AU-ST-OB-003"/>
    <s v="CONSTRUCCIÓN DE LOS PROYECTOS DE MEJORAMIENTO DE LA SUBESTACION EL CALVARIO Y CENTRO DE CONTROL"/>
    <s v="LOTE 1: IMPLEMENTACIÓN DATA CENTER, CENTRO DE CONTROL Y TELECOMUNICACIÓN PARA SCADA"/>
    <s v="LPN"/>
    <s v="ex-post"/>
    <s v="EN PROCESO CON PLIEGOS Y CERTIFICACIÓN"/>
    <m/>
    <m/>
    <m/>
    <m/>
    <m/>
    <m/>
    <m/>
    <m/>
    <m/>
    <m/>
    <n v="173854.77"/>
    <n v="0"/>
    <n v="173854.77"/>
    <n v="84260.69"/>
    <n v="258115.46"/>
    <n v="0.12"/>
    <n v="20862.572399999997"/>
    <n v="10111.282799999999"/>
    <n v="289089.31520000001"/>
    <m/>
    <m/>
    <m/>
    <m/>
    <n v="258115.46"/>
    <m/>
    <m/>
    <m/>
    <m/>
    <m/>
    <m/>
    <m/>
    <m/>
    <m/>
    <m/>
    <m/>
    <m/>
    <m/>
    <m/>
    <m/>
    <m/>
    <m/>
    <n v="0"/>
    <m/>
    <s v="NO APLICA"/>
    <s v="NO APLICA"/>
    <s v="NO APLICA"/>
    <s v="NO APLICA"/>
    <s v="NO APLICA"/>
    <d v="2019-07-11T00:00:00"/>
    <m/>
    <m/>
    <m/>
    <m/>
    <m/>
    <m/>
    <m/>
    <m/>
    <m/>
    <d v="2019-09-04T00:00:00"/>
    <m/>
    <m/>
    <m/>
    <s v="NO APLICA"/>
    <s v="NO APLICA"/>
    <s v="NO APLICA"/>
    <m/>
    <m/>
    <m/>
    <m/>
    <m/>
    <m/>
    <m/>
    <m/>
    <m/>
    <m/>
    <m/>
    <m/>
    <m/>
    <m/>
    <m/>
    <m/>
    <m/>
    <m/>
    <m/>
    <m/>
    <m/>
    <m/>
    <m/>
    <m/>
    <m/>
    <m/>
    <m/>
    <m/>
    <m/>
    <m/>
    <m/>
    <m/>
    <m/>
    <m/>
    <m/>
    <m/>
    <m/>
    <m/>
    <m/>
    <m/>
    <m/>
    <m/>
    <m/>
    <m/>
    <m/>
    <m/>
    <n v="0"/>
    <m/>
    <m/>
    <m/>
    <m/>
    <m/>
    <m/>
    <m/>
    <n v="90"/>
    <s v="DESDE LA NOTIFICACIÓN DE LA ENTREGA DEL ANTICIPO"/>
    <m/>
    <m/>
    <m/>
    <m/>
    <m/>
    <m/>
    <m/>
    <m/>
    <m/>
    <m/>
    <m/>
    <m/>
    <m/>
    <m/>
    <m/>
    <m/>
    <m/>
    <m/>
    <m/>
    <m/>
    <m/>
    <m/>
    <m/>
    <m/>
    <m/>
    <m/>
    <m/>
    <m/>
    <m/>
    <m/>
    <m/>
    <m/>
    <m/>
    <m/>
    <m/>
    <m/>
    <m/>
    <m/>
    <m/>
    <n v="0"/>
    <n v="0"/>
    <n v="0"/>
    <n v="0"/>
    <n v="0"/>
    <n v="0"/>
    <n v="0"/>
    <n v="0"/>
    <n v="0"/>
    <n v="0"/>
    <n v="0"/>
    <n v="0"/>
    <n v="0"/>
    <n v="0"/>
    <n v="0"/>
    <n v="0"/>
    <n v="0"/>
    <n v="0"/>
    <n v="0"/>
    <x v="2"/>
    <n v="0"/>
    <n v="0"/>
    <n v="0"/>
    <x v="1"/>
    <s v="no"/>
    <s v="no"/>
    <s v="no"/>
    <s v="no"/>
    <s v="no"/>
    <s v="no"/>
    <s v="no"/>
    <x v="1"/>
    <s v="no"/>
    <s v="no"/>
    <s v="no"/>
    <s v="En trámites de contratación. Finalización prevista para marzo de 2019."/>
    <m/>
    <m/>
    <m/>
    <m/>
    <m/>
    <m/>
    <m/>
    <m/>
    <m/>
    <s v="REFORMA Oficio Nro.ELEPCOSA-PE-2018-01214-O del 07 de noviembre de 2018. RESPUESTA Oficio Nro.MERNNR-DEGTODEE-2018-0011-OF del 19 de noviembre de 2018"/>
    <m/>
    <m/>
    <m/>
  </r>
  <r>
    <x v="4"/>
    <s v="OBRAS"/>
    <x v="0"/>
    <s v="Proyectos de expansión y refuerzo en el Sistema Nacional de Distribución"/>
    <x v="3"/>
    <x v="3"/>
    <x v="0"/>
    <s v="COTOPAXI"/>
    <x v="96"/>
    <n v="4"/>
    <x v="0"/>
    <s v="BID2-RSND-ELEPCO-ST-OB-002"/>
    <s v="CAMBIO DE RELÉS  PARA LAS SUBESTACIONES LA MANA, LA COCHA, SALCEDO, SAN RAFAEL, SIGCHOS Y EL CALVARIO"/>
    <m/>
    <s v="LPN"/>
    <s v="ex-post"/>
    <s v="EJECUTADO BID"/>
    <s v="No. 056/2016 (P)"/>
    <s v="MACRONIVEL S.A"/>
    <s v="ECUATORIANA"/>
    <s v="PERSONA JURÍDICA"/>
    <s v="0992715723001"/>
    <s v="DATO PENDIENTE "/>
    <s v="DATO PENDIENTE "/>
    <s v="NO SE INDICA EN LA CGC 1.1. (u)"/>
    <s v="DATO PENDIENTE"/>
    <m/>
    <n v="84000"/>
    <n v="0"/>
    <n v="84000"/>
    <n v="0"/>
    <n v="84000"/>
    <n v="0.12"/>
    <n v="10080"/>
    <n v="0"/>
    <n v="94080.000000000015"/>
    <n v="83000"/>
    <n v="1000"/>
    <m/>
    <m/>
    <n v="84000"/>
    <m/>
    <n v="83000"/>
    <m/>
    <m/>
    <m/>
    <m/>
    <m/>
    <m/>
    <m/>
    <m/>
    <m/>
    <m/>
    <m/>
    <m/>
    <m/>
    <m/>
    <n v="1000"/>
    <n v="1000"/>
    <s v="DDL IAO 20.2 ( c )"/>
    <s v="NO APLICA"/>
    <s v="NO APLICA"/>
    <s v="NO APLICA"/>
    <s v="NO APLICA"/>
    <s v="NO APLICA"/>
    <m/>
    <m/>
    <m/>
    <d v="2015-09-16T00:00:00"/>
    <m/>
    <m/>
    <m/>
    <s v="NO APLICA"/>
    <s v="NO APLICA"/>
    <s v="NO APLICA"/>
    <m/>
    <s v="NO APLICA"/>
    <d v="2016-06-14T00:00:00"/>
    <d v="2016-07-13T00:00:00"/>
    <s v="NO APLICA"/>
    <s v="NO APLICA"/>
    <s v="NO APLICA"/>
    <s v="NO ESTA PUBLICADO"/>
    <s v="ü"/>
    <s v="NO ESTA PUBLICADO"/>
    <s v="NO ESTA PUBLICADO"/>
    <s v="NO ESTA PUBLICADO"/>
    <s v="NO ESTA PUBLICADO"/>
    <s v="NO ESTA PUBLICADO"/>
    <s v="NO ESTA PUBLICADO"/>
    <s v="NO ESTA PUBLICADO"/>
    <s v="NO ESTA PUBLICADO"/>
    <s v="NO ESTA PUBLICADO"/>
    <s v="NO APLICA"/>
    <s v="NO ESTA PUBLICADO"/>
    <s v="ü"/>
    <s v="NO APLICA"/>
    <s v="SI"/>
    <n v="0.05"/>
    <d v="2016-09-05T00:00:00"/>
    <n v="41500"/>
    <s v="LIQUIDACION   CONVENIO 56/2016"/>
    <d v="2017-04-27T00:00:00"/>
    <n v="41500"/>
    <m/>
    <m/>
    <m/>
    <m/>
    <m/>
    <m/>
    <m/>
    <m/>
    <m/>
    <m/>
    <m/>
    <m/>
    <m/>
    <m/>
    <m/>
    <m/>
    <m/>
    <m/>
    <m/>
    <m/>
    <m/>
    <m/>
    <m/>
    <m/>
    <n v="83000"/>
    <m/>
    <m/>
    <m/>
    <m/>
    <m/>
    <m/>
    <m/>
    <n v="150"/>
    <s v="DESDE LA NOTIFICACIÓN DE LA ENTREGA DEL ANTICIPO"/>
    <d v="2016-09-06T00:00:00"/>
    <d v="2017-02-03T00:00:00"/>
    <m/>
    <m/>
    <m/>
    <m/>
    <m/>
    <m/>
    <m/>
    <m/>
    <m/>
    <m/>
    <m/>
    <m/>
    <m/>
    <m/>
    <m/>
    <m/>
    <m/>
    <m/>
    <m/>
    <m/>
    <m/>
    <m/>
    <m/>
    <m/>
    <m/>
    <m/>
    <m/>
    <m/>
    <m/>
    <m/>
    <m/>
    <m/>
    <n v="0.05"/>
    <n v="0.05"/>
    <n v="0.05"/>
    <n v="0.8"/>
    <n v="1"/>
    <n v="1"/>
    <n v="1"/>
    <n v="1"/>
    <n v="1"/>
    <n v="1"/>
    <n v="1"/>
    <n v="1"/>
    <n v="1"/>
    <n v="1"/>
    <n v="1"/>
    <n v="1"/>
    <n v="1"/>
    <n v="1"/>
    <n v="1"/>
    <n v="1"/>
    <n v="1"/>
    <n v="1"/>
    <n v="1"/>
    <n v="1"/>
    <x v="0"/>
    <n v="1"/>
    <n v="1"/>
    <n v="1"/>
    <x v="0"/>
    <s v="si"/>
    <s v="si"/>
    <s v="si"/>
    <s v="si"/>
    <s v="si"/>
    <s v="si"/>
    <s v="si"/>
    <x v="0"/>
    <s v="si"/>
    <s v="si"/>
    <s v="si"/>
    <m/>
    <m/>
    <m/>
    <m/>
    <m/>
    <m/>
    <m/>
    <m/>
    <m/>
    <m/>
    <s v="REVISAR EL CODIGO DEL PROCESO ELEPCO LO TIENE COMO BID2-RSND-ELEPCO-AU-OB-002"/>
    <m/>
    <m/>
    <m/>
  </r>
  <r>
    <x v="4"/>
    <s v="OBRAS"/>
    <x v="0"/>
    <s v="Proyectos de expansión y refuerzo en el Sistema Nacional de Distribución"/>
    <x v="3"/>
    <x v="3"/>
    <x v="0"/>
    <s v="COTOPAXI"/>
    <x v="97"/>
    <n v="4"/>
    <x v="0"/>
    <s v="BID2-RSND-ELEPCO-ST-OB-007"/>
    <s v="PROVISIÓN E INSTALACIÓN DE CABLES Y EQUIPOS DE COMUNICACIÓN"/>
    <m/>
    <s v="LPN"/>
    <s v="ex-post"/>
    <s v="EJECUTADO BID"/>
    <s v="No. 059/2016 (P)"/>
    <s v="COMPAÑÍA DE SERVICIOS NEOCONTROL CSNEOCONTROL CIA. LTDA."/>
    <s v="ECUATORIANA"/>
    <s v="PERSONA JURÍDICA"/>
    <s v="0 591725068001"/>
    <s v="DATO PENDIENTE "/>
    <s v="DATO PENDIENTE "/>
    <s v="NO SE INDICA EN LA CGC 1.1 (u)"/>
    <s v="DATO PENDIENTE"/>
    <m/>
    <n v="93969.600000000006"/>
    <n v="0"/>
    <n v="93969.600000000006"/>
    <n v="0"/>
    <n v="93969.600000000006"/>
    <n v="0.12"/>
    <n v="11276.352000000001"/>
    <n v="0"/>
    <n v="105245.95200000002"/>
    <n v="93969.600000000006"/>
    <n v="0"/>
    <m/>
    <m/>
    <n v="93969.600000000006"/>
    <m/>
    <n v="93969.600000000006"/>
    <m/>
    <m/>
    <m/>
    <m/>
    <m/>
    <m/>
    <m/>
    <m/>
    <m/>
    <m/>
    <m/>
    <m/>
    <m/>
    <m/>
    <n v="0"/>
    <n v="0"/>
    <s v="DDL, IAO 21.1."/>
    <s v="NO APLICA"/>
    <s v="NO APLICA"/>
    <s v="NO APLICA"/>
    <s v="NO APLICA"/>
    <s v="NO APLICA"/>
    <d v="2016-01-15T00:00:00"/>
    <d v="2016-01-20T00:00:00"/>
    <d v="2016-01-25T00:00:00"/>
    <d v="2016-02-15T00:00:00"/>
    <s v="NO APLICA"/>
    <d v="2016-03-11T00:00:00"/>
    <d v="2016-03-19T00:00:00"/>
    <s v="NO APLICA"/>
    <s v="NO APLICA"/>
    <s v="NO APLICA"/>
    <d v="2016-05-03T00:00:00"/>
    <s v="NO APLICA"/>
    <d v="2016-06-14T00:00:00"/>
    <d v="2016-07-19T00:00:00"/>
    <s v="NO APLICA"/>
    <s v="NO APLICA"/>
    <s v="NO APLICA"/>
    <s v="ü"/>
    <s v="ü"/>
    <s v="NO ESTA PUBLICADO"/>
    <s v="ü"/>
    <s v="ü"/>
    <s v="NO ESTA PUBLICADO"/>
    <s v="NO ESTA PUBLICADO"/>
    <s v="NO ESTA PUBLICADO"/>
    <s v="NO ESTA PUBLICADO"/>
    <s v="NO ESTA PUBLICADO"/>
    <s v="NO ESTA PUBLICADO"/>
    <s v="NO APLICA"/>
    <s v="NO ESTA PUBLICADO"/>
    <s v="NO ESTA PUBLICADO"/>
    <s v="NO APLICA"/>
    <s v="SI"/>
    <n v="0.05"/>
    <d v="2016-09-07T00:00:00"/>
    <n v="46984.800000000003"/>
    <s v="PAGO 2/4 - PLANILLA 1  CONVENIO 58/2016"/>
    <d v="2016-12-28T00:00:00"/>
    <n v="19073.919999999998"/>
    <m/>
    <m/>
    <m/>
    <m/>
    <m/>
    <m/>
    <m/>
    <m/>
    <m/>
    <m/>
    <m/>
    <m/>
    <m/>
    <m/>
    <m/>
    <m/>
    <m/>
    <m/>
    <m/>
    <m/>
    <m/>
    <m/>
    <m/>
    <m/>
    <n v="66058.720000000001"/>
    <m/>
    <m/>
    <m/>
    <m/>
    <m/>
    <m/>
    <m/>
    <n v="90"/>
    <s v="DESDE LA NOTIFICACIÓN DE LA ENTREGA DEL ANTICIPO"/>
    <d v="2016-09-08T00:00:00"/>
    <d v="2016-12-07T00:00:00"/>
    <m/>
    <m/>
    <m/>
    <m/>
    <m/>
    <m/>
    <m/>
    <m/>
    <m/>
    <m/>
    <m/>
    <m/>
    <m/>
    <m/>
    <m/>
    <m/>
    <m/>
    <m/>
    <m/>
    <m/>
    <m/>
    <m/>
    <m/>
    <m/>
    <m/>
    <m/>
    <m/>
    <m/>
    <m/>
    <m/>
    <m/>
    <m/>
    <n v="0.46"/>
    <n v="0.75"/>
    <n v="1"/>
    <n v="1"/>
    <n v="1"/>
    <n v="1"/>
    <n v="1"/>
    <n v="1"/>
    <n v="1"/>
    <n v="1"/>
    <n v="1"/>
    <n v="1"/>
    <n v="1"/>
    <n v="1"/>
    <n v="1"/>
    <n v="1"/>
    <n v="1"/>
    <n v="1"/>
    <n v="1"/>
    <n v="1"/>
    <n v="1"/>
    <n v="1"/>
    <n v="1"/>
    <n v="1"/>
    <x v="0"/>
    <n v="1"/>
    <n v="1"/>
    <n v="1"/>
    <x v="0"/>
    <s v="si"/>
    <s v="si"/>
    <s v="si"/>
    <s v="si"/>
    <s v="si"/>
    <s v="si"/>
    <s v="si"/>
    <x v="0"/>
    <s v="si"/>
    <s v="si"/>
    <s v="si"/>
    <m/>
    <m/>
    <m/>
    <m/>
    <m/>
    <m/>
    <m/>
    <m/>
    <m/>
    <m/>
    <m/>
    <m/>
    <m/>
    <m/>
  </r>
  <r>
    <x v="4"/>
    <s v="OBRAS"/>
    <x v="0"/>
    <s v="Proyectos de expansión y refuerzo en el Sistema Nacional de Distribución"/>
    <x v="0"/>
    <x v="0"/>
    <x v="0"/>
    <s v="COTOPAXI"/>
    <x v="98"/>
    <n v="9"/>
    <x v="0"/>
    <s v="BID2-RSND-ELEPCO-DI-OB-005"/>
    <s v="CONSTRUCCIÓN ENLACES TRIFÁSICOS Y MONOFÁSICOS EN ZONA DE RIESGO, PLAN DE CONTINGENCIA"/>
    <s v="C1: Guaytacama Tanicuchi"/>
    <s v="LPN"/>
    <s v="ex-post"/>
    <s v="EJECUTADO BID"/>
    <s v="054/2016 (P)"/>
    <s v="ING. EDWIN OSWALDO SEGOVIA ALBARRASIN"/>
    <s v="ECUATORIANA"/>
    <s v="PERSONA NATURAL"/>
    <s v="0 503067902001"/>
    <m/>
    <m/>
    <s v="NO SE INDICA EN LA CGC 1.1. (u)"/>
    <s v="DATO PENDIENTE"/>
    <n v="53390"/>
    <n v="145051.79999999999"/>
    <n v="53390"/>
    <n v="145051.79999999999"/>
    <n v="9021.7900000000081"/>
    <n v="154073.59"/>
    <n v="0.12"/>
    <n v="17406.215999999997"/>
    <n v="1082.614800000001"/>
    <n v="172562.42080000002"/>
    <n v="154073.59"/>
    <n v="0"/>
    <m/>
    <m/>
    <n v="154335.47"/>
    <m/>
    <n v="148346.07999999999"/>
    <m/>
    <m/>
    <m/>
    <m/>
    <m/>
    <m/>
    <m/>
    <m/>
    <m/>
    <m/>
    <m/>
    <m/>
    <m/>
    <m/>
    <n v="-3294.2799999999988"/>
    <n v="-3294.2799999999988"/>
    <s v="DDL, IAO 21.1."/>
    <s v="NO APLICA"/>
    <s v="NO APLICA"/>
    <s v="NO APLICA"/>
    <s v="NO APLICA"/>
    <s v="NO APLICA"/>
    <d v="2016-01-15T00:00:00"/>
    <d v="2016-01-20T00:00:00"/>
    <d v="2016-01-25T00:00:00"/>
    <d v="2016-02-15T00:00:00"/>
    <s v="NO APLICA"/>
    <d v="2016-03-16T00:00:00"/>
    <d v="2016-03-24T00:00:00"/>
    <s v="NO APLICA"/>
    <s v="NO APLICA"/>
    <s v="NO APLICA"/>
    <d v="2016-05-03T00:00:00"/>
    <s v="NO APLICA"/>
    <d v="2016-06-14T00:00:00"/>
    <d v="2016-07-01T00:00:00"/>
    <s v="NO APLICA"/>
    <s v="NO APLICA"/>
    <s v="NO APLICA"/>
    <s v="ü"/>
    <s v="ü"/>
    <s v="NO ESTA PUBLICADO"/>
    <s v="ü"/>
    <s v="ü"/>
    <s v="NO ESTA PUBLICADO"/>
    <s v="ü"/>
    <s v="ü"/>
    <s v="ü"/>
    <s v="ü"/>
    <s v="ü"/>
    <s v="NO APLICA"/>
    <s v="ü"/>
    <s v="ü"/>
    <s v="NO APLICA"/>
    <s v="SI"/>
    <n v="0.05"/>
    <d v="2016-08-17T00:00:00"/>
    <n v="74173.039999999994"/>
    <s v="PAGO 2/2 - 20% PALNILLA 1  CONVENIO 54/2016"/>
    <d v="2016-09-28T00:00:00"/>
    <n v="29669.220000000008"/>
    <s v="PAGO 3/4 - 20% PALNILLA 2"/>
    <d v="2016-10-18T00:00:00"/>
    <n v="29669.239999999998"/>
    <s v="PAGO 4/4 - LIQUIDACION"/>
    <d v="2017-01-25T00:00:00"/>
    <n v="20562.09"/>
    <m/>
    <m/>
    <m/>
    <m/>
    <m/>
    <m/>
    <m/>
    <m/>
    <m/>
    <m/>
    <m/>
    <m/>
    <m/>
    <m/>
    <m/>
    <m/>
    <m/>
    <m/>
    <n v="154073.59"/>
    <m/>
    <m/>
    <m/>
    <m/>
    <m/>
    <m/>
    <m/>
    <n v="120"/>
    <s v="DESDE LA NOTIFICACIÓN DE LA ENTREGA DEL ANTICIPO"/>
    <d v="2016-08-18T00:00:00"/>
    <d v="2016-12-16T00:00:00"/>
    <m/>
    <m/>
    <m/>
    <m/>
    <m/>
    <m/>
    <m/>
    <m/>
    <m/>
    <m/>
    <m/>
    <m/>
    <m/>
    <m/>
    <m/>
    <m/>
    <m/>
    <m/>
    <m/>
    <m/>
    <m/>
    <m/>
    <m/>
    <m/>
    <m/>
    <m/>
    <m/>
    <m/>
    <m/>
    <m/>
    <m/>
    <m/>
    <n v="0.69"/>
    <s v="76.16%"/>
    <n v="1"/>
    <n v="1"/>
    <n v="1"/>
    <n v="1"/>
    <n v="1"/>
    <n v="1"/>
    <n v="1"/>
    <n v="1"/>
    <n v="1"/>
    <n v="1"/>
    <n v="1"/>
    <n v="1"/>
    <n v="1"/>
    <n v="1"/>
    <n v="1"/>
    <n v="1"/>
    <n v="1"/>
    <n v="1"/>
    <n v="1"/>
    <n v="1"/>
    <n v="1"/>
    <n v="1"/>
    <x v="0"/>
    <n v="1"/>
    <n v="1"/>
    <n v="1"/>
    <x v="0"/>
    <s v="si"/>
    <s v="si"/>
    <s v="si"/>
    <s v="si"/>
    <s v="si"/>
    <s v="si"/>
    <s v="si"/>
    <x v="0"/>
    <s v="si"/>
    <s v="si"/>
    <s v="si"/>
    <m/>
    <m/>
    <m/>
    <m/>
    <m/>
    <m/>
    <m/>
    <m/>
    <m/>
    <m/>
    <s v="LA SECRETARIA DE GESTIÓN DE RIEGOS EMITIÓ EL PLAN DE CONTINGENCIA “AMENAZA DE ERUPCIÓN DEL VOLCÁN COTOPAXI”, EN EL CUAL SE DETERMINA QUE EL  COTOPAXI ES  CONSIDERADO  UNO  DE  LOS  VOLCANES  MÁS  ACTIVOS  DEL  MUNDO REPRESENTANDO  UNA  CONSTANTE  AMENAZA  PARA  AQUELLAS  POBLACIONES  DE  INFLUENCIA DIRECTA E INDIRECTA POR EVENTOS ASOCIADOS._x000a_SE JUSTIFICA LA CONTRATACIÓN DIRECTA EN BASE A LA DECLARACIÓN DE ALERTA AMARILLA, EN BASE A LOS SIGUIENTES DOCUMENTOS:_x000a__x000a_1. RESOLUCIÓN NO.SGR-042-2015 DE 14 DE AGOSTO DE 2015, DECLARACIÓN DE ALERTA AMARILLA._x000a_2. DECRETO EJECUTIVO NO.755 DE 15 DE AGOSTO DE 2015, DECLARACIÓN DE ESTADO DE EXCEPCIÓN EN TODO EL TERRITORIO NACIONAL, PARA ENFRENTAR EL PROCESO ERUPTIVO DEL VOLCÁN COTOPAXI._x000a_3. “PLAN DE CONTINGENCIA AMENAZA DE ERUPCIÓN DEL VOLCÁN COTOPAXI”, EMITIDO POR LA SECRETARÍA DE GESTIÓN DE RIESGOS._x000a_4. RESOLUCIÓN NRO. 01-PE-2015 DE 07 DE SEPTIEMBRE DE 2015, DECLARACIÓN DEL ESTADO DE EMERGENCIA INSTITUCIONAL DE ELEPCOSA._x000a_Adquisición de equipo trailer para lavado de aisladores en caliente mediante agua a presión para uso  en el área de servicio de la Empresa Eléctrica Provincial Cotopaxi, que se encuentra directamente afectada por la posible erupción del volcán Cotopaxi (5.890 m de altura). Este equipo se requiere para el lavado y evacuación del polvo volcánico que se acumule en los aisladores de las líneas, redes y subestaciones."/>
    <m/>
    <m/>
    <d v="2015-12-30T00:00:00"/>
  </r>
  <r>
    <x v="4"/>
    <s v="OBRAS"/>
    <x v="0"/>
    <s v="Proyectos de expansión y refuerzo en el Sistema Nacional de Distribución"/>
    <x v="0"/>
    <x v="0"/>
    <x v="0"/>
    <s v="COTOPAXI"/>
    <x v="99"/>
    <n v="10"/>
    <x v="0"/>
    <s v="BID2-RSND-ELEPCO-DI-OB-005"/>
    <s v="CONSTRUCCIÓN ENLACES TRIFÁSICOS Y MONOFÁSICOS EN ZONA DE RIESGO, PLAN DE CONTINGENCIA"/>
    <s v="C1: Mulalo-Chinchil Villamarín-Jose Guango Bajo"/>
    <s v="LPN"/>
    <s v="ex-post"/>
    <s v="EJECUTADO BID"/>
    <s v="054/2016 (P)"/>
    <s v="ING. EDWIN OSWALDO SEGOVIA ALBARRASIN"/>
    <s v="ECUATORIANA"/>
    <s v="PERSONA NATURAL"/>
    <s v="0 503067902001"/>
    <m/>
    <m/>
    <s v="NO SE INDICA EN LA CGC 1.1. (u)"/>
    <s v="DATO PENDIENTE"/>
    <n v="48971.31"/>
    <n v="0"/>
    <n v="48971.31"/>
    <m/>
    <n v="0"/>
    <n v="0"/>
    <n v="0.12"/>
    <n v="0"/>
    <n v="0"/>
    <n v="0"/>
    <m/>
    <m/>
    <m/>
    <m/>
    <m/>
    <m/>
    <m/>
    <m/>
    <m/>
    <m/>
    <m/>
    <m/>
    <m/>
    <m/>
    <m/>
    <m/>
    <m/>
    <m/>
    <m/>
    <m/>
    <m/>
    <n v="0"/>
    <n v="0"/>
    <s v="DDL, IAO 21.1."/>
    <s v="NO APLICA"/>
    <s v="NO APLICA"/>
    <s v="NO APLICA"/>
    <s v="NO APLICA"/>
    <s v="NO APLICA"/>
    <d v="2016-01-15T00:00:00"/>
    <d v="2016-01-20T00:00:00"/>
    <d v="2016-01-25T00:00:00"/>
    <d v="2016-02-15T00:00:00"/>
    <s v="NO APLICA"/>
    <d v="2016-03-16T00:00:00"/>
    <d v="2016-03-24T00:00:00"/>
    <s v="NO APLICA"/>
    <s v="NO APLICA"/>
    <s v="NO APLICA"/>
    <d v="2016-05-03T00:00:00"/>
    <s v="NO APLICA"/>
    <d v="2016-06-14T00:00:00"/>
    <d v="2016-07-01T00:00:00"/>
    <s v="NO APLICA"/>
    <s v="NO APLICA"/>
    <s v="NO APLICA"/>
    <s v="ü"/>
    <s v="ü"/>
    <s v="NO ESTA PUBLICADO"/>
    <s v="ü"/>
    <s v="ü"/>
    <s v="NO ESTA PUBLICADO"/>
    <s v="ü"/>
    <s v="ü"/>
    <s v="ü"/>
    <s v="ü"/>
    <s v="ü"/>
    <s v="NO APLICA"/>
    <s v="ü"/>
    <s v="ü"/>
    <s v="NO APLICA"/>
    <s v="SI"/>
    <n v="0.05"/>
    <d v="2016-08-17T00:00:00"/>
    <m/>
    <m/>
    <m/>
    <m/>
    <m/>
    <m/>
    <m/>
    <m/>
    <m/>
    <m/>
    <m/>
    <m/>
    <m/>
    <m/>
    <m/>
    <m/>
    <m/>
    <m/>
    <m/>
    <m/>
    <m/>
    <m/>
    <m/>
    <m/>
    <m/>
    <m/>
    <m/>
    <m/>
    <n v="0"/>
    <m/>
    <m/>
    <m/>
    <m/>
    <m/>
    <m/>
    <m/>
    <n v="120"/>
    <s v="DESDE LA NOTIFICACIÓN DE LA ENTREGA DEL ANTICIPO"/>
    <d v="2016-08-18T00:00:00"/>
    <d v="2016-12-16T00:00:00"/>
    <m/>
    <m/>
    <m/>
    <m/>
    <m/>
    <m/>
    <m/>
    <m/>
    <m/>
    <m/>
    <m/>
    <m/>
    <m/>
    <m/>
    <m/>
    <m/>
    <m/>
    <m/>
    <m/>
    <m/>
    <m/>
    <m/>
    <m/>
    <m/>
    <m/>
    <m/>
    <m/>
    <m/>
    <m/>
    <m/>
    <m/>
    <m/>
    <n v="0.69"/>
    <s v="76.16%"/>
    <n v="1"/>
    <n v="1"/>
    <n v="1"/>
    <n v="1"/>
    <n v="1"/>
    <n v="1"/>
    <n v="1"/>
    <n v="1"/>
    <n v="1"/>
    <n v="1"/>
    <n v="1"/>
    <n v="1"/>
    <n v="1"/>
    <n v="1"/>
    <n v="1"/>
    <n v="1"/>
    <n v="1"/>
    <n v="1"/>
    <n v="1"/>
    <n v="1"/>
    <n v="1"/>
    <n v="1"/>
    <x v="0"/>
    <n v="1"/>
    <n v="1"/>
    <n v="1"/>
    <x v="0"/>
    <s v="si"/>
    <s v="si"/>
    <s v="si"/>
    <s v="si"/>
    <s v="si"/>
    <s v="si"/>
    <s v="si"/>
    <x v="0"/>
    <s v="si"/>
    <s v="si"/>
    <s v="si"/>
    <m/>
    <m/>
    <m/>
    <m/>
    <m/>
    <m/>
    <m/>
    <m/>
    <m/>
    <m/>
    <s v="LA SECRETARIA DE GESTIÓN DE RIEGOS EMITIÓ EL PLAN DE CONTINGENCIA “AMENAZA DE ERUPCIÓN DEL VOLCÁN COTOPAXI”, EN EL CUAL SE DETERMINA QUE EL  COTOPAXI ES  CONSIDERADO  UNO  DE  LOS  VOLCANES  MÁS  ACTIVOS  DEL  MUNDO REPRESENTANDO  UNA  CONSTANTE  AMENAZA  PARA  AQUELLAS  POBLACIONES  DE  INFLUENCIA DIRECTA E INDIRECTA POR EVENTOS ASOCIADOS._x000a_SE JUSTIFICA LA CONTRATACIÓN DIRECTA EN BASE A LA DECLARACIÓN DE ALERTA AMARILLA, EN BASE A LOS SIGUIENTES DOCUMENTOS:_x000a__x000a_1. RESOLUCIÓN NO.SGR-042-2015 DE 14 DE AGOSTO DE 2015, DECLARACIÓN DE ALERTA AMARILLA._x000a_2. DECRETO EJECUTIVO NO.755 DE 15 DE AGOSTO DE 2015, DECLARACIÓN DE ESTADO DE EXCEPCIÓN EN TODO EL TERRITORIO NACIONAL, PARA ENFRENTAR EL PROCESO ERUPTIVO DEL VOLCÁN COTOPAXI._x000a_3. “PLAN DE CONTINGENCIA AMENAZA DE ERUPCIÓN DEL VOLCÁN COTOPAXI”, EMITIDO POR LA SECRETARÍA DE GESTIÓN DE RIESGOS._x000a_4. RESOLUCIÓN NRO. 01-PE-2015 DE 07 DE SEPTIEMBRE DE 2015, DECLARACIÓN DEL ESTADO DE EMERGENCIA INSTITUCIONAL DE ELEPCOSA._x000a_Adquisición de equipo trailer para lavado de aisladores en caliente mediante agua a presión para uso  en el área de servicio de la Empresa Eléctrica Provincial Cotopaxi, que se encuentra directamente afectada por la posible erupción del volcán Cotopaxi (5.890 m de altura). Este equipo se requiere para el lavado y evacuación del polvo volcánico que se acumule en los aisladores de las líneas, redes y subestaciones."/>
    <m/>
    <m/>
    <d v="2015-12-30T00:00:00"/>
  </r>
  <r>
    <x v="4"/>
    <s v="OBRAS"/>
    <x v="0"/>
    <s v="Proyectos de expansión y refuerzo en el Sistema Nacional de Distribución"/>
    <x v="0"/>
    <x v="0"/>
    <x v="0"/>
    <s v="COTOPAXI"/>
    <x v="100"/>
    <n v="11"/>
    <x v="0"/>
    <s v="BID2-RSND-ELEPCO-DI-OB-005"/>
    <s v="CONSTRUCCIÓN ENLACES TRIFÁSICOS Y MONOFÁSICOS EN ZONA DE RIESGO, PLAN DE CONTINGENCIA"/>
    <s v="C1:Tanicuchí La Floresta La Floresta Sur"/>
    <s v="LPN"/>
    <s v="ex-post"/>
    <s v="EJECUTADO BID"/>
    <s v="054/2016 (P)"/>
    <s v="ING. EDWIN OSWALDO SEGOVIA ALBARRASIN"/>
    <s v="ECUATORIANA"/>
    <s v="PERSONA NATURAL"/>
    <s v="0 503067902001"/>
    <m/>
    <m/>
    <s v="NO SE INDICA EN LA CGC 1.1. (u)"/>
    <s v="DATO PENDIENTE"/>
    <n v="42690.49"/>
    <n v="0"/>
    <n v="56848.09"/>
    <m/>
    <n v="0"/>
    <n v="0"/>
    <n v="0.12"/>
    <n v="0"/>
    <n v="0"/>
    <n v="0"/>
    <m/>
    <m/>
    <m/>
    <m/>
    <m/>
    <m/>
    <m/>
    <m/>
    <m/>
    <m/>
    <m/>
    <m/>
    <m/>
    <m/>
    <m/>
    <m/>
    <m/>
    <m/>
    <m/>
    <m/>
    <m/>
    <n v="0"/>
    <n v="0"/>
    <s v="DDL, IAO 21.1."/>
    <s v="NO APLICA"/>
    <s v="NO APLICA"/>
    <s v="NO APLICA"/>
    <s v="NO APLICA"/>
    <s v="NO APLICA"/>
    <d v="2016-01-15T00:00:00"/>
    <d v="2016-01-20T00:00:00"/>
    <d v="2016-01-25T00:00:00"/>
    <d v="2016-02-15T00:00:00"/>
    <s v="NO APLICA"/>
    <d v="2016-03-16T00:00:00"/>
    <d v="2016-03-24T00:00:00"/>
    <s v="NO APLICA"/>
    <s v="NO APLICA"/>
    <s v="NO APLICA"/>
    <d v="2016-05-03T00:00:00"/>
    <s v="NO APLICA"/>
    <d v="2016-06-14T00:00:00"/>
    <d v="2016-07-01T00:00:00"/>
    <s v="NO APLICA"/>
    <s v="NO APLICA"/>
    <s v="NO APLICA"/>
    <s v="ü"/>
    <s v="ü"/>
    <s v="NO ESTA PUBLICADO"/>
    <s v="ü"/>
    <s v="ü"/>
    <s v="NO ESTA PUBLICADO"/>
    <s v="ü"/>
    <s v="ü"/>
    <s v="ü"/>
    <s v="ü"/>
    <s v="ü"/>
    <s v="NO APLICA"/>
    <s v="ü"/>
    <s v="ü"/>
    <s v="NO APLICA"/>
    <s v="SI"/>
    <n v="0.05"/>
    <d v="2016-08-17T00:00:00"/>
    <m/>
    <m/>
    <m/>
    <m/>
    <m/>
    <m/>
    <m/>
    <m/>
    <m/>
    <m/>
    <m/>
    <m/>
    <m/>
    <m/>
    <m/>
    <m/>
    <m/>
    <m/>
    <m/>
    <m/>
    <m/>
    <m/>
    <m/>
    <m/>
    <m/>
    <m/>
    <m/>
    <m/>
    <n v="0"/>
    <m/>
    <m/>
    <m/>
    <m/>
    <m/>
    <m/>
    <m/>
    <n v="120"/>
    <s v="DESDE LA NOTIFICACIÓN DE LA ENTREGA DEL ANTICIPO"/>
    <d v="2016-08-18T00:00:00"/>
    <d v="2016-12-16T00:00:00"/>
    <m/>
    <m/>
    <m/>
    <m/>
    <m/>
    <m/>
    <m/>
    <m/>
    <m/>
    <m/>
    <m/>
    <m/>
    <m/>
    <m/>
    <m/>
    <m/>
    <m/>
    <m/>
    <m/>
    <m/>
    <m/>
    <m/>
    <m/>
    <m/>
    <m/>
    <m/>
    <m/>
    <m/>
    <m/>
    <m/>
    <m/>
    <m/>
    <n v="0.69"/>
    <s v="76.16%"/>
    <n v="1"/>
    <n v="1"/>
    <n v="1"/>
    <n v="1"/>
    <n v="1"/>
    <n v="1"/>
    <n v="1"/>
    <n v="1"/>
    <n v="1"/>
    <n v="1"/>
    <n v="1"/>
    <n v="1"/>
    <n v="1"/>
    <n v="1"/>
    <n v="1"/>
    <n v="1"/>
    <n v="1"/>
    <n v="1"/>
    <n v="1"/>
    <n v="1"/>
    <n v="1"/>
    <n v="1"/>
    <x v="0"/>
    <n v="1"/>
    <n v="1"/>
    <n v="1"/>
    <x v="0"/>
    <s v="si"/>
    <s v="si"/>
    <s v="si"/>
    <s v="si"/>
    <s v="si"/>
    <s v="si"/>
    <s v="si"/>
    <x v="0"/>
    <s v="si"/>
    <s v="si"/>
    <s v="si"/>
    <m/>
    <m/>
    <m/>
    <m/>
    <m/>
    <m/>
    <m/>
    <m/>
    <m/>
    <m/>
    <s v="LA SECRETARIA DE GESTIÓN DE RIEGOS EMITIÓ EL PLAN DE CONTINGENCIA “AMENAZA DE ERUPCIÓN DEL VOLCÁN COTOPAXI”, EN EL CUAL SE DETERMINA QUE EL  COTOPAXI ES  CONSIDERADO  UNO  DE  LOS  VOLCANES  MÁS  ACTIVOS  DEL  MUNDO REPRESENTANDO  UNA  CONSTANTE  AMENAZA  PARA  AQUELLAS  POBLACIONES  DE  INFLUENCIA DIRECTA E INDIRECTA POR EVENTOS ASOCIADOS._x000a_SE JUSTIFICA LA CONTRATACIÓN DIRECTA EN BASE A LA DECLARACIÓN DE ALERTA AMARILLA, EN BASE A LOS SIGUIENTES DOCUMENTOS:_x000a__x000a_1. RESOLUCIÓN NO.SGR-042-2015 DE 14 DE AGOSTO DE 2015, DECLARACIÓN DE ALERTA AMARILLA._x000a_2. DECRETO EJECUTIVO NO.755 DE 15 DE AGOSTO DE 2015, DECLARACIÓN DE ESTADO DE EXCEPCIÓN EN TODO EL TERRITORIO NACIONAL, PARA ENFRENTAR EL PROCESO ERUPTIVO DEL VOLCÁN COTOPAXI._x000a_3. “PLAN DE CONTINGENCIA AMENAZA DE ERUPCIÓN DEL VOLCÁN COTOPAXI”, EMITIDO POR LA SECRETARÍA DE GESTIÓN DE RIESGOS._x000a_4. RESOLUCIÓN NRO. 01-PE-2015 DE 07 DE SEPTIEMBRE DE 2015, DECLARACIÓN DEL ESTADO DE EMERGENCIA INSTITUCIONAL DE ELEPCOSA._x000a_Adquisición de equipo trailer para lavado de aisladores en caliente mediante agua a presión para uso  en el área de servicio de la Empresa Eléctrica Provincial Cotopaxi, que se encuentra directamente afectada por la posible erupción del volcán Cotopaxi (5.890 m de altura). Este equipo se requiere para el lavado y evacuación del polvo volcánico que se acumule en los aisladores de las líneas, redes y subestaciones."/>
    <m/>
    <m/>
    <d v="2015-12-30T00:00:00"/>
  </r>
  <r>
    <x v="4"/>
    <s v="OBRAS"/>
    <x v="0"/>
    <s v="Proyectos de expansión y refuerzo en el Sistema Nacional de Distribución"/>
    <x v="0"/>
    <x v="0"/>
    <x v="0"/>
    <s v="COTOPAXI"/>
    <x v="101"/>
    <n v="12"/>
    <x v="0"/>
    <s v="BID2-RSND-ELEPCO-DI-OB-005"/>
    <s v="CONSTRUCCIÓN ENLACES TRIFÁSICOS Y MONOFÁSICOS EN ZONA DE RIESGO, PLAN DE CONTINGENCIA"/>
    <s v="C2: San Marcos-Alaquez Centro"/>
    <s v="LPN"/>
    <s v="ex-post"/>
    <s v="EJECUTADO BID"/>
    <s v="055/2016 (P)"/>
    <s v="ING. EDWIN OSWALDO SEGOVIA ALBARRASIN"/>
    <s v="ECUATORIANA"/>
    <s v="PERSONA NATURAL"/>
    <s v="0 503067902001"/>
    <m/>
    <m/>
    <s v="NO SE INDICA EN LA CGC 1.1. (u)"/>
    <s v="DATO PENDIENTE"/>
    <n v="37785.879999999997"/>
    <n v="120343.48"/>
    <n v="37785.879999999997"/>
    <n v="120343.47999999998"/>
    <m/>
    <n v="120343.47999999998"/>
    <n v="0.12"/>
    <n v="14441.217599999998"/>
    <n v="0"/>
    <n v="134784.69759999998"/>
    <n v="110388.75"/>
    <n v="9954.7299999999959"/>
    <m/>
    <m/>
    <n v="114612.83"/>
    <m/>
    <n v="110042.66"/>
    <m/>
    <m/>
    <m/>
    <m/>
    <m/>
    <m/>
    <m/>
    <m/>
    <m/>
    <m/>
    <m/>
    <m/>
    <m/>
    <m/>
    <n v="10300.819999999992"/>
    <n v="10300.819999999992"/>
    <s v="DDL, IAO 21.1."/>
    <s v="NO APLICA"/>
    <s v="NO APLICA"/>
    <s v="NO APLICA"/>
    <s v="NO APLICA"/>
    <s v="NO APLICA"/>
    <d v="2016-01-15T00:00:00"/>
    <d v="2016-01-20T00:00:00"/>
    <d v="2016-01-25T00:00:00"/>
    <d v="2016-02-15T00:00:00"/>
    <s v="NO APLICA"/>
    <d v="2016-03-16T00:00:00"/>
    <d v="2016-03-24T00:00:00"/>
    <s v="NO APLICA"/>
    <s v="NO APLICA"/>
    <s v="NO APLICA"/>
    <d v="2016-05-03T00:00:00"/>
    <s v="NO APLICA"/>
    <d v="2016-06-14T00:00:00"/>
    <d v="2016-07-01T00:00:00"/>
    <s v="NO APLICA"/>
    <s v="NO APLICA"/>
    <s v="NO APLICA"/>
    <s v="ü"/>
    <s v="ü"/>
    <s v="NO ESTA PUBLICADO"/>
    <s v="ü"/>
    <s v="ü"/>
    <s v="NO ESTA PUBLICADO"/>
    <s v="ü"/>
    <s v="ü"/>
    <s v="ü"/>
    <s v="ü"/>
    <s v="ü"/>
    <s v="NO APLICA"/>
    <s v="ü"/>
    <s v="ü"/>
    <s v="NO APLICA"/>
    <s v="SI"/>
    <n v="0.05"/>
    <d v="2016-08-17T00:00:00"/>
    <n v="55021.33"/>
    <s v="PAGO 2/4 - 20% PLANILLA  1 CONVENIO 55/2016"/>
    <d v="2016-09-28T00:00:00"/>
    <n v="22008.53"/>
    <s v="PAGO  3/4 - 20% PLANILLA  1 "/>
    <d v="2016-10-14T00:00:00"/>
    <n v="22008.520000000004"/>
    <s v="PAGO  4/4 - LIQUIDACION TOTAL  CONTRATO "/>
    <d v="2016-12-29T00:00:00"/>
    <n v="11350.379999999997"/>
    <m/>
    <m/>
    <m/>
    <m/>
    <m/>
    <m/>
    <m/>
    <m/>
    <m/>
    <m/>
    <m/>
    <m/>
    <m/>
    <m/>
    <m/>
    <m/>
    <m/>
    <m/>
    <n v="110388.76000000001"/>
    <m/>
    <m/>
    <m/>
    <m/>
    <m/>
    <m/>
    <m/>
    <n v="120"/>
    <s v="DESDE LA NOTIFICACIÓN DE LA ENTREGA DEL ANTICIPO"/>
    <d v="2016-08-18T00:00:00"/>
    <d v="2016-12-16T00:00:00"/>
    <m/>
    <m/>
    <m/>
    <m/>
    <m/>
    <m/>
    <m/>
    <m/>
    <m/>
    <m/>
    <m/>
    <m/>
    <m/>
    <m/>
    <m/>
    <m/>
    <m/>
    <m/>
    <m/>
    <m/>
    <m/>
    <m/>
    <m/>
    <m/>
    <m/>
    <m/>
    <m/>
    <m/>
    <m/>
    <m/>
    <m/>
    <m/>
    <n v="0.69"/>
    <s v="76.16%"/>
    <n v="1"/>
    <n v="1"/>
    <n v="1"/>
    <n v="1"/>
    <n v="1"/>
    <n v="1"/>
    <n v="1"/>
    <n v="1"/>
    <n v="1"/>
    <n v="1"/>
    <n v="1"/>
    <n v="1"/>
    <n v="1"/>
    <n v="1"/>
    <n v="1"/>
    <n v="1"/>
    <n v="1"/>
    <n v="1"/>
    <n v="1"/>
    <n v="1"/>
    <n v="1"/>
    <n v="1"/>
    <x v="0"/>
    <n v="1"/>
    <n v="1"/>
    <n v="1"/>
    <x v="0"/>
    <s v="si"/>
    <s v="si"/>
    <s v="si"/>
    <s v="si"/>
    <s v="si"/>
    <s v="si"/>
    <s v="si"/>
    <x v="0"/>
    <s v="si"/>
    <s v="si"/>
    <s v="si"/>
    <m/>
    <m/>
    <m/>
    <m/>
    <m/>
    <m/>
    <m/>
    <m/>
    <m/>
    <m/>
    <s v="LA SECRETARIA DE GESTIÓN DE RIEGOS EMITIÓ EL PLAN DE CONTINGENCIA “AMENAZA DE ERUPCIÓN DEL VOLCÁN COTOPAXI”, EN EL CUAL SE DETERMINA QUE EL  COTOPAXI ES  CONSIDERADO  UNO  DE  LOS  VOLCANES  MÁS  ACTIVOS  DEL  MUNDO REPRESENTANDO  UNA  CONSTANTE  AMENAZA  PARA  AQUELLAS  POBLACIONES  DE  INFLUENCIA DIRECTA E INDIRECTA POR EVENTOS ASOCIADOS._x000a_SE JUSTIFICA LA CONTRATACIÓN DIRECTA EN BASE A LA DECLARACIÓN DE ALERTA AMARILLA, EN BASE A LOS SIGUIENTES DOCUMENTOS:_x000a__x000a_1. RESOLUCIÓN NO.SGR-042-2015 DE 14 DE AGOSTO DE 2015, DECLARACIÓN DE ALERTA AMARILLA._x000a_2. DECRETO EJECUTIVO NO.755 DE 15 DE AGOSTO DE 2015, DECLARACIÓN DE ESTADO DE EXCEPCIÓN EN TODO EL TERRITORIO NACIONAL, PARA ENFRENTAR EL PROCESO ERUPTIVO DEL VOLCÁN COTOPAXI._x000a_3. “PLAN DE CONTINGENCIA AMENAZA DE ERUPCIÓN DEL VOLCÁN COTOPAXI”, EMITIDO POR LA SECRETARÍA DE GESTIÓN DE RIESGOS._x000a_4. RESOLUCIÓN NRO. 01-PE-2015 DE 07 DE SEPTIEMBRE DE 2015, DECLARACIÓN DEL ESTADO DE EMERGENCIA INSTITUCIONAL DE ELEPCOSA._x000a_Adquisición de equipo trailer para lavado de aisladores en caliente mediante agua a presión para uso  en el área de servicio de la Empresa Eléctrica Provincial Cotopaxi, que se encuentra directamente afectada por la posible erupción del volcán Cotopaxi (5.890 m de altura). Este equipo se requiere para el lavado y evacuación del polvo volcánico que se acumule en los aisladores de las líneas, redes y subestaciones."/>
    <m/>
    <m/>
    <d v="2015-12-30T00:00:00"/>
  </r>
  <r>
    <x v="4"/>
    <s v="OBRAS"/>
    <x v="0"/>
    <s v="Proyectos de expansión y refuerzo en el Sistema Nacional de Distribución"/>
    <x v="0"/>
    <x v="0"/>
    <x v="0"/>
    <s v="COTOPAXI"/>
    <x v="102"/>
    <n v="13"/>
    <x v="0"/>
    <s v="BID2-RSND-ELEPCO-DI-OB-005"/>
    <s v="CONSTRUCCIÓN ENLACES TRIFÁSICOS Y MONOFÁSICOS EN ZONA DE RIESGO, PLAN DE CONTINGENCIA"/>
    <s v="C2:Bethemitas-Puente de Iluchi"/>
    <s v="LPN"/>
    <s v="ex-post"/>
    <s v="EJECUTADO BID"/>
    <s v="055/2016 (P)"/>
    <s v="ING. EDWIN OSWALDO SEGOVIA ALBARRASIN"/>
    <s v="ECUATORIANA"/>
    <s v="PERSONA NATURAL"/>
    <s v="0 503067902001"/>
    <m/>
    <m/>
    <s v="NO SE INDICA EN LA CGC 1.1. (u)"/>
    <s v="DATO PENDIENTE"/>
    <n v="39324.14"/>
    <n v="0"/>
    <n v="39324.14"/>
    <m/>
    <n v="0"/>
    <n v="0"/>
    <n v="0.12"/>
    <n v="0"/>
    <n v="0"/>
    <n v="0"/>
    <m/>
    <m/>
    <m/>
    <m/>
    <m/>
    <m/>
    <m/>
    <m/>
    <m/>
    <m/>
    <m/>
    <m/>
    <m/>
    <m/>
    <m/>
    <m/>
    <m/>
    <m/>
    <m/>
    <m/>
    <m/>
    <n v="0"/>
    <n v="0"/>
    <s v="DDL, IAO 21.1."/>
    <s v="NO APLICA"/>
    <s v="NO APLICA"/>
    <s v="NO APLICA"/>
    <s v="NO APLICA"/>
    <s v="NO APLICA"/>
    <d v="2016-01-15T00:00:00"/>
    <d v="2016-01-20T00:00:00"/>
    <d v="2016-01-25T00:00:00"/>
    <d v="2016-02-15T00:00:00"/>
    <s v="NO APLICA"/>
    <d v="2016-03-16T00:00:00"/>
    <d v="2016-03-24T00:00:00"/>
    <s v="NO APLICA"/>
    <s v="NO APLICA"/>
    <s v="NO APLICA"/>
    <d v="2016-05-03T00:00:00"/>
    <s v="NO APLICA"/>
    <d v="2016-06-14T00:00:00"/>
    <d v="2016-07-01T00:00:00"/>
    <s v="NO APLICA"/>
    <s v="NO APLICA"/>
    <s v="NO APLICA"/>
    <s v="ü"/>
    <s v="ü"/>
    <s v="NO ESTA PUBLICADO"/>
    <s v="ü"/>
    <s v="ü"/>
    <s v="NO ESTA PUBLICADO"/>
    <s v="ü"/>
    <s v="ü"/>
    <s v="ü"/>
    <s v="ü"/>
    <s v="ü"/>
    <s v="NO APLICA"/>
    <s v="ü"/>
    <s v="ü"/>
    <s v="NO APLICA"/>
    <s v="SI"/>
    <n v="0.05"/>
    <d v="2016-08-17T00:00:00"/>
    <m/>
    <m/>
    <m/>
    <m/>
    <m/>
    <m/>
    <m/>
    <m/>
    <m/>
    <m/>
    <m/>
    <m/>
    <m/>
    <m/>
    <m/>
    <m/>
    <m/>
    <m/>
    <m/>
    <m/>
    <m/>
    <m/>
    <m/>
    <m/>
    <m/>
    <m/>
    <m/>
    <m/>
    <n v="0"/>
    <m/>
    <m/>
    <m/>
    <m/>
    <m/>
    <m/>
    <m/>
    <n v="120"/>
    <s v="DESDE LA NOTIFICACIÓN DE LA ENTREGA DEL ANTICIPO"/>
    <d v="2016-08-18T00:00:00"/>
    <d v="2016-12-16T00:00:00"/>
    <m/>
    <m/>
    <m/>
    <m/>
    <m/>
    <m/>
    <m/>
    <m/>
    <m/>
    <m/>
    <m/>
    <m/>
    <m/>
    <m/>
    <m/>
    <m/>
    <m/>
    <m/>
    <m/>
    <m/>
    <m/>
    <m/>
    <m/>
    <m/>
    <m/>
    <m/>
    <m/>
    <m/>
    <m/>
    <m/>
    <m/>
    <m/>
    <n v="0.69"/>
    <s v="76.16%"/>
    <n v="1"/>
    <n v="1"/>
    <n v="1"/>
    <n v="1"/>
    <n v="1"/>
    <n v="1"/>
    <n v="1"/>
    <n v="1"/>
    <n v="1"/>
    <n v="1"/>
    <n v="1"/>
    <n v="1"/>
    <n v="1"/>
    <n v="1"/>
    <n v="1"/>
    <n v="1"/>
    <n v="1"/>
    <n v="1"/>
    <n v="1"/>
    <n v="1"/>
    <n v="1"/>
    <n v="1"/>
    <x v="0"/>
    <n v="1"/>
    <n v="1"/>
    <n v="1"/>
    <x v="0"/>
    <s v="si"/>
    <s v="si"/>
    <s v="si"/>
    <s v="si"/>
    <s v="si"/>
    <s v="si"/>
    <s v="si"/>
    <x v="0"/>
    <s v="si"/>
    <s v="si"/>
    <s v="si"/>
    <m/>
    <m/>
    <m/>
    <m/>
    <m/>
    <m/>
    <m/>
    <m/>
    <m/>
    <m/>
    <s v="LA SECRETARIA DE GESTIÓN DE RIEGOS EMITIÓ EL PLAN DE CONTINGENCIA “AMENAZA DE ERUPCIÓN DEL VOLCÁN COTOPAXI”, EN EL CUAL SE DETERMINA QUE EL  COTOPAXI ES  CONSIDERADO  UNO  DE  LOS  VOLCANES  MÁS  ACTIVOS  DEL  MUNDO REPRESENTANDO  UNA  CONSTANTE  AMENAZA  PARA  AQUELLAS  POBLACIONES  DE  INFLUENCIA DIRECTA E INDIRECTA POR EVENTOS ASOCIADOS._x000a_SE JUSTIFICA LA CONTRATACIÓN DIRECTA EN BASE A LA DECLARACIÓN DE ALERTA AMARILLA, EN BASE A LOS SIGUIENTES DOCUMENTOS:_x000a__x000a_1. RESOLUCIÓN NO.SGR-042-2015 DE 14 DE AGOSTO DE 2015, DECLARACIÓN DE ALERTA AMARILLA._x000a_2. DECRETO EJECUTIVO NO.755 DE 15 DE AGOSTO DE 2015, DECLARACIÓN DE ESTADO DE EXCEPCIÓN EN TODO EL TERRITORIO NACIONAL, PARA ENFRENTAR EL PROCESO ERUPTIVO DEL VOLCÁN COTOPAXI._x000a_3. “PLAN DE CONTINGENCIA AMENAZA DE ERUPCIÓN DEL VOLCÁN COTOPAXI”, EMITIDO POR LA SECRETARÍA DE GESTIÓN DE RIESGOS._x000a_4. RESOLUCIÓN NRO. 01-PE-2015 DE 07 DE SEPTIEMBRE DE 2015, DECLARACIÓN DEL ESTADO DE EMERGENCIA INSTITUCIONAL DE ELEPCOSA._x000a_Adquisición de equipo trailer para lavado de aisladores en caliente mediante agua a presión para uso  en el área de servicio de la Empresa Eléctrica Provincial Cotopaxi, que se encuentra directamente afectada por la posible erupción del volcán Cotopaxi (5.890 m de altura). Este equipo se requiere para el lavado y evacuación del polvo volcánico que se acumule en los aisladores de las líneas, redes y subestaciones."/>
    <m/>
    <m/>
    <d v="2015-12-30T00:00:00"/>
  </r>
  <r>
    <x v="4"/>
    <s v="OBRAS"/>
    <x v="0"/>
    <s v="Proyectos de expansión y refuerzo en el Sistema Nacional de Distribución"/>
    <x v="0"/>
    <x v="0"/>
    <x v="0"/>
    <s v="COTOPAXI"/>
    <x v="103"/>
    <n v="14"/>
    <x v="0"/>
    <s v="BID2-RSND-ELEPCO-DI-OB-005"/>
    <s v="CONSTRUCCIÓN ENLACES TRIFÁSICOS Y MONOFÁSICOS EN ZONA DE RIESGO, PLAN DE CONTINGENCIA"/>
    <s v="C2:Macalo Chico-Macalo Grande, Tanicuchi-Santa Ana Bajo"/>
    <s v="LPN"/>
    <s v="ex-post"/>
    <s v="EJECUTADO BID"/>
    <s v="055/2016 (P)"/>
    <s v="ING. EDWIN OSWALDO SEGOVIA ALBARRASIN"/>
    <s v="ECUATORIANA"/>
    <s v="PERSONA NATURAL"/>
    <s v="0 503067902001"/>
    <m/>
    <m/>
    <s v="NO SE INDICA EN LA CGC 1.1. (u)"/>
    <s v="DATO PENDIENTE"/>
    <n v="43233.46"/>
    <n v="0"/>
    <n v="43233.46"/>
    <m/>
    <n v="0"/>
    <n v="0"/>
    <n v="0.12"/>
    <n v="0"/>
    <n v="0"/>
    <n v="0"/>
    <m/>
    <m/>
    <m/>
    <m/>
    <m/>
    <m/>
    <m/>
    <m/>
    <m/>
    <m/>
    <m/>
    <m/>
    <m/>
    <m/>
    <m/>
    <m/>
    <m/>
    <m/>
    <m/>
    <m/>
    <m/>
    <n v="0"/>
    <n v="0"/>
    <s v="DDL, IAO 21.1."/>
    <s v="NO APLICA"/>
    <s v="NO APLICA"/>
    <s v="NO APLICA"/>
    <s v="NO APLICA"/>
    <s v="NO APLICA"/>
    <d v="2016-01-15T00:00:00"/>
    <d v="2016-01-20T00:00:00"/>
    <d v="2016-01-25T00:00:00"/>
    <d v="2016-02-15T00:00:00"/>
    <s v="NO APLICA"/>
    <d v="2016-03-16T00:00:00"/>
    <d v="2016-03-24T00:00:00"/>
    <s v="NO APLICA"/>
    <s v="NO APLICA"/>
    <s v="NO APLICA"/>
    <d v="2016-05-03T00:00:00"/>
    <s v="NO APLICA"/>
    <d v="2016-06-14T00:00:00"/>
    <d v="2016-07-01T00:00:00"/>
    <s v="NO APLICA"/>
    <s v="NO APLICA"/>
    <s v="NO APLICA"/>
    <s v="ü"/>
    <s v="ü"/>
    <s v="NO ESTA PUBLICADO"/>
    <s v="ü"/>
    <s v="ü"/>
    <s v="NO ESTA PUBLICADO"/>
    <s v="ü"/>
    <s v="ü"/>
    <s v="ü"/>
    <s v="ü"/>
    <s v="ü"/>
    <s v="NO APLICA"/>
    <s v="ü"/>
    <s v="ü"/>
    <s v="NO APLICA"/>
    <s v="SI"/>
    <n v="0.05"/>
    <d v="2016-08-17T00:00:00"/>
    <m/>
    <m/>
    <m/>
    <m/>
    <m/>
    <m/>
    <m/>
    <m/>
    <m/>
    <m/>
    <m/>
    <m/>
    <m/>
    <m/>
    <m/>
    <m/>
    <m/>
    <m/>
    <m/>
    <m/>
    <m/>
    <m/>
    <m/>
    <m/>
    <m/>
    <m/>
    <m/>
    <m/>
    <n v="0"/>
    <m/>
    <m/>
    <m/>
    <m/>
    <m/>
    <m/>
    <m/>
    <n v="120"/>
    <s v="DESDE LA NOTIFICACIÓN DE LA ENTREGA DEL ANTICIPO"/>
    <d v="2016-08-18T00:00:00"/>
    <d v="2016-12-16T00:00:00"/>
    <m/>
    <m/>
    <m/>
    <m/>
    <m/>
    <m/>
    <m/>
    <m/>
    <m/>
    <m/>
    <m/>
    <m/>
    <m/>
    <m/>
    <m/>
    <m/>
    <m/>
    <m/>
    <m/>
    <m/>
    <m/>
    <m/>
    <m/>
    <m/>
    <m/>
    <m/>
    <m/>
    <m/>
    <m/>
    <m/>
    <m/>
    <m/>
    <n v="0.69"/>
    <s v="76.16%"/>
    <n v="1"/>
    <n v="1"/>
    <n v="1"/>
    <n v="1"/>
    <n v="1"/>
    <n v="1"/>
    <n v="1"/>
    <n v="1"/>
    <n v="1"/>
    <n v="1"/>
    <n v="1"/>
    <n v="1"/>
    <n v="1"/>
    <n v="1"/>
    <n v="1"/>
    <n v="1"/>
    <n v="1"/>
    <n v="1"/>
    <n v="1"/>
    <n v="1"/>
    <n v="1"/>
    <n v="1"/>
    <x v="0"/>
    <n v="1"/>
    <n v="1"/>
    <n v="1"/>
    <x v="0"/>
    <s v="si"/>
    <s v="si"/>
    <s v="si"/>
    <s v="si"/>
    <s v="si"/>
    <s v="si"/>
    <s v="si"/>
    <x v="0"/>
    <s v="si"/>
    <s v="si"/>
    <s v="si"/>
    <m/>
    <m/>
    <m/>
    <m/>
    <m/>
    <m/>
    <m/>
    <m/>
    <m/>
    <m/>
    <s v="LA SECRETARIA DE GESTIÓN DE RIEGOS EMITIÓ EL PLAN DE CONTINGENCIA “AMENAZA DE ERUPCIÓN DEL VOLCÁN COTOPAXI”, EN EL CUAL SE DETERMINA QUE EL  COTOPAXI ES  CONSIDERADO  UNO  DE  LOS  VOLCANES  MÁS  ACTIVOS  DEL  MUNDO REPRESENTANDO  UNA  CONSTANTE  AMENAZA  PARA  AQUELLAS  POBLACIONES  DE  INFLUENCIA DIRECTA E INDIRECTA POR EVENTOS ASOCIADOS._x000a_SE JUSTIFICA LA CONTRATACIÓN DIRECTA EN BASE A LA DECLARACIÓN DE ALERTA AMARILLA, EN BASE A LOS SIGUIENTES DOCUMENTOS:_x000a__x000a_1. RESOLUCIÓN NO.SGR-042-2015 DE 14 DE AGOSTO DE 2015, DECLARACIÓN DE ALERTA AMARILLA._x000a_2. DECRETO EJECUTIVO NO.755 DE 15 DE AGOSTO DE 2015, DECLARACIÓN DE ESTADO DE EXCEPCIÓN EN TODO EL TERRITORIO NACIONAL, PARA ENFRENTAR EL PROCESO ERUPTIVO DEL VOLCÁN COTOPAXI._x000a_3. “PLAN DE CONTINGENCIA AMENAZA DE ERUPCIÓN DEL VOLCÁN COTOPAXI”, EMITIDO POR LA SECRETARÍA DE GESTIÓN DE RIESGOS._x000a_4. RESOLUCIÓN NRO. 01-PE-2015 DE 07 DE SEPTIEMBRE DE 2015, DECLARACIÓN DEL ESTADO DE EMERGENCIA INSTITUCIONAL DE ELEPCOSA._x000a_Adquisición de equipo trailer para lavado de aisladores en caliente mediante agua a presión para uso  en el área de servicio de la Empresa Eléctrica Provincial Cotopaxi, que se encuentra directamente afectada por la posible erupción del volcán Cotopaxi (5.890 m de altura). Este equipo se requiere para el lavado y evacuación del polvo volcánico que se acumule en los aisladores de las líneas, redes y subestaciones."/>
    <m/>
    <m/>
    <d v="2015-12-30T00:00:00"/>
  </r>
  <r>
    <x v="4"/>
    <s v="OBRAS"/>
    <x v="0"/>
    <s v="Proyectos de expansión y refuerzo en el Sistema Nacional de Distribución"/>
    <x v="0"/>
    <x v="0"/>
    <x v="0"/>
    <s v="COTOPAXI"/>
    <x v="104"/>
    <n v="15"/>
    <x v="0"/>
    <s v="BID2-RSND-ELEPCO-DI-OB-005"/>
    <s v="CONSTRUCCIÓN ENLACES TRIFÁSICOS Y MONOFÁSICOS EN ZONA DE RIESGO, PLAN DE CONTINGENCIA"/>
    <s v="C3: SE Móvil-Salcedo-Alimentador EEASA-SE Salcedo"/>
    <s v="LPN"/>
    <s v="ex-post"/>
    <s v="EJECUTADO BID"/>
    <s v="No. 058/2016 (P)"/>
    <s v="ING. WILSON SANTIAGO MARCAYATA CARDENAS"/>
    <s v="ECUATORIANA"/>
    <s v="PERSONA NATURAL"/>
    <n v="1712739919001"/>
    <s v="DATO PENDIENTE "/>
    <s v="DATO PENDIENTE "/>
    <s v="NO SE INDICA EN LA CGC 1.1 (u)"/>
    <s v="DATO PENDIENTE"/>
    <n v="48123.03"/>
    <n v="132763.31"/>
    <n v="48123.03"/>
    <n v="132763.31"/>
    <n v="0"/>
    <n v="132763.31"/>
    <n v="0.12"/>
    <n v="15931.597199999998"/>
    <n v="0"/>
    <n v="148694.90720000002"/>
    <n v="124307.97"/>
    <n v="8455.3399999999965"/>
    <m/>
    <m/>
    <n v="126441.25"/>
    <m/>
    <n v="125292.48"/>
    <m/>
    <m/>
    <m/>
    <m/>
    <m/>
    <m/>
    <m/>
    <m/>
    <m/>
    <m/>
    <m/>
    <m/>
    <m/>
    <m/>
    <n v="7470.8300000000017"/>
    <n v="7470.8300000000017"/>
    <s v="DDL, IAO 21.1."/>
    <s v="NO APLICA"/>
    <s v="NO APLICA"/>
    <s v="NO APLICA"/>
    <s v="NO APLICA"/>
    <s v="NO APLICA"/>
    <d v="2016-01-15T00:00:00"/>
    <d v="2016-01-20T00:00:00"/>
    <d v="2016-01-25T00:00:00"/>
    <d v="2016-02-15T00:00:00"/>
    <s v="NO APLICA"/>
    <d v="2016-03-16T00:00:00"/>
    <d v="2016-03-24T00:00:00"/>
    <s v="NO APLICA"/>
    <s v="NO APLICA"/>
    <s v="NO APLICA"/>
    <d v="2016-05-03T00:00:00"/>
    <s v="NO APLICA"/>
    <d v="2016-06-14T00:00:00"/>
    <d v="2016-07-06T00:00:00"/>
    <s v="NO APLICA"/>
    <s v="NO APLICA"/>
    <s v="NO APLICA"/>
    <s v="ü"/>
    <s v="ü"/>
    <s v="NO ESTA PUBLICADO"/>
    <s v="ü"/>
    <s v="ü"/>
    <s v="NO ESTA PUBLICADO"/>
    <s v="ü"/>
    <s v="ü"/>
    <s v="ü"/>
    <s v="ü"/>
    <s v="ü"/>
    <s v="NO APLICA"/>
    <s v="ü"/>
    <s v="ü"/>
    <s v="NO APLICA"/>
    <s v="SI"/>
    <n v="0.05"/>
    <d v="2016-08-17T00:00:00"/>
    <n v="62646.239999999998"/>
    <s v="PAGO 2/4 - AVANCE 20% PLANILLA 1  "/>
    <d v="2016-10-21T00:00:00"/>
    <n v="25058.489999999998"/>
    <s v="PAGO 3/4 - AVANCE 70% PLANILLA 2  "/>
    <d v="2016-12-07T00:00:00"/>
    <n v="25058.489999999998"/>
    <s v="PAGO -LIQUIDACION"/>
    <d v="2017-03-06T00:00:00"/>
    <n v="11544.75"/>
    <m/>
    <m/>
    <m/>
    <m/>
    <m/>
    <m/>
    <m/>
    <m/>
    <m/>
    <m/>
    <m/>
    <m/>
    <m/>
    <m/>
    <m/>
    <m/>
    <m/>
    <m/>
    <n v="124307.97"/>
    <m/>
    <m/>
    <m/>
    <m/>
    <m/>
    <m/>
    <m/>
    <n v="120"/>
    <s v="DESDE LA NOTIFICACIÓN DE LA ENTREGA DEL ANTICIPO"/>
    <d v="2016-08-18T00:00:00"/>
    <d v="2016-12-16T00:00:00"/>
    <m/>
    <m/>
    <m/>
    <m/>
    <m/>
    <m/>
    <m/>
    <m/>
    <m/>
    <m/>
    <m/>
    <m/>
    <m/>
    <m/>
    <m/>
    <m/>
    <m/>
    <m/>
    <m/>
    <m/>
    <m/>
    <m/>
    <m/>
    <m/>
    <m/>
    <m/>
    <m/>
    <m/>
    <m/>
    <m/>
    <m/>
    <m/>
    <n v="0.69"/>
    <s v="76.16%"/>
    <n v="1"/>
    <n v="1"/>
    <n v="1"/>
    <n v="1"/>
    <n v="1"/>
    <n v="1"/>
    <n v="1"/>
    <n v="1"/>
    <n v="1"/>
    <n v="1"/>
    <n v="1"/>
    <n v="1"/>
    <n v="1"/>
    <n v="1"/>
    <n v="1"/>
    <n v="1"/>
    <n v="1"/>
    <n v="1"/>
    <n v="1"/>
    <n v="1"/>
    <n v="1"/>
    <n v="1"/>
    <x v="0"/>
    <n v="1"/>
    <n v="1"/>
    <n v="1"/>
    <x v="0"/>
    <s v="si"/>
    <s v="si"/>
    <s v="si"/>
    <s v="si"/>
    <s v="si"/>
    <s v="si"/>
    <s v="si"/>
    <x v="0"/>
    <s v="si"/>
    <s v="si"/>
    <s v="si"/>
    <m/>
    <m/>
    <m/>
    <m/>
    <m/>
    <m/>
    <m/>
    <m/>
    <m/>
    <m/>
    <s v="LA SECRETARIA DE GESTIÓN DE RIEGOS EMITIÓ EL PLAN DE CONTINGENCIA “AMENAZA DE ERUPCIÓN DEL VOLCÁN COTOPAXI”, EN EL CUAL SE DETERMINA QUE EL  COTOPAXI ES  CONSIDERADO  UNO  DE  LOS  VOLCANES  MÁS  ACTIVOS  DEL  MUNDO REPRESENTANDO  UNA  CONSTANTE  AMENAZA  PARA  AQUELLAS  POBLACIONES  DE  INFLUENCIA DIRECTA E INDIRECTA POR EVENTOS ASOCIADOS._x000a_SE JUSTIFICA LA CONTRATACIÓN DIRECTA EN BASE A LA DECLARACIÓN DE ALERTA AMARILLA, EN BASE A LOS SIGUIENTES DOCUMENTOS:_x000a__x000a_1. RESOLUCIÓN NO.SGR-042-2015 DE 14 DE AGOSTO DE 2015, DECLARACIÓN DE ALERTA AMARILLA._x000a_2. DECRETO EJECUTIVO NO.755 DE 15 DE AGOSTO DE 2015, DECLARACIÓN DE ESTADO DE EXCEPCIÓN EN TODO EL TERRITORIO NACIONAL, PARA ENFRENTAR EL PROCESO ERUPTIVO DEL VOLCÁN COTOPAXI._x000a_3. “PLAN DE CONTINGENCIA AMENAZA DE ERUPCIÓN DEL VOLCÁN COTOPAXI”, EMITIDO POR LA SECRETARÍA DE GESTIÓN DE RIESGOS._x000a_4. RESOLUCIÓN NRO. 01-PE-2015 DE 07 DE SEPTIEMBRE DE 2015, DECLARACIÓN DEL ESTADO DE EMERGENCIA INSTITUCIONAL DE ELEPCOSA._x000a_Adquisición de equipo trailer para lavado de aisladores en caliente mediante agua a presión para uso  en el área de servicio de la Empresa Eléctrica Provincial Cotopaxi, que se encuentra directamente afectada por la posible erupción del volcán Cotopaxi (5.890 m de altura). Este equipo se requiere para el lavado y evacuación del polvo volcánico que se acumule en los aisladores de las líneas, redes y subestaciones."/>
    <m/>
    <m/>
    <d v="2015-12-30T00:00:00"/>
  </r>
  <r>
    <x v="4"/>
    <s v="OBRAS"/>
    <x v="0"/>
    <s v="Proyectos de expansión y refuerzo en el Sistema Nacional de Distribución"/>
    <x v="0"/>
    <x v="0"/>
    <x v="0"/>
    <s v="COTOPAXI"/>
    <x v="105"/>
    <n v="16"/>
    <x v="0"/>
    <s v="BID2-RSND-ELEPCO-DI-OB-005"/>
    <s v="CONSTRUCCIÓN ENLACES TRIFÁSICOS Y MONOFÁSICOS EN ZONA DE RIESGO, PLAN DE CONTINGENCIA"/>
    <s v="C3: Salcedo-Anchiliví, La Laguna-San Francisco "/>
    <s v="LPN"/>
    <s v="ex-post"/>
    <s v="EJECUTADO BID"/>
    <s v="No. 058/2016 (P)"/>
    <s v="ING. WILSON SANTIAGO MARCAYATA CARDENAS"/>
    <s v="ECUATORIANA"/>
    <s v="PERSONA NATURAL"/>
    <n v="1712739919001"/>
    <s v="DATO PENDIENTE "/>
    <s v="DATO PENDIENTE "/>
    <s v="NO SE INDICA EN LA CGC 1.1 (u)"/>
    <s v="DATO PENDIENTE"/>
    <n v="44050.879999999997"/>
    <n v="0"/>
    <n v="44050.879999999997"/>
    <m/>
    <n v="0"/>
    <n v="0"/>
    <n v="0.12"/>
    <n v="0"/>
    <n v="0"/>
    <n v="0"/>
    <m/>
    <m/>
    <m/>
    <m/>
    <m/>
    <m/>
    <m/>
    <m/>
    <m/>
    <m/>
    <m/>
    <m/>
    <m/>
    <m/>
    <m/>
    <m/>
    <m/>
    <m/>
    <m/>
    <m/>
    <m/>
    <n v="0"/>
    <n v="0"/>
    <s v="DDL, IAO 21.1."/>
    <s v="NO APLICA"/>
    <s v="NO APLICA"/>
    <s v="NO APLICA"/>
    <s v="NO APLICA"/>
    <s v="NO APLICA"/>
    <d v="2016-01-15T00:00:00"/>
    <d v="2016-01-20T00:00:00"/>
    <d v="2016-01-25T00:00:00"/>
    <d v="2016-02-15T00:00:00"/>
    <s v="NO APLICA"/>
    <d v="2016-03-16T00:00:00"/>
    <d v="2016-03-24T00:00:00"/>
    <s v="NO APLICA"/>
    <s v="NO APLICA"/>
    <s v="NO APLICA"/>
    <d v="2016-05-03T00:00:00"/>
    <s v="NO APLICA"/>
    <d v="2016-06-14T00:00:00"/>
    <d v="2016-07-06T00:00:00"/>
    <s v="NO APLICA"/>
    <s v="NO APLICA"/>
    <s v="NO APLICA"/>
    <s v="ü"/>
    <s v="ü"/>
    <s v="NO ESTA PUBLICADO"/>
    <s v="ü"/>
    <s v="ü"/>
    <s v="NO ESTA PUBLICADO"/>
    <s v="ü"/>
    <s v="ü"/>
    <s v="ü"/>
    <s v="ü"/>
    <s v="ü"/>
    <s v="NO APLICA"/>
    <s v="ü"/>
    <s v="ü"/>
    <s v="NO APLICA"/>
    <s v="SI"/>
    <n v="0.05"/>
    <d v="2016-08-17T00:00:00"/>
    <m/>
    <m/>
    <m/>
    <m/>
    <m/>
    <m/>
    <m/>
    <m/>
    <m/>
    <m/>
    <m/>
    <m/>
    <m/>
    <m/>
    <m/>
    <m/>
    <m/>
    <m/>
    <m/>
    <m/>
    <m/>
    <m/>
    <m/>
    <m/>
    <m/>
    <m/>
    <m/>
    <m/>
    <n v="0"/>
    <m/>
    <m/>
    <m/>
    <m/>
    <m/>
    <m/>
    <m/>
    <n v="120"/>
    <s v="DESDE LA NOTIFICACIÓN DE LA ENTREGA DEL ANTICIPO"/>
    <d v="2016-08-18T00:00:00"/>
    <d v="2016-12-16T00:00:00"/>
    <m/>
    <m/>
    <m/>
    <m/>
    <m/>
    <m/>
    <m/>
    <m/>
    <m/>
    <m/>
    <m/>
    <m/>
    <m/>
    <m/>
    <m/>
    <m/>
    <m/>
    <m/>
    <m/>
    <m/>
    <m/>
    <m/>
    <m/>
    <m/>
    <m/>
    <m/>
    <m/>
    <m/>
    <m/>
    <m/>
    <m/>
    <m/>
    <n v="0.69"/>
    <s v="76.16%"/>
    <n v="1"/>
    <n v="1"/>
    <n v="1"/>
    <n v="1"/>
    <n v="1"/>
    <n v="1"/>
    <n v="1"/>
    <n v="1"/>
    <n v="1"/>
    <n v="1"/>
    <n v="1"/>
    <n v="1"/>
    <n v="1"/>
    <n v="1"/>
    <n v="1"/>
    <n v="1"/>
    <n v="1"/>
    <n v="1"/>
    <n v="1"/>
    <n v="1"/>
    <n v="1"/>
    <n v="1"/>
    <x v="0"/>
    <n v="1"/>
    <n v="1"/>
    <n v="1"/>
    <x v="0"/>
    <s v="si"/>
    <s v="si"/>
    <s v="si"/>
    <s v="si"/>
    <s v="si"/>
    <s v="si"/>
    <s v="si"/>
    <x v="0"/>
    <s v="si"/>
    <s v="si"/>
    <s v="si"/>
    <m/>
    <m/>
    <m/>
    <m/>
    <m/>
    <m/>
    <m/>
    <m/>
    <m/>
    <m/>
    <s v="LA SECRETARIA DE GESTIÓN DE RIEGOS EMITIÓ EL PLAN DE CONTINGENCIA “AMENAZA DE ERUPCIÓN DEL VOLCÁN COTOPAXI”, EN EL CUAL SE DETERMINA QUE EL  COTOPAXI ES  CONSIDERADO  UNO  DE  LOS  VOLCANES  MÁS  ACTIVOS  DEL  MUNDO REPRESENTANDO  UNA  CONSTANTE  AMENAZA  PARA  AQUELLAS  POBLACIONES  DE  INFLUENCIA DIRECTA E INDIRECTA POR EVENTOS ASOCIADOS._x000a_SE JUSTIFICA LA CONTRATACIÓN DIRECTA EN BASE A LA DECLARACIÓN DE ALERTA AMARILLA, EN BASE A LOS SIGUIENTES DOCUMENTOS:_x000a__x000a_1. RESOLUCIÓN NO.SGR-042-2015 DE 14 DE AGOSTO DE 2015, DECLARACIÓN DE ALERTA AMARILLA._x000a_2. DECRETO EJECUTIVO NO.755 DE 15 DE AGOSTO DE 2015, DECLARACIÓN DE ESTADO DE EXCEPCIÓN EN TODO EL TERRITORIO NACIONAL, PARA ENFRENTAR EL PROCESO ERUPTIVO DEL VOLCÁN COTOPAXI._x000a_3. “PLAN DE CONTINGENCIA AMENAZA DE ERUPCIÓN DEL VOLCÁN COTOPAXI”, EMITIDO POR LA SECRETARÍA DE GESTIÓN DE RIESGOS._x000a_4. RESOLUCIÓN NRO. 01-PE-2015 DE 07 DE SEPTIEMBRE DE 2015, DECLARACIÓN DEL ESTADO DE EMERGENCIA INSTITUCIONAL DE ELEPCOSA._x000a_Adquisición de equipo trailer para lavado de aisladores en caliente mediante agua a presión para uso  en el área de servicio de la Empresa Eléctrica Provincial Cotopaxi, que se encuentra directamente afectada por la posible erupción del volcán Cotopaxi (5.890 m de altura). Este equipo se requiere para el lavado y evacuación del polvo volcánico que se acumule en los aisladores de las líneas, redes y subestaciones."/>
    <m/>
    <m/>
    <d v="2015-12-30T00:00:00"/>
  </r>
  <r>
    <x v="4"/>
    <s v="OBRAS"/>
    <x v="0"/>
    <s v="Proyectos de expansión y refuerzo en el Sistema Nacional de Distribución"/>
    <x v="0"/>
    <x v="0"/>
    <x v="0"/>
    <s v="COTOPAXI"/>
    <x v="106"/>
    <n v="17"/>
    <x v="0"/>
    <s v="BID2-RSND-ELEPCO-DI-OB-005"/>
    <s v="CONSTRUCCIÓN ENLACES TRIFÁSICOS Y MONOFÁSICOS EN ZONA DE RIESGO, PLAN DE CONTINGENCIA"/>
    <s v="C3: José Guango Bajo-Barrancas, Chugchilán-El Chan"/>
    <s v="LPN"/>
    <s v="ex-post"/>
    <s v="EJECUTADO BID"/>
    <s v="No. 058/2016 (P)"/>
    <s v="ING. WILSON SANTIAGO MARCAYATA CARDENAS"/>
    <s v="ECUATORIANA"/>
    <s v="PERSONA NATURAL"/>
    <n v="1712739919001"/>
    <s v="DATO PENDIENTE "/>
    <s v="DATO PENDIENTE "/>
    <s v="NO SE INDICA EN LA CGC 1.1 (u)"/>
    <s v="DATO PENDIENTE"/>
    <n v="40589.4"/>
    <n v="0"/>
    <n v="40589.4"/>
    <m/>
    <n v="0"/>
    <n v="0"/>
    <n v="0.12"/>
    <n v="0"/>
    <n v="0"/>
    <n v="0"/>
    <m/>
    <m/>
    <m/>
    <m/>
    <m/>
    <m/>
    <m/>
    <m/>
    <m/>
    <m/>
    <m/>
    <m/>
    <m/>
    <m/>
    <m/>
    <m/>
    <m/>
    <m/>
    <m/>
    <m/>
    <m/>
    <n v="0"/>
    <n v="0"/>
    <s v="DDL, IAO 21.1."/>
    <s v="NO APLICA"/>
    <s v="NO APLICA"/>
    <s v="NO APLICA"/>
    <s v="NO APLICA"/>
    <s v="NO APLICA"/>
    <d v="2016-01-15T00:00:00"/>
    <d v="2016-01-20T00:00:00"/>
    <d v="2016-01-25T00:00:00"/>
    <d v="2016-02-15T00:00:00"/>
    <s v="NO APLICA"/>
    <d v="2016-03-16T00:00:00"/>
    <d v="2016-03-24T00:00:00"/>
    <s v="NO APLICA"/>
    <s v="NO APLICA"/>
    <s v="NO APLICA"/>
    <d v="2016-05-03T00:00:00"/>
    <s v="NO APLICA"/>
    <d v="2016-06-14T00:00:00"/>
    <d v="2016-07-06T00:00:00"/>
    <s v="NO APLICA"/>
    <s v="NO APLICA"/>
    <s v="NO APLICA"/>
    <s v="ü"/>
    <s v="ü"/>
    <s v="NO ESTA PUBLICADO"/>
    <s v="ü"/>
    <s v="ü"/>
    <s v="NO ESTA PUBLICADO"/>
    <s v="ü"/>
    <s v="ü"/>
    <s v="ü"/>
    <s v="ü"/>
    <s v="ü"/>
    <s v="NO APLICA"/>
    <s v="ü"/>
    <s v="ü"/>
    <s v="NO APLICA"/>
    <s v="SI"/>
    <n v="0.05"/>
    <d v="2016-08-17T00:00:00"/>
    <m/>
    <m/>
    <m/>
    <m/>
    <m/>
    <m/>
    <m/>
    <m/>
    <m/>
    <m/>
    <m/>
    <m/>
    <m/>
    <m/>
    <m/>
    <m/>
    <m/>
    <m/>
    <m/>
    <m/>
    <m/>
    <m/>
    <m/>
    <m/>
    <m/>
    <m/>
    <m/>
    <m/>
    <n v="0"/>
    <m/>
    <m/>
    <m/>
    <m/>
    <m/>
    <m/>
    <m/>
    <n v="120"/>
    <s v="DESDE LA NOTIFICACIÓN DE LA ENTREGA DEL ANTICIPO"/>
    <d v="2016-08-18T00:00:00"/>
    <d v="2016-12-16T00:00:00"/>
    <m/>
    <m/>
    <m/>
    <m/>
    <m/>
    <m/>
    <m/>
    <m/>
    <m/>
    <m/>
    <m/>
    <m/>
    <m/>
    <m/>
    <m/>
    <m/>
    <m/>
    <m/>
    <m/>
    <m/>
    <m/>
    <m/>
    <m/>
    <m/>
    <m/>
    <m/>
    <m/>
    <m/>
    <m/>
    <m/>
    <m/>
    <m/>
    <n v="0.69"/>
    <s v="76.16%"/>
    <n v="1"/>
    <n v="1"/>
    <n v="1"/>
    <n v="1"/>
    <n v="1"/>
    <n v="1"/>
    <n v="1"/>
    <n v="1"/>
    <n v="1"/>
    <n v="1"/>
    <n v="1"/>
    <n v="1"/>
    <n v="1"/>
    <n v="1"/>
    <n v="1"/>
    <n v="1"/>
    <n v="1"/>
    <n v="1"/>
    <n v="1"/>
    <n v="1"/>
    <n v="1"/>
    <n v="1"/>
    <x v="0"/>
    <n v="1"/>
    <n v="1"/>
    <n v="1"/>
    <x v="0"/>
    <s v="si"/>
    <s v="si"/>
    <s v="si"/>
    <s v="si"/>
    <s v="si"/>
    <s v="si"/>
    <s v="si"/>
    <x v="0"/>
    <s v="si"/>
    <s v="si"/>
    <s v="si"/>
    <m/>
    <m/>
    <m/>
    <m/>
    <m/>
    <m/>
    <m/>
    <m/>
    <m/>
    <m/>
    <s v="LA SECRETARIA DE GESTIÓN DE RIEGOS EMITIÓ EL PLAN DE CONTINGENCIA “AMENAZA DE ERUPCIÓN DEL VOLCÁN COTOPAXI”, EN EL CUAL SE DETERMINA QUE EL  COTOPAXI ES  CONSIDERADO  UNO  DE  LOS  VOLCANES  MÁS  ACTIVOS  DEL  MUNDO REPRESENTANDO  UNA  CONSTANTE  AMENAZA  PARA  AQUELLAS  POBLACIONES  DE  INFLUENCIA DIRECTA E INDIRECTA POR EVENTOS ASOCIADOS._x000a_SE JUSTIFICA LA CONTRATACIÓN DIRECTA EN BASE A LA DECLARACIÓN DE ALERTA AMARILLA, EN BASE A LOS SIGUIENTES DOCUMENTOS:_x000a__x000a_1. RESOLUCIÓN NO.SGR-042-2015 DE 14 DE AGOSTO DE 2015, DECLARACIÓN DE ALERTA AMARILLA._x000a_2. DECRETO EJECUTIVO NO.755 DE 15 DE AGOSTO DE 2015, DECLARACIÓN DE ESTADO DE EXCEPCIÓN EN TODO EL TERRITORIO NACIONAL, PARA ENFRENTAR EL PROCESO ERUPTIVO DEL VOLCÁN COTOPAXI._x000a_3. “PLAN DE CONTINGENCIA AMENAZA DE ERUPCIÓN DEL VOLCÁN COTOPAXI”, EMITIDO POR LA SECRETARÍA DE GESTIÓN DE RIESGOS._x000a_4. RESOLUCIÓN NRO. 01-PE-2015 DE 07 DE SEPTIEMBRE DE 2015, DECLARACIÓN DEL ESTADO DE EMERGENCIA INSTITUCIONAL DE ELEPCOSA._x000a_Adquisición de equipo trailer para lavado de aisladores en caliente mediante agua a presión para uso  en el área de servicio de la Empresa Eléctrica Provincial Cotopaxi, que se encuentra directamente afectada por la posible erupción del volcán Cotopaxi (5.890 m de altura). Este equipo se requiere para el lavado y evacuación del polvo volcánico que se acumule en los aisladores de las líneas, redes y subestaciones."/>
    <m/>
    <m/>
    <d v="2015-12-30T00:00:00"/>
  </r>
  <r>
    <x v="4"/>
    <s v="OBRAS"/>
    <x v="0"/>
    <s v="Proyectos de expansión y refuerzo en el Sistema Nacional de Distribución"/>
    <x v="3"/>
    <x v="3"/>
    <x v="0"/>
    <s v="COTOPAXI"/>
    <x v="107"/>
    <m/>
    <x v="0"/>
    <s v="BID2-RSND-ELEPCO-ST-OB-006"/>
    <s v="CONSTRUCCIÓN DE LA LÍNEA A 69KV TANICUCHÍ-SANTA ANA ALTO /  CONSTRUCCIÓN DE LA LÍNEA A 69KV PANZALEO-PUJILÍ"/>
    <s v="LST Tanicuchí Santa Ana alto"/>
    <s v="LPN"/>
    <s v="ex-post"/>
    <s v="DESIERTO P"/>
    <m/>
    <m/>
    <m/>
    <m/>
    <m/>
    <m/>
    <m/>
    <m/>
    <m/>
    <m/>
    <n v="0"/>
    <n v="0"/>
    <m/>
    <n v="0"/>
    <n v="0"/>
    <n v="0.12"/>
    <n v="0"/>
    <n v="0"/>
    <n v="0"/>
    <m/>
    <m/>
    <m/>
    <m/>
    <m/>
    <m/>
    <m/>
    <m/>
    <m/>
    <m/>
    <m/>
    <m/>
    <m/>
    <m/>
    <m/>
    <m/>
    <m/>
    <m/>
    <m/>
    <m/>
    <m/>
    <m/>
    <n v="0"/>
    <s v="DDL, IAO 21.1."/>
    <s v="NO APLICA"/>
    <s v="NO APLICA"/>
    <s v="NO APLICA"/>
    <s v="NO APLICA"/>
    <s v="NO APLICA"/>
    <d v="2016-01-15T00:00:00"/>
    <d v="2016-01-20T00:00:00"/>
    <d v="2016-01-25T00:00:00"/>
    <d v="2016-02-15T00:00:00"/>
    <s v="NO APLICA"/>
    <d v="2016-03-16T00:00:00"/>
    <d v="2016-03-24T00:00:00"/>
    <s v="NO APLICA"/>
    <s v="NO APLICA"/>
    <s v="NO APLICA"/>
    <s v="NO APLICA"/>
    <d v="2016-05-03T00:00:00"/>
    <s v="NO APLICA"/>
    <s v="NO APLICA"/>
    <s v="NO APLICA"/>
    <s v="NO APLICA"/>
    <s v="NO APLICA"/>
    <s v="ü"/>
    <s v="ü"/>
    <s v="NO ESTA PUBLICADO"/>
    <s v="ü"/>
    <s v="ü"/>
    <s v="NO ESTA PUBLICADO"/>
    <s v="ü"/>
    <s v="ü"/>
    <s v="NO ESTA PUBLICADO"/>
    <s v="ü"/>
    <s v="NO APLICA"/>
    <s v="ü"/>
    <s v="NO APLICA"/>
    <s v="NO APLICA"/>
    <s v="NO APLICA"/>
    <s v="SI"/>
    <n v="0.05"/>
    <m/>
    <m/>
    <m/>
    <m/>
    <m/>
    <m/>
    <m/>
    <m/>
    <m/>
    <m/>
    <m/>
    <m/>
    <m/>
    <m/>
    <m/>
    <m/>
    <m/>
    <m/>
    <m/>
    <m/>
    <m/>
    <m/>
    <m/>
    <m/>
    <m/>
    <m/>
    <m/>
    <m/>
    <m/>
    <n v="0"/>
    <m/>
    <m/>
    <m/>
    <m/>
    <m/>
    <m/>
    <m/>
    <n v="150"/>
    <m/>
    <m/>
    <m/>
    <m/>
    <m/>
    <m/>
    <m/>
    <m/>
    <m/>
    <m/>
    <m/>
    <m/>
    <m/>
    <m/>
    <m/>
    <m/>
    <m/>
    <m/>
    <m/>
    <m/>
    <m/>
    <m/>
    <m/>
    <m/>
    <m/>
    <m/>
    <m/>
    <m/>
    <m/>
    <m/>
    <m/>
    <m/>
    <m/>
    <m/>
    <m/>
    <m/>
    <m/>
    <m/>
    <m/>
    <m/>
    <m/>
    <m/>
    <m/>
    <m/>
    <m/>
    <m/>
    <m/>
    <m/>
    <m/>
    <m/>
    <m/>
    <m/>
    <m/>
    <m/>
    <m/>
    <m/>
    <m/>
    <m/>
    <m/>
    <x v="1"/>
    <m/>
    <m/>
    <m/>
    <x v="5"/>
    <s v="no"/>
    <s v="no"/>
    <s v="no"/>
    <s v="no"/>
    <s v="no"/>
    <s v="no"/>
    <s v="no"/>
    <x v="1"/>
    <s v="no"/>
    <s v="no"/>
    <s v="no"/>
    <m/>
    <m/>
    <m/>
    <s v="¿Se ha definido un proyecto que utilice estos recursos?"/>
    <s v="¿Se ha definido un proyecto que utilice estos recursos?"/>
    <m/>
    <m/>
    <m/>
    <m/>
    <m/>
    <s v="PENDIENTE REUNIÓN TÉCNICA DE TRABAJO (QUE SEGÚN CORREO REMITIDO A ELEPCO EL 23 DE FEBRERO DE 2017)ESTA FIJADA PARA EL DÍA MIÉRCOLES 01 DE MARZO 2017, PARA DEFINIR EL REEMPLAZO DE ESTE PROYECTO, CONFORME EL REQUERIMIENTO CONTENIDO EN EL OFICIO No. ELEPCOSA-PE-2016-00265-O del 05 de  DICIEMBRE de 2016."/>
    <m/>
    <m/>
    <d v="2015-12-30T00:00:00"/>
  </r>
  <r>
    <x v="4"/>
    <s v="OBRAS"/>
    <x v="0"/>
    <s v="Proyectos de expansión y refuerzo en el Sistema Nacional de Distribución"/>
    <x v="3"/>
    <x v="3"/>
    <x v="0"/>
    <s v="COTOPAXI"/>
    <x v="108"/>
    <n v="19"/>
    <x v="0"/>
    <s v="BID2-RSND-ELEPCO-ST-OB-006"/>
    <s v="CONSTRUCCIÓN DE LA LÍNEA A 69KV TANICUCHÍ-SANTA ANA ALTO /  CONSTRUCCIÓN DE LA LÍNEA A 69KV PANZALEO-PUJILÍ"/>
    <s v="LST Panzaleo Pujili"/>
    <s v="LPN"/>
    <s v="ex-post"/>
    <s v="EJECUTADO BID"/>
    <s v="No. 062/2016 (P)"/>
    <s v="WORTRYMEC  ELECTROMECANICA CÍA. LTDA."/>
    <s v="ECUATORIANA"/>
    <s v="PERSONA JURÍDICA"/>
    <n v="1792131286001"/>
    <s v="DATO PENDIENTE "/>
    <s v="DATO PENDIENTE "/>
    <s v="NO SE INDICA EN LA CGC 1.1 (u)"/>
    <s v="DATO PENDIENTE"/>
    <m/>
    <n v="1574528.37"/>
    <n v="1574528.37"/>
    <n v="1574528.37"/>
    <n v="0"/>
    <n v="1574528.37"/>
    <n v="0.12"/>
    <n v="188943.4044"/>
    <n v="0"/>
    <n v="1763471.7744000002"/>
    <n v="1307722.93"/>
    <n v="266805.44000000018"/>
    <m/>
    <m/>
    <n v="1624528.43"/>
    <m/>
    <n v="1564814.8"/>
    <m/>
    <m/>
    <m/>
    <m/>
    <m/>
    <m/>
    <m/>
    <m/>
    <m/>
    <m/>
    <m/>
    <m/>
    <m/>
    <m/>
    <n v="9713.5700000000652"/>
    <n v="9713.5700000000652"/>
    <s v="DDL, IAO 21.1."/>
    <s v="NO APLICA"/>
    <s v="NO APLICA"/>
    <s v="NO APLICA"/>
    <s v="NO APLICA"/>
    <s v="NO APLICA"/>
    <d v="2016-01-15T00:00:00"/>
    <d v="2016-01-20T00:00:00"/>
    <d v="2016-01-25T00:00:00"/>
    <d v="2016-02-15T00:00:00"/>
    <s v="NO APLICA"/>
    <d v="2016-03-16T00:00:00"/>
    <d v="2016-03-24T00:00:00"/>
    <s v="NO APLICA"/>
    <s v="NO APLICA"/>
    <s v="NO APLICA"/>
    <d v="2016-05-03T00:00:00"/>
    <s v="NO APLICA"/>
    <d v="2016-06-14T00:00:00"/>
    <d v="2016-07-07T00:00:00"/>
    <s v="NO APLICA"/>
    <s v="NO APLICA"/>
    <s v="NO APLICA"/>
    <s v="ü"/>
    <s v="ü"/>
    <s v="NO ESTA PUBLICADO"/>
    <s v="ü"/>
    <s v="ü"/>
    <s v="NO ESTA PUBLICADO"/>
    <s v="ü"/>
    <s v="ü"/>
    <s v="NO ESTA PUBLICADO"/>
    <s v="ü"/>
    <s v="ü"/>
    <s v="NO APLICA"/>
    <s v="ü"/>
    <s v="ü"/>
    <s v="NO APLICA"/>
    <s v="SI"/>
    <n v="0.05"/>
    <d v="2016-09-05T00:00:00"/>
    <n v="782407.4"/>
    <s v="PLANILLA  1    CONVENIO 62/2016"/>
    <d v="2017-04-21T00:00:00"/>
    <n v="221654.72999999992"/>
    <s v="PLANILLA  2    CONVENIO 62/2016"/>
    <d v="2017-04-27T00:00:00"/>
    <n v="221654.72999999992"/>
    <m/>
    <m/>
    <m/>
    <m/>
    <m/>
    <m/>
    <m/>
    <m/>
    <m/>
    <m/>
    <m/>
    <m/>
    <m/>
    <m/>
    <m/>
    <m/>
    <m/>
    <m/>
    <m/>
    <m/>
    <m/>
    <n v="1225716.8599999999"/>
    <m/>
    <m/>
    <m/>
    <m/>
    <m/>
    <m/>
    <m/>
    <n v="150"/>
    <s v="DESDE LA NOTIFICACIÓN DE LA ENTREGA DEL ANTICIPO"/>
    <d v="2016-09-06T00:00:00"/>
    <d v="2017-02-03T00:00:00"/>
    <m/>
    <m/>
    <m/>
    <m/>
    <m/>
    <m/>
    <m/>
    <m/>
    <m/>
    <m/>
    <m/>
    <m/>
    <m/>
    <m/>
    <m/>
    <m/>
    <m/>
    <m/>
    <m/>
    <m/>
    <m/>
    <m/>
    <m/>
    <m/>
    <m/>
    <m/>
    <m/>
    <m/>
    <m/>
    <m/>
    <m/>
    <m/>
    <m/>
    <m/>
    <s v="17.78%"/>
    <s v="19.12%"/>
    <n v="0.3508"/>
    <n v="0.89"/>
    <n v="0.97"/>
    <n v="1"/>
    <n v="1"/>
    <n v="1"/>
    <n v="1"/>
    <n v="1"/>
    <n v="1"/>
    <n v="1"/>
    <n v="1"/>
    <n v="1"/>
    <n v="1"/>
    <n v="1"/>
    <n v="1"/>
    <n v="1"/>
    <n v="1"/>
    <n v="1"/>
    <n v="1"/>
    <n v="1"/>
    <x v="0"/>
    <n v="1"/>
    <n v="1"/>
    <n v="1"/>
    <x v="0"/>
    <s v="si"/>
    <s v="si"/>
    <s v="si"/>
    <s v="si"/>
    <s v="si"/>
    <s v="si"/>
    <s v="si"/>
    <x v="0"/>
    <s v="si"/>
    <s v="si"/>
    <s v="si"/>
    <m/>
    <m/>
    <m/>
    <m/>
    <m/>
    <m/>
    <m/>
    <m/>
    <m/>
    <m/>
    <s v="OBRA SUSPENDIDA:  MEDIANTE OFICIO Nro.MAE-DPACOT-2016-1338 DE 25 NOVIEMBRE DE 2016, EL MINISTERIO DEL AMBIENTE DISPUSO QUE LA OBRA PREVIO AL INICIO DEBE CONTAR CON LA LICENCIA AMBIENTAL, EN LUEGAR DE QUE LA GESTIÓN SE REALICE DE FORMA PARALELA COMO SE SUGIRIÓ POR PARTE DE LA LA SDCE MEDIANTE OFICIO No.MEE-SDCE-2016-1279-OF"/>
    <m/>
    <m/>
    <d v="2015-12-30T00:00:00"/>
  </r>
  <r>
    <x v="4"/>
    <s v="OBRAS"/>
    <x v="0"/>
    <s v="Proyectos de expansión y refuerzo en el Sistema Nacional de Distribución"/>
    <x v="0"/>
    <x v="0"/>
    <x v="0"/>
    <s v="COTOPAXI"/>
    <x v="109"/>
    <n v="20"/>
    <x v="0"/>
    <s v="BID2-RSND-ELEPCO-DI-OB-010"/>
    <s v="REMODELACIÓN DE RED EN LOS BARRIOS: MARÍA JACINTA; ONCE DE NOVIEMBRE-POALO; SAN JOSE Y EL TEJAR-LA VICTORIA; CHOSOALO-CHUGCHILAN; SAN FRANCISCO DE CHIPE; UNION/PROGRESO Y SANTA ROSA MORASPUNGO; MIÑO SAN ANTONIO-PASTOCALLE; SAN LUIS-MULALILLO "/>
    <m/>
    <s v="LPN"/>
    <s v="ex-post"/>
    <s v="EN PROCESO CON PLIEGOS Y CERTIFICACIÓN"/>
    <m/>
    <m/>
    <s v="ECUATORIANA"/>
    <m/>
    <m/>
    <m/>
    <m/>
    <m/>
    <m/>
    <n v="146911.29"/>
    <m/>
    <n v="0"/>
    <m/>
    <n v="8817.3700000000008"/>
    <m/>
    <m/>
    <m/>
    <n v="1058.0844"/>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x v="1"/>
    <m/>
    <m/>
    <m/>
    <x v="5"/>
    <m/>
    <m/>
    <m/>
    <m/>
    <m/>
    <m/>
    <m/>
    <x v="2"/>
    <m/>
    <m/>
    <m/>
    <m/>
    <m/>
    <m/>
    <m/>
    <m/>
    <m/>
    <m/>
    <m/>
    <m/>
    <s v="Se recibe mail de revisión del BID _x000a_el 16 de septiembre de 2019 "/>
    <m/>
    <m/>
    <m/>
    <m/>
  </r>
  <r>
    <x v="4"/>
    <s v="OBRAS"/>
    <x v="0"/>
    <s v="Proyectos de expansión y refuerzo en el Sistema Nacional de Distribución"/>
    <x v="0"/>
    <x v="0"/>
    <x v="0"/>
    <s v="COTOPAXI"/>
    <x v="110"/>
    <n v="20"/>
    <x v="0"/>
    <s v="BID2-RSND-ELEPCO-DI-OB-010"/>
    <s v="REMODELACIÓN DE RED EN LOS BARRIOS: MARÍA JACINTA; ONCE DE NOVIEMBRE-POALO; SAN JOSE Y EL TEJAR-LA VICTORIA; CHOSOALO-CHUGCHILLAN; SAN FRANCISCO DE CHIPE; UNION/PROGRESO Y SANTA ROSA MORASPUNGO; MIÑO SAN ANTONIO-PASTOCALLE; SAN LUIS-MULALILLO "/>
    <m/>
    <s v="LPN"/>
    <s v="ex-post"/>
    <s v="EN PROCESO CON PLIEGOS Y CERTIFICACIÓN"/>
    <m/>
    <m/>
    <s v="ECUATORIANA"/>
    <m/>
    <m/>
    <m/>
    <m/>
    <m/>
    <m/>
    <n v="132537.88"/>
    <m/>
    <n v="0"/>
    <m/>
    <n v="19797.87"/>
    <m/>
    <m/>
    <m/>
    <n v="2375.7443999999996"/>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x v="1"/>
    <m/>
    <m/>
    <m/>
    <x v="5"/>
    <m/>
    <m/>
    <m/>
    <m/>
    <m/>
    <m/>
    <m/>
    <x v="2"/>
    <m/>
    <m/>
    <m/>
    <m/>
    <m/>
    <m/>
    <m/>
    <m/>
    <m/>
    <m/>
    <m/>
    <m/>
    <s v="Se recibe mail de revisión del BID _x000a_el 16 de septiembre de 2019 "/>
    <m/>
    <m/>
    <m/>
    <m/>
  </r>
  <r>
    <x v="4"/>
    <s v="OBRAS"/>
    <x v="0"/>
    <s v="Proyectos de expansión y refuerzo en el Sistema Nacional de Distribución"/>
    <x v="0"/>
    <x v="0"/>
    <x v="0"/>
    <s v="COTOPAXI"/>
    <x v="111"/>
    <n v="20"/>
    <x v="0"/>
    <s v="BID2-RSND-ELEPCO-DI-OB-010"/>
    <s v="REMODELACIÓN DE RED EN LOS BARRIOS: MARÍA JACINTA; ONCE DE NOVIEMBRE-POALO; SAN JOSE Y EL TEJAR-LA VICTORIA; CHOSOALO-CHUGCHILLAN; SAN FRANCISCO DE CHIPE; UNION/PROGRESO Y SANTA ROSA MORASPUNGO; MIÑO SAN ANTONIO-PASTOCALLE; SAN LUIS-MULALILLO "/>
    <m/>
    <s v="LPN"/>
    <s v="ex-post"/>
    <s v="EN PROCESO CON PLIEGOS Y CERTIFICACIÓN"/>
    <m/>
    <m/>
    <s v="ECUATORIANA"/>
    <m/>
    <m/>
    <m/>
    <m/>
    <m/>
    <m/>
    <n v="42830.080000000002"/>
    <m/>
    <n v="0"/>
    <m/>
    <n v="17128.91"/>
    <m/>
    <m/>
    <m/>
    <n v="2055.4692"/>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x v="1"/>
    <m/>
    <m/>
    <m/>
    <x v="5"/>
    <m/>
    <m/>
    <m/>
    <m/>
    <m/>
    <m/>
    <m/>
    <x v="2"/>
    <m/>
    <m/>
    <m/>
    <m/>
    <m/>
    <m/>
    <m/>
    <m/>
    <m/>
    <m/>
    <m/>
    <m/>
    <s v="Se recibe mail de revisión del BID _x000a_el 16 de septiembre de 2019 "/>
    <m/>
    <m/>
    <m/>
    <m/>
  </r>
  <r>
    <x v="4"/>
    <s v="OBRAS"/>
    <x v="0"/>
    <s v="Proyectos de expansión y refuerzo en el Sistema Nacional de Distribución"/>
    <x v="0"/>
    <x v="0"/>
    <x v="0"/>
    <s v="COTOPAXI"/>
    <x v="112"/>
    <n v="20"/>
    <x v="0"/>
    <s v="BID2-RSND-ELEPCO-DI-OB-010"/>
    <s v="REMODELACIÓN DE RED EN LOS BARRIOS: MARÍA JACINTA; ONCE DE NOVIEMBRE-POALO; SAN JOSE Y EL TEJAR-LA VICTORIA; CHOSOALO-CHUGCHILLAN; SAN FRANCISCO DE CHIPE; UNION/PROGRESO Y SANTA ROSA MORASPUNGO; MIÑO SAN ANTONIO-PASTOCALLE; SAN LUIS-MULALILLO "/>
    <m/>
    <s v="LPN"/>
    <s v="ex-post"/>
    <s v="EN PROCESO CON PLIEGOS Y CERTIFICACIÓN"/>
    <m/>
    <m/>
    <s v="ECUATORIANA"/>
    <m/>
    <m/>
    <m/>
    <m/>
    <m/>
    <m/>
    <n v="13090.56"/>
    <m/>
    <n v="0"/>
    <m/>
    <n v="4898.12"/>
    <m/>
    <m/>
    <m/>
    <n v="587.77440000000001"/>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x v="1"/>
    <m/>
    <m/>
    <m/>
    <x v="5"/>
    <m/>
    <m/>
    <m/>
    <m/>
    <m/>
    <m/>
    <m/>
    <x v="2"/>
    <m/>
    <m/>
    <m/>
    <m/>
    <m/>
    <m/>
    <m/>
    <m/>
    <m/>
    <m/>
    <m/>
    <m/>
    <s v="Se recibe mail de revisión del BID _x000a_el 16 de septiembre de 2019 "/>
    <m/>
    <m/>
    <m/>
    <m/>
  </r>
  <r>
    <x v="4"/>
    <s v="OBRAS"/>
    <x v="0"/>
    <s v="Proyectos de expansión y refuerzo en el Sistema Nacional de Distribución"/>
    <x v="0"/>
    <x v="0"/>
    <x v="0"/>
    <s v="COTOPAXI"/>
    <x v="113"/>
    <n v="20"/>
    <x v="0"/>
    <s v="BID2-RSND-ELEPCO-DI-OB-010"/>
    <s v="REMODELACIÓN DE RED EN LOS BARRIOS: MARÍA JACINTA; ONCE DE NOVIEMBRE-POALO; SAN JOSE Y EL TEJAR-LA VICTORIA; CHOSOALO-CHUGCHILLAN; SAN FRANCISCO DE CHIPE; UNION/PROGRESO Y SANTA ROSA MORASPUNGO; MIÑO SAN ANTONIO-PASTOCALLE; SAN LUIS-MULALILLO "/>
    <m/>
    <s v="LPN"/>
    <s v="ex-post"/>
    <s v="EN PROCESO CON PLIEGOS Y CERTIFICACIÓN"/>
    <m/>
    <m/>
    <s v="ECUATORIANA"/>
    <m/>
    <m/>
    <m/>
    <m/>
    <m/>
    <m/>
    <n v="23773.759999999998"/>
    <m/>
    <n v="0"/>
    <m/>
    <n v="10118.98"/>
    <m/>
    <m/>
    <m/>
    <n v="1214.2775999999999"/>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x v="1"/>
    <m/>
    <m/>
    <m/>
    <x v="5"/>
    <m/>
    <m/>
    <m/>
    <m/>
    <m/>
    <m/>
    <m/>
    <x v="2"/>
    <m/>
    <m/>
    <m/>
    <m/>
    <m/>
    <m/>
    <m/>
    <m/>
    <m/>
    <m/>
    <m/>
    <m/>
    <s v="Se recibe mail de revisión del BID _x000a_el 16 de septiembre de 2019 "/>
    <m/>
    <m/>
    <m/>
    <m/>
  </r>
  <r>
    <x v="4"/>
    <s v="OBRAS"/>
    <x v="0"/>
    <s v="Proyectos de expansión y refuerzo en el Sistema Nacional de Distribución"/>
    <x v="0"/>
    <x v="0"/>
    <x v="0"/>
    <s v="COTOPAXI"/>
    <x v="114"/>
    <n v="20"/>
    <x v="0"/>
    <s v="BID2-RSND-ELEPCO-DI-OB-010"/>
    <s v="REMODELACIÓN DE RED EN LOS BARRIOS: MARÍA JACINTA; ONCE DE NOVIEMBRE-POALO; SAN JOSE Y EL TEJAR-LA VICTORIA; CHOSOALO-CHUGCHILLAN; SAN FRANCISCO DE CHIPE; UNION/PROGRESO Y SANTA ROSA MORASPUNGO; MIÑO SAN ANTONIO-PASTOCALLE; SAN LUIS-MULALILLO "/>
    <m/>
    <s v="LPN"/>
    <s v="ex-post"/>
    <s v="EN PROCESO CON PLIEGOS Y CERTIFICACIÓN"/>
    <m/>
    <m/>
    <s v="ECUATORIANA"/>
    <m/>
    <m/>
    <m/>
    <m/>
    <m/>
    <m/>
    <n v="15243.92"/>
    <m/>
    <n v="0"/>
    <m/>
    <n v="6015.22"/>
    <m/>
    <m/>
    <m/>
    <n v="721.82640000000004"/>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x v="1"/>
    <m/>
    <m/>
    <m/>
    <x v="5"/>
    <m/>
    <m/>
    <m/>
    <m/>
    <m/>
    <m/>
    <m/>
    <x v="2"/>
    <m/>
    <m/>
    <m/>
    <m/>
    <m/>
    <m/>
    <m/>
    <m/>
    <m/>
    <m/>
    <m/>
    <m/>
    <s v="Se recibe mail de revisión del BID _x000a_el 16 de septiembre de 2019 "/>
    <m/>
    <m/>
    <m/>
    <m/>
  </r>
  <r>
    <x v="4"/>
    <s v="OBRAS"/>
    <x v="0"/>
    <s v="Proyectos de expansión y refuerzo en el Sistema Nacional de Distribución"/>
    <x v="0"/>
    <x v="0"/>
    <x v="0"/>
    <s v="COTOPAXI"/>
    <x v="115"/>
    <n v="20"/>
    <x v="0"/>
    <s v="BID2-RSND-ELEPCO-DI-OB-010"/>
    <s v="REMODELACIÓN DE RED EN LOS BARRIOS: MARÍA JACINTA; ONCE DE NOVIEMBRE-POALO; SAN JOSE Y EL TEJAR-LA VICTORIA; CHOSOALO-CHUGCHILLAN; SAN FRANCISCO DE CHIPE; UNION/PROGRESO Y SANTA ROSA MORASPUNGO; MIÑO SAN ANTONIO-PASTOCALLE; SAN LUIS-MULALILLO "/>
    <m/>
    <s v="LPN"/>
    <s v="ex-post"/>
    <s v="EN PROCESO CON PLIEGOS Y CERTIFICACIÓN"/>
    <m/>
    <m/>
    <s v="ECUATORIANA"/>
    <m/>
    <m/>
    <m/>
    <m/>
    <m/>
    <m/>
    <n v="34978.22"/>
    <m/>
    <n v="0"/>
    <m/>
    <n v="15069.34"/>
    <m/>
    <m/>
    <m/>
    <n v="1808.3208"/>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x v="1"/>
    <m/>
    <m/>
    <m/>
    <x v="5"/>
    <m/>
    <m/>
    <m/>
    <m/>
    <m/>
    <m/>
    <m/>
    <x v="2"/>
    <m/>
    <m/>
    <m/>
    <m/>
    <m/>
    <m/>
    <m/>
    <m/>
    <m/>
    <m/>
    <m/>
    <m/>
    <s v="Se recibe mail de revisión del BID _x000a_el 16 de septiembre de 2019 "/>
    <m/>
    <m/>
    <m/>
    <m/>
  </r>
  <r>
    <x v="4"/>
    <s v="OBRAS"/>
    <x v="0"/>
    <s v="Proyectos de expansión y refuerzo en el Sistema Nacional de Distribución"/>
    <x v="0"/>
    <x v="0"/>
    <x v="0"/>
    <s v="COTOPAXI"/>
    <x v="116"/>
    <n v="20"/>
    <x v="0"/>
    <s v="BID2-RSND-ELEPCO-DI-OB-009"/>
    <s v="REM. BARRIO ALAQUEZ ORIENTE"/>
    <m/>
    <s v="LPN"/>
    <s v="ex-post"/>
    <s v="EJECUTADO BID"/>
    <s v="No.006/2017 (P)"/>
    <s v="SIMEN Soluciones Industriales Mecánico Eléctrico y Neumático Cía. Ltda."/>
    <s v="ECUATORIANA"/>
    <s v="PERSONA JURÍDICA"/>
    <s v="0 591720856001"/>
    <m/>
    <m/>
    <s v="ING. WILLIAMS OLALLA"/>
    <m/>
    <m/>
    <n v="23342.01"/>
    <n v="0"/>
    <n v="23342.010000000002"/>
    <n v="0"/>
    <n v="23342.010000000002"/>
    <n v="0.12"/>
    <n v="2801.0412000000001"/>
    <n v="0"/>
    <n v="26143.051200000005"/>
    <n v="21389.34"/>
    <n v="1952.6699999999983"/>
    <m/>
    <m/>
    <n v="23342.010000000002"/>
    <m/>
    <n v="21186.03"/>
    <n v="0.14000000000000001"/>
    <n v="2966.0442000000003"/>
    <n v="24152.074199999995"/>
    <m/>
    <m/>
    <m/>
    <m/>
    <m/>
    <m/>
    <m/>
    <m/>
    <m/>
    <m/>
    <m/>
    <n v="2155.9799999999996"/>
    <n v="2155.9799999999996"/>
    <s v="DDL, IAO 21.1."/>
    <s v="NO APLICA"/>
    <s v="NO APLICA"/>
    <s v="NO APLICA"/>
    <s v="NO APLICA"/>
    <s v="NO APLICA"/>
    <d v="2016-11-21T00:00:00"/>
    <d v="2016-11-25T00:00:00"/>
    <d v="2016-11-30T00:00:00"/>
    <d v="2016-12-21T00:00:00"/>
    <m/>
    <d v="2016-12-26T00:00:00"/>
    <d v="2016-12-29T00:00:00"/>
    <s v="NO APLICA"/>
    <s v="NO APLICA"/>
    <s v="NO APLICA"/>
    <d v="2017-02-16T00:00:00"/>
    <s v="NO APLICA"/>
    <d v="2017-02-16T00:00:00"/>
    <d v="2017-03-27T00:00:00"/>
    <s v="NO APLICA"/>
    <s v="NO APLICA"/>
    <s v="NO APLICA"/>
    <s v="ü"/>
    <s v="ü"/>
    <s v="NO ESTA PUBLICADO"/>
    <s v="NO ESTA PUBLICADO"/>
    <s v="NO ESTA PUBLICADO"/>
    <s v="NO ESTA PUBLICADO"/>
    <s v="NO ESTA PUBLICADO"/>
    <s v="NO ESTA PUBLICADO"/>
    <s v="NO ESTA PUBLICADO"/>
    <s v="NO ESTA PUBLICADO"/>
    <s v="DATO PENDIENTE"/>
    <s v="NO APLICA"/>
    <s v="DATO PENDIENTE"/>
    <s v="DATO PENDIENTE"/>
    <s v="NO APLICA"/>
    <s v="NO APLICA"/>
    <s v="NO APLICA"/>
    <d v="2017-04-27T00:00:00"/>
    <n v="10593.02"/>
    <m/>
    <m/>
    <m/>
    <m/>
    <m/>
    <m/>
    <m/>
    <m/>
    <m/>
    <m/>
    <m/>
    <m/>
    <m/>
    <m/>
    <m/>
    <m/>
    <m/>
    <m/>
    <m/>
    <m/>
    <m/>
    <m/>
    <m/>
    <m/>
    <m/>
    <m/>
    <m/>
    <n v="10593.02"/>
    <m/>
    <m/>
    <m/>
    <m/>
    <m/>
    <m/>
    <m/>
    <n v="90"/>
    <s v="DESDE LA NOTIFICACIÓN DE LA ENTREGA DEL ANTICIPO"/>
    <d v="2017-04-28T00:00:00"/>
    <d v="2017-07-27T00:00:00"/>
    <m/>
    <m/>
    <m/>
    <m/>
    <m/>
    <m/>
    <m/>
    <m/>
    <m/>
    <m/>
    <m/>
    <m/>
    <m/>
    <m/>
    <m/>
    <m/>
    <m/>
    <m/>
    <m/>
    <m/>
    <m/>
    <m/>
    <m/>
    <m/>
    <m/>
    <m/>
    <m/>
    <m/>
    <m/>
    <m/>
    <m/>
    <m/>
    <m/>
    <m/>
    <m/>
    <m/>
    <m/>
    <n v="0"/>
    <n v="0"/>
    <n v="0"/>
    <n v="0"/>
    <n v="0"/>
    <n v="0"/>
    <n v="1"/>
    <n v="1"/>
    <n v="1"/>
    <n v="1"/>
    <n v="1"/>
    <n v="1"/>
    <n v="1"/>
    <n v="1"/>
    <n v="1"/>
    <n v="1"/>
    <n v="1"/>
    <n v="1"/>
    <n v="1"/>
    <x v="0"/>
    <n v="1"/>
    <n v="1"/>
    <n v="1"/>
    <x v="0"/>
    <s v="no"/>
    <s v="si"/>
    <s v="si"/>
    <s v="si"/>
    <s v="si"/>
    <s v="si"/>
    <s v="si"/>
    <x v="0"/>
    <s v="si"/>
    <s v="si"/>
    <s v="si"/>
    <m/>
    <m/>
    <m/>
    <m/>
    <m/>
    <m/>
    <m/>
    <m/>
    <m/>
    <m/>
    <s v="NUEVO PROYECTO"/>
    <m/>
    <m/>
    <m/>
  </r>
  <r>
    <x v="7"/>
    <s v="OBRAS"/>
    <x v="0"/>
    <s v=" Proyectos de expansión y refuerzo en el Sistema Nacional de Distribución"/>
    <x v="0"/>
    <x v="0"/>
    <x v="0"/>
    <s v="IMBABURA"/>
    <x v="117"/>
    <n v="1"/>
    <x v="0"/>
    <s v="BID2-RSND-EMELNORTE-DI-OB-001"/>
    <s v=" READECUACIÓN ALIMENTADOR CALLE MALDONADO Y MEJIA"/>
    <m/>
    <s v="LPN"/>
    <s v="ex-post"/>
    <s v="EJECUTADO BID"/>
    <s v="BID2-RSND-EMELNORTE-DI-OB-001"/>
    <s v="ING. FREDDY SANTIAGO GRANJA RUALES"/>
    <s v="ECUATORIANA"/>
    <s v="PERSONA NATURAL"/>
    <s v="DATO PENDIENTE"/>
    <s v="ING. PAUL RECALDE"/>
    <n v="1001659232001"/>
    <s v="ING. FELIPE AGUIRRE"/>
    <m/>
    <m/>
    <n v="168591.55"/>
    <n v="0"/>
    <n v="229264.07"/>
    <n v="23750.51999999996"/>
    <n v="253014.58999999997"/>
    <n v="0.12"/>
    <n v="27511.688399999999"/>
    <n v="2850.0623999999953"/>
    <n v="283376.34080000001"/>
    <n v="192342.06999999995"/>
    <n v="-23750.51999999996"/>
    <m/>
    <m/>
    <n v="185846.78"/>
    <m/>
    <n v="168591.55"/>
    <m/>
    <m/>
    <m/>
    <m/>
    <m/>
    <m/>
    <m/>
    <m/>
    <m/>
    <m/>
    <m/>
    <m/>
    <m/>
    <m/>
    <n v="0"/>
    <n v="0"/>
    <s v="DDL, IAO 21.1."/>
    <s v="NO APLICA"/>
    <s v="NO APLICA"/>
    <s v="NO APLICA"/>
    <s v="NO APLICA"/>
    <s v="NO APLICA"/>
    <d v="2015-09-03T00:00:00"/>
    <d v="2015-09-25T00:00:00"/>
    <d v="2015-09-30T00:00:00"/>
    <d v="2015-10-05T00:00:00"/>
    <s v="NO APLICA"/>
    <d v="2015-10-29T00:00:00"/>
    <d v="2015-11-05T00:00:00"/>
    <s v="NO APLICA"/>
    <s v="NO APLICA"/>
    <s v="NO APLICA"/>
    <d v="2015-10-28T00:00:00"/>
    <s v="NO APLICA"/>
    <d v="2015-10-28T00:00:00"/>
    <d v="2015-11-16T00:00:00"/>
    <s v="NO APLICA"/>
    <s v="NO APLICA"/>
    <s v="NO APLICA"/>
    <m/>
    <s v="ü"/>
    <m/>
    <m/>
    <m/>
    <m/>
    <m/>
    <m/>
    <m/>
    <m/>
    <m/>
    <m/>
    <m/>
    <s v="ü"/>
    <s v="NO APLICA"/>
    <s v="SI"/>
    <n v="0.05"/>
    <d v="2015-12-16T00:00:00"/>
    <n v="84295.774999999994"/>
    <s v="Pago 2/4 - Planilla -17,58%"/>
    <d v="2016-07-21T00:00:00"/>
    <n v="26675.200000000004"/>
    <s v="Pago 3/4 - planilla 2 - 16,21%"/>
    <d v="2016-08-03T00:00:00"/>
    <n v="27329.769999999997"/>
    <s v="Pago 4/4 - planilla 3 - 26,35%"/>
    <d v="2016-11-16T00:00:00"/>
    <n v="44424.219999999987"/>
    <s v="Pago 1/2 - devolución fondo de garantía - 50% - memorando No. Emelnorte-DD-JZIII-2016-0550-MM"/>
    <d v="2017-01-10T00:00:00"/>
    <n v="4808.55"/>
    <s v="Pago 2/2 - devolución fondo de garantía - 50% - memorando No. Emelnorte-DD-2017-0178-MM"/>
    <d v="2017-01-31T00:00:00"/>
    <n v="4808.55"/>
    <m/>
    <m/>
    <m/>
    <m/>
    <m/>
    <m/>
    <m/>
    <m/>
    <m/>
    <m/>
    <m/>
    <m/>
    <n v="192342.06499999994"/>
    <m/>
    <m/>
    <m/>
    <m/>
    <m/>
    <m/>
    <m/>
    <n v="180"/>
    <s v="DESDE LA NOTIFICACIÓN DE LA ENTREGA DEL ANTICIPO"/>
    <d v="2015-12-17T00:00:00"/>
    <d v="2016-06-14T00:00:00"/>
    <m/>
    <m/>
    <m/>
    <m/>
    <m/>
    <m/>
    <m/>
    <m/>
    <m/>
    <m/>
    <m/>
    <m/>
    <m/>
    <m/>
    <m/>
    <m/>
    <m/>
    <m/>
    <m/>
    <m/>
    <m/>
    <m/>
    <m/>
    <n v="0.1"/>
    <n v="0.18"/>
    <n v="0.28999999999999998"/>
    <n v="0.49880000000000002"/>
    <n v="0.67920000000000003"/>
    <n v="0.99"/>
    <n v="1"/>
    <n v="1"/>
    <n v="1"/>
    <n v="1"/>
    <n v="1"/>
    <n v="1"/>
    <n v="1"/>
    <n v="1"/>
    <n v="1"/>
    <n v="1"/>
    <n v="1"/>
    <n v="1"/>
    <n v="1"/>
    <n v="1"/>
    <n v="1"/>
    <n v="1"/>
    <n v="1"/>
    <n v="1"/>
    <n v="1"/>
    <n v="1"/>
    <n v="1"/>
    <n v="1"/>
    <n v="1"/>
    <n v="1"/>
    <n v="1"/>
    <n v="1"/>
    <n v="1"/>
    <x v="0"/>
    <n v="1"/>
    <n v="1"/>
    <n v="1"/>
    <x v="0"/>
    <s v="si"/>
    <s v="si"/>
    <s v="si"/>
    <s v="si"/>
    <s v="si"/>
    <s v="si"/>
    <s v="si"/>
    <x v="0"/>
    <s v="si"/>
    <s v="si"/>
    <s v="si"/>
    <m/>
    <m/>
    <m/>
    <m/>
    <m/>
    <m/>
    <m/>
    <m/>
    <m/>
    <m/>
    <m/>
    <m/>
    <m/>
    <m/>
  </r>
  <r>
    <x v="7"/>
    <s v="OBRAS"/>
    <x v="0"/>
    <s v=" Proyectos de expansión y refuerzo en el Sistema Nacional de Distribución"/>
    <x v="0"/>
    <x v="0"/>
    <x v="0"/>
    <s v="IMBABURA"/>
    <x v="118"/>
    <n v="2"/>
    <x v="0"/>
    <s v="BID2-RSND-EMELNORTE-DI-OB-002"/>
    <s v="ALIMENTADOR EXPRESO CHOTA PIMAMPIRO"/>
    <m/>
    <s v="LPN"/>
    <s v="ex-post"/>
    <s v="EJECUTADO BID"/>
    <s v="BID2-RSND-EMELNORTE-DI-OB-002"/>
    <s v="ING. FREDDY SANTIAGO GRANJA RUALES"/>
    <s v="ECUATORIANA"/>
    <s v="PERSONA NATURAL"/>
    <s v="DATO PENDIENTE"/>
    <s v="ING. ALEJANDRO ECHEVERRÍA"/>
    <n v="1001659232001"/>
    <s v="ING. JOSÉ ANGAMARCA"/>
    <m/>
    <m/>
    <n v="297843.32"/>
    <n v="0"/>
    <n v="481603.99107142852"/>
    <n v="42186.660000000033"/>
    <n v="523790.65107142855"/>
    <n v="0.12"/>
    <n v="57792.478928571421"/>
    <n v="5062.3992000000035"/>
    <n v="586645.52919999999"/>
    <n v="340029.98000000004"/>
    <n v="-42186.660000000033"/>
    <m/>
    <m/>
    <n v="335247.68"/>
    <m/>
    <n v="297843.32"/>
    <m/>
    <m/>
    <m/>
    <m/>
    <m/>
    <m/>
    <m/>
    <m/>
    <m/>
    <m/>
    <m/>
    <m/>
    <m/>
    <m/>
    <n v="0"/>
    <n v="0"/>
    <s v="DDL, IAO 21.1."/>
    <s v="NO APLICA"/>
    <s v="NO APLICA"/>
    <s v="NO APLICA"/>
    <s v="NO APLICA"/>
    <s v="NO APLICA"/>
    <d v="2015-09-03T00:00:00"/>
    <d v="2015-09-25T00:00:00"/>
    <d v="2015-09-30T00:00:00"/>
    <d v="2015-10-05T00:00:00"/>
    <s v="NO APLICA"/>
    <d v="2015-10-29T00:00:00"/>
    <d v="2015-11-05T00:00:00"/>
    <s v="NO APLICA"/>
    <s v="NO APLICA"/>
    <s v="NO APLICA"/>
    <d v="2015-10-29T00:00:00"/>
    <s v="NO APLICA"/>
    <d v="2015-11-04T00:00:00"/>
    <d v="2015-11-17T00:00:00"/>
    <s v="NO APLICA"/>
    <s v="NO APLICA"/>
    <s v="NO APLICA"/>
    <m/>
    <s v="ü"/>
    <m/>
    <m/>
    <m/>
    <m/>
    <m/>
    <m/>
    <m/>
    <m/>
    <m/>
    <m/>
    <m/>
    <s v="ü"/>
    <s v="NO APLICA"/>
    <s v="SI"/>
    <n v="0.05"/>
    <d v="2015-12-14T00:00:00"/>
    <n v="148921.66"/>
    <s v="Pago 2/4 - planilla - 16%"/>
    <d v="2016-05-26T00:00:00"/>
    <n v="47314.830000000009"/>
    <s v="Pago 3/4 - planilla 2- 18,17%"/>
    <d v="2016-06-26T00:00:00"/>
    <n v="54123.57"/>
    <s v="Pago 4/4 - planilla 3- 24,40%"/>
    <d v="2016-11-11T00:00:00"/>
    <n v="72668.42"/>
    <s v="Pago 1/2 - devolución fondo de garantía - 50% - memorando No. Emelnorte-DD-2017-0241-MM"/>
    <d v="2017-02-08T00:00:00"/>
    <n v="8500.75"/>
    <s v="Pago 2/2 - devolución fondo de garantía - 50% - memorando No. Emelnorte-DD-JZII-2017-0083-MM"/>
    <d v="2017-04-05T00:00:00"/>
    <n v="8500.75"/>
    <m/>
    <m/>
    <m/>
    <m/>
    <m/>
    <m/>
    <m/>
    <m/>
    <m/>
    <m/>
    <m/>
    <m/>
    <n v="340029.98000000004"/>
    <m/>
    <m/>
    <m/>
    <m/>
    <m/>
    <m/>
    <m/>
    <n v="180"/>
    <s v="DESDE LA NOTIFICACIÓN DE LA ENTREGA DEL ANTICIPO"/>
    <d v="2015-12-15T00:00:00"/>
    <d v="2016-06-12T00:00:00"/>
    <m/>
    <m/>
    <m/>
    <m/>
    <m/>
    <m/>
    <m/>
    <m/>
    <m/>
    <m/>
    <m/>
    <m/>
    <m/>
    <m/>
    <m/>
    <m/>
    <m/>
    <m/>
    <m/>
    <m/>
    <m/>
    <m/>
    <m/>
    <n v="0.15"/>
    <n v="0.28000000000000003"/>
    <n v="0.3"/>
    <n v="0.5"/>
    <n v="0.75"/>
    <n v="0.8"/>
    <n v="0.88"/>
    <n v="1"/>
    <n v="1"/>
    <n v="1"/>
    <n v="1"/>
    <n v="1"/>
    <n v="1"/>
    <n v="1"/>
    <n v="1"/>
    <n v="1"/>
    <n v="1"/>
    <n v="1"/>
    <n v="1"/>
    <n v="1"/>
    <n v="1"/>
    <n v="1"/>
    <n v="1"/>
    <n v="1"/>
    <n v="1"/>
    <n v="1"/>
    <n v="1"/>
    <n v="1"/>
    <n v="1"/>
    <n v="1"/>
    <n v="1"/>
    <n v="1"/>
    <n v="1"/>
    <x v="0"/>
    <n v="1"/>
    <n v="1"/>
    <n v="1"/>
    <x v="0"/>
    <s v="si"/>
    <s v="si"/>
    <s v="si"/>
    <s v="si"/>
    <s v="si"/>
    <s v="si"/>
    <s v="si"/>
    <x v="0"/>
    <s v="si"/>
    <s v="si"/>
    <s v="si"/>
    <m/>
    <m/>
    <m/>
    <m/>
    <m/>
    <m/>
    <m/>
    <m/>
    <m/>
    <m/>
    <m/>
    <m/>
    <m/>
    <m/>
  </r>
  <r>
    <x v="7"/>
    <s v="OBRAS"/>
    <x v="0"/>
    <s v=" Proyectos de expansión y refuerzo en el Sistema Nacional de Distribución"/>
    <x v="0"/>
    <x v="0"/>
    <x v="0"/>
    <s v="IMBABURA"/>
    <x v="119"/>
    <n v="3"/>
    <x v="0"/>
    <s v="BID2-RSND-EMELNORTE-DI-OB-003"/>
    <s v="CAMBIO DE REDES DE MT CONVENCIONALES A SEMIAISLADA EN ALIMENTADORES DE LAS SE CAYAMBE Y LA ESPERANZA"/>
    <m/>
    <s v="LPN"/>
    <s v="ex-post"/>
    <s v="EJECUTADO BID"/>
    <s v="BID2-RSND-EMELNORTE-DI-OB-003"/>
    <s v="SINOLINK ECUADOR CÍA. LTDA."/>
    <s v="ECUATORIANA"/>
    <s v="PERSONA JURÍDICA"/>
    <n v="1792410282001"/>
    <s v="ING. EDISON GUALOTUÑA"/>
    <m/>
    <s v="ING. STALIN YUGSHI"/>
    <m/>
    <m/>
    <n v="1027345.71"/>
    <n v="0"/>
    <n v="1139651.1670714286"/>
    <n v="0"/>
    <n v="1139651.1670714286"/>
    <n v="0.12"/>
    <n v="136758.14004857143"/>
    <n v="0"/>
    <n v="1276409.3071200002"/>
    <n v="969373.7899999998"/>
    <n v="57971.920000000158"/>
    <m/>
    <m/>
    <n v="1139651.17"/>
    <m/>
    <n v="745394.43"/>
    <m/>
    <m/>
    <m/>
    <s v="DATO PENDIENTE"/>
    <s v="30.09%"/>
    <n v="224289.18"/>
    <m/>
    <m/>
    <m/>
    <m/>
    <m/>
    <m/>
    <m/>
    <m/>
    <n v="281951.27999999991"/>
    <n v="57662.099999999919"/>
    <s v="DDL, IAO 21.1."/>
    <s v="NO APLICA"/>
    <s v="NO APLICA"/>
    <s v="NO APLICA"/>
    <s v="NO APLICA"/>
    <s v="NO APLICA"/>
    <d v="2015-09-03T00:00:00"/>
    <d v="2015-09-25T00:00:00"/>
    <d v="2015-09-30T00:00:00"/>
    <d v="2015-10-05T00:00:00"/>
    <s v="NO APLICA"/>
    <d v="2015-10-29T00:00:00"/>
    <d v="2015-11-05T00:00:00"/>
    <s v="NO APLICA"/>
    <s v="NO APLICA"/>
    <s v="NO APLICA"/>
    <d v="2015-11-20T00:00:00"/>
    <s v="NO APLICA"/>
    <d v="2015-11-20T00:00:00"/>
    <d v="2015-12-10T00:00:00"/>
    <s v="NO APLICA"/>
    <s v="NO APLICA"/>
    <s v="NO APLICA"/>
    <m/>
    <s v="ü"/>
    <m/>
    <m/>
    <m/>
    <m/>
    <m/>
    <m/>
    <m/>
    <m/>
    <m/>
    <m/>
    <m/>
    <s v="ü"/>
    <s v="NO APLICA"/>
    <s v="SI"/>
    <n v="0.05"/>
    <d v="2016-01-27T00:00:00"/>
    <n v="372697.21500000003"/>
    <s v="Pago 2/4 - planilla 1- 16,50%"/>
    <d v="2016-11-18T00:00:00"/>
    <n v="123001.46999999999"/>
    <s v="Pago 3/4 - planilla 2- 24,45%"/>
    <d v="2016-11-28T00:00:00"/>
    <n v="182275"/>
    <s v="Pago 4/5 - anticipo 50% (contrato compl. No.300  - USD.224.011,20)"/>
    <d v="2017-01-20T00:00:00"/>
    <n v="112005.6"/>
    <s v="Pago 5/5 -planilla 3 -  % liquidación cont.363-15 y 300-16"/>
    <d v="2017-03-07T00:00:00"/>
    <n v="130925.80999999998"/>
    <s v="Pago 1/2 - devolución fondo de garantía - 50% - memorando No. Emelnorte-DD-2017-0103-MM"/>
    <d v="2017-04-05T00:00:00"/>
    <n v="24234.34"/>
    <m/>
    <m/>
    <m/>
    <m/>
    <m/>
    <m/>
    <m/>
    <m/>
    <m/>
    <m/>
    <m/>
    <m/>
    <n v="945139.43499999994"/>
    <m/>
    <m/>
    <m/>
    <m/>
    <m/>
    <m/>
    <m/>
    <n v="240"/>
    <s v="DESDE LA NOTIFICACIÓN DE LA ENTREGA DEL ANTICIPO"/>
    <d v="2016-01-28T00:00:00"/>
    <d v="2016-09-24T00:00:00"/>
    <m/>
    <m/>
    <m/>
    <m/>
    <m/>
    <m/>
    <m/>
    <m/>
    <m/>
    <m/>
    <m/>
    <m/>
    <m/>
    <m/>
    <m/>
    <m/>
    <m/>
    <m/>
    <m/>
    <m/>
    <m/>
    <m/>
    <m/>
    <m/>
    <m/>
    <m/>
    <m/>
    <m/>
    <n v="0.23"/>
    <n v="0.39240000000000003"/>
    <n v="0.52100000000000002"/>
    <n v="0.7177"/>
    <n v="0.8"/>
    <n v="0.98"/>
    <n v="1"/>
    <n v="1"/>
    <n v="1"/>
    <n v="1"/>
    <n v="1"/>
    <n v="1"/>
    <n v="1"/>
    <n v="1"/>
    <n v="1"/>
    <n v="1"/>
    <n v="1"/>
    <n v="1"/>
    <n v="1"/>
    <n v="1"/>
    <n v="1"/>
    <n v="1"/>
    <n v="1"/>
    <n v="1"/>
    <n v="1"/>
    <n v="1"/>
    <n v="1"/>
    <n v="1"/>
    <x v="0"/>
    <n v="1"/>
    <n v="1"/>
    <n v="1"/>
    <x v="0"/>
    <s v="si"/>
    <s v="si"/>
    <s v="si"/>
    <s v="si"/>
    <s v="si"/>
    <s v="si"/>
    <s v="si"/>
    <x v="0"/>
    <s v="si"/>
    <s v="si"/>
    <s v="si"/>
    <m/>
    <m/>
    <m/>
    <m/>
    <m/>
    <m/>
    <m/>
    <m/>
    <m/>
    <m/>
    <m/>
    <m/>
    <m/>
    <m/>
  </r>
  <r>
    <x v="7"/>
    <s v="OBRAS"/>
    <x v="0"/>
    <s v=" Proyectos de expansión y refuerzo en el Sistema Nacional de Distribución"/>
    <x v="0"/>
    <x v="0"/>
    <x v="0"/>
    <s v="IMBABURA"/>
    <x v="120"/>
    <n v="4"/>
    <x v="0"/>
    <s v="BID2-RSND-EMELNORTE-DI-OB-004"/>
    <s v="READECUACION DE LAS SALIDAS DE 13.8 KV SE CAYAMBE"/>
    <m/>
    <s v="LPN"/>
    <s v="ex-post"/>
    <s v="EJECUTADO BID"/>
    <s v="No.292"/>
    <s v="INDUSTRIAL Y COMERCIAL TCM S.A."/>
    <s v="ECUATORIANA"/>
    <s v="PERSONA JURÍDICA"/>
    <s v="0 990790345001"/>
    <m/>
    <m/>
    <s v="ING. HUGO TAPIA"/>
    <m/>
    <m/>
    <n v="314892.75"/>
    <n v="0"/>
    <n v="314892.75"/>
    <n v="0"/>
    <n v="314892.75"/>
    <n v="0.12"/>
    <n v="37787.129999999997"/>
    <n v="0"/>
    <n v="352679.88"/>
    <n v="300908.92999999993"/>
    <n v="13983.820000000065"/>
    <m/>
    <m/>
    <n v="314892.75"/>
    <m/>
    <n v="309339.68"/>
    <n v="0.12"/>
    <n v="37120.761599999998"/>
    <n v="346460.44160000002"/>
    <m/>
    <m/>
    <m/>
    <m/>
    <m/>
    <m/>
    <m/>
    <m/>
    <m/>
    <m/>
    <m/>
    <m/>
    <n v="0"/>
    <m/>
    <s v="NO APLICA"/>
    <s v="NO APLICA"/>
    <s v="NO APLICA"/>
    <s v="NO APLICA"/>
    <s v="NO APLICA"/>
    <d v="2017-07-13T00:00:00"/>
    <d v="2017-07-31T00:00:00"/>
    <d v="2017-08-07T00:00:00"/>
    <d v="2017-08-14T00:00:00"/>
    <s v="NO APLICA"/>
    <m/>
    <d v="2017-08-23T00:00:00"/>
    <s v="NO APLICA"/>
    <s v="NO APLICA"/>
    <s v="NO APLICA"/>
    <d v="2017-08-23T00:00:00"/>
    <s v="NO APLICA"/>
    <m/>
    <d v="2017-09-18T00:00:00"/>
    <s v="NO APLICA"/>
    <s v="NO APLICA"/>
    <s v="NO APLICA"/>
    <m/>
    <m/>
    <m/>
    <m/>
    <m/>
    <m/>
    <m/>
    <m/>
    <m/>
    <m/>
    <m/>
    <m/>
    <m/>
    <m/>
    <m/>
    <m/>
    <m/>
    <m/>
    <m/>
    <m/>
    <m/>
    <m/>
    <m/>
    <m/>
    <m/>
    <m/>
    <m/>
    <m/>
    <m/>
    <m/>
    <m/>
    <m/>
    <m/>
    <m/>
    <m/>
    <m/>
    <m/>
    <m/>
    <m/>
    <m/>
    <m/>
    <m/>
    <m/>
    <m/>
    <m/>
    <m/>
    <m/>
    <m/>
    <m/>
    <m/>
    <m/>
    <m/>
    <m/>
    <m/>
    <n v="150"/>
    <s v="DESDE LA NOTIFICACIÓN DE LA ENTREGA DEL ANTICIPO"/>
    <m/>
    <m/>
    <m/>
    <m/>
    <m/>
    <m/>
    <m/>
    <m/>
    <m/>
    <m/>
    <m/>
    <m/>
    <m/>
    <m/>
    <m/>
    <m/>
    <m/>
    <m/>
    <m/>
    <m/>
    <m/>
    <m/>
    <m/>
    <m/>
    <m/>
    <m/>
    <m/>
    <m/>
    <m/>
    <m/>
    <m/>
    <m/>
    <m/>
    <m/>
    <m/>
    <m/>
    <m/>
    <m/>
    <m/>
    <m/>
    <m/>
    <m/>
    <m/>
    <m/>
    <m/>
    <m/>
    <n v="0"/>
    <n v="0.9"/>
    <n v="0.9"/>
    <n v="0.9"/>
    <n v="0.9"/>
    <n v="1"/>
    <n v="1"/>
    <n v="1"/>
    <n v="1"/>
    <n v="1"/>
    <n v="1"/>
    <n v="1"/>
    <x v="0"/>
    <n v="1"/>
    <n v="1"/>
    <n v="1"/>
    <x v="0"/>
    <s v="no"/>
    <s v="no"/>
    <s v="no"/>
    <s v="no"/>
    <s v="no"/>
    <s v="no"/>
    <s v="si"/>
    <x v="0"/>
    <s v="si"/>
    <s v="si"/>
    <s v="si"/>
    <s v="Esta obra está concluida desde el 25 de abril de 2018, no se ha recibido porque no se ha concretado la configuración de los equipos para el SCADA por parte del contratista; está corriendo el cobro de multas. En ejecución, finaliza en Octubre 2018"/>
    <m/>
    <m/>
    <s v="Contratado por $ 309.339,68. El equipamiento está operando, no se puede liquidar, ya que el proveedor TCM no entrega la última factura."/>
    <s v="Contratado por $ 309.339,68. El equipamiento está operando, no se puede liquidar, ya que el proveedor TCM no entrega la última factura."/>
    <s v="13 de diciembre  2018 se paga planilla 3/4 por 61.867,93"/>
    <s v="Liquidado 12-mar-2019"/>
    <m/>
    <m/>
    <m/>
    <m/>
    <m/>
    <m/>
    <m/>
  </r>
  <r>
    <x v="7"/>
    <s v="OBRAS"/>
    <x v="0"/>
    <s v=" Proyectos de expansión y refuerzo en el Sistema Nacional de Distribución"/>
    <x v="0"/>
    <x v="0"/>
    <x v="0"/>
    <s v="IMBABURA"/>
    <x v="121"/>
    <n v="5"/>
    <x v="0"/>
    <s v="BID2-RSND-EMELNORTE-DI-OB-005"/>
    <s v="READECUACIÓN DE RED Y AUMENTO DE POTENCIA YURACRUZ ALTO"/>
    <m/>
    <s v="LPN"/>
    <s v="ex-post"/>
    <s v="EJECUTADO BID"/>
    <m/>
    <m/>
    <m/>
    <m/>
    <m/>
    <m/>
    <m/>
    <m/>
    <m/>
    <m/>
    <n v="41845.9"/>
    <n v="0"/>
    <n v="41845.901785714283"/>
    <n v="0"/>
    <n v="41845.901785714283"/>
    <n v="0.12"/>
    <n v="5021.5082142857136"/>
    <n v="0"/>
    <n v="46867.41"/>
    <n v="38600.57"/>
    <n v="3245.3300000000017"/>
    <m/>
    <m/>
    <n v="41810.47"/>
    <m/>
    <m/>
    <m/>
    <m/>
    <m/>
    <m/>
    <m/>
    <m/>
    <m/>
    <m/>
    <m/>
    <m/>
    <m/>
    <m/>
    <m/>
    <m/>
    <m/>
    <m/>
    <m/>
    <s v="NO APLICA"/>
    <s v="NO APLICA"/>
    <s v="NO APLICA"/>
    <s v="NO APLICA"/>
    <s v="NO APLICA"/>
    <d v="2018-06-05T00:00:00"/>
    <d v="2018-06-18T00:00:00"/>
    <d v="2018-06-21T00:00:00"/>
    <d v="2018-07-05T00:00:00"/>
    <m/>
    <m/>
    <d v="2018-07-13T00:00:00"/>
    <s v="NO APLICA"/>
    <s v="NO APLICA"/>
    <s v="NO APLICA"/>
    <m/>
    <m/>
    <m/>
    <m/>
    <s v="NO APLICA"/>
    <s v="NO APLICA"/>
    <s v="NO APLICA"/>
    <m/>
    <m/>
    <m/>
    <m/>
    <m/>
    <m/>
    <m/>
    <m/>
    <m/>
    <m/>
    <m/>
    <m/>
    <m/>
    <m/>
    <m/>
    <m/>
    <m/>
    <m/>
    <m/>
    <m/>
    <m/>
    <m/>
    <m/>
    <m/>
    <m/>
    <m/>
    <m/>
    <m/>
    <m/>
    <m/>
    <m/>
    <m/>
    <m/>
    <m/>
    <m/>
    <m/>
    <m/>
    <m/>
    <m/>
    <m/>
    <m/>
    <m/>
    <m/>
    <m/>
    <m/>
    <m/>
    <m/>
    <m/>
    <m/>
    <m/>
    <m/>
    <m/>
    <m/>
    <m/>
    <n v="30"/>
    <m/>
    <m/>
    <m/>
    <m/>
    <m/>
    <m/>
    <m/>
    <m/>
    <m/>
    <m/>
    <m/>
    <m/>
    <m/>
    <m/>
    <m/>
    <m/>
    <m/>
    <m/>
    <m/>
    <m/>
    <m/>
    <m/>
    <m/>
    <m/>
    <m/>
    <m/>
    <m/>
    <m/>
    <m/>
    <m/>
    <m/>
    <m/>
    <m/>
    <m/>
    <m/>
    <m/>
    <m/>
    <m/>
    <m/>
    <m/>
    <m/>
    <m/>
    <m/>
    <m/>
    <m/>
    <m/>
    <m/>
    <n v="0"/>
    <n v="0"/>
    <n v="0"/>
    <n v="0"/>
    <n v="0"/>
    <n v="1"/>
    <n v="1"/>
    <n v="1"/>
    <n v="1"/>
    <n v="1"/>
    <n v="1"/>
    <n v="1"/>
    <x v="0"/>
    <n v="1"/>
    <n v="1"/>
    <n v="1"/>
    <x v="0"/>
    <s v="no"/>
    <s v="no"/>
    <s v="no"/>
    <s v="si"/>
    <s v="si"/>
    <s v="si"/>
    <s v="si"/>
    <x v="0"/>
    <s v="si"/>
    <s v="si"/>
    <s v="si"/>
    <s v="Nuevo, en revisión de ofertas, próximo a contratar. Plazo 60 días. Se estima concluya en Noviembre."/>
    <m/>
    <m/>
    <s v="Liquidado por $ 38.600,57, sin IVA."/>
    <s v="Liquidado por $ 38.600,57, sin IVA."/>
    <m/>
    <m/>
    <m/>
    <m/>
    <m/>
    <s v="AUTORIZACIÓN DEL BID PARA FINANCIAMIENTO,  EMITIDA MEDIANTE CAN/CEC-194/2018 REMITIDA POR CORREO ELECTRÓNICO EL 05 DE FEBRERO DE 2018"/>
    <m/>
    <m/>
    <m/>
  </r>
  <r>
    <x v="5"/>
    <s v="OBRAS"/>
    <x v="1"/>
    <s v="Mejoramiento de la eficiencia y fiabilidad de la red"/>
    <x v="2"/>
    <x v="2"/>
    <x v="0"/>
    <s v="AZUAY"/>
    <x v="122"/>
    <n v="1"/>
    <x v="0"/>
    <s v=" BID2-RSND-EECS-AU-OB-002"/>
    <s v="AUTOMATIZACIÓN DE LA DISTRIBUCIÓN - CAPÍTULO SUBESTACIONES (S/ES 03, 04, 05)"/>
    <m/>
    <s v="LPN"/>
    <s v="ex-post"/>
    <s v="EJECUTADO BID"/>
    <s v="N°0017455"/>
    <s v="ENSILECTRIC S.A."/>
    <s v="ECUATORIANA"/>
    <s v="PERSONA JURÍDICA"/>
    <n v="1792356342001"/>
    <s v="DATO PENDIENTE "/>
    <s v="DATO PENDIENTE "/>
    <s v="ING. PABLO SARMIENTO REINOSO"/>
    <s v="DATO PENDIENTE"/>
    <m/>
    <n v="975000"/>
    <n v="0"/>
    <n v="974999.99999999988"/>
    <n v="0"/>
    <n v="974999.99999999988"/>
    <n v="0.12"/>
    <n v="116999.99999999999"/>
    <n v="0"/>
    <n v="1092000"/>
    <n v="814092.35"/>
    <n v="160907.65000000002"/>
    <m/>
    <m/>
    <n v="975000"/>
    <m/>
    <n v="896103.87"/>
    <n v="0.14000000000000001"/>
    <m/>
    <n v="1021558.4117999999"/>
    <m/>
    <m/>
    <m/>
    <m/>
    <m/>
    <m/>
    <m/>
    <m/>
    <m/>
    <m/>
    <m/>
    <n v="78896.13"/>
    <n v="78896.13"/>
    <s v="DDL, IAO 21.1."/>
    <s v="NO APLICA"/>
    <s v="NO APLICA"/>
    <s v="NO APLICA"/>
    <s v="NO APLICA"/>
    <s v="NO APLICA"/>
    <d v="2015-10-26T00:00:00"/>
    <d v="2015-11-10T00:00:00"/>
    <d v="2015-11-16T00:00:00"/>
    <d v="2015-12-01T00:00:00"/>
    <s v="NO APLICA"/>
    <d v="2015-12-15T00:00:00"/>
    <d v="2015-12-21T00:00:00"/>
    <s v="NO APLICA"/>
    <s v="NO APLICA"/>
    <s v="NO APLICA"/>
    <s v="DATO PENDIENTE"/>
    <s v="NO APLICA"/>
    <d v="2016-07-04T00:00:00"/>
    <d v="2016-09-20T00:00:00"/>
    <s v="NO APLICA"/>
    <s v="NO APLICA"/>
    <s v="NO APLICA"/>
    <m/>
    <s v="ü"/>
    <m/>
    <m/>
    <m/>
    <m/>
    <m/>
    <m/>
    <m/>
    <m/>
    <m/>
    <m/>
    <m/>
    <s v="ü"/>
    <s v="NO APLICA"/>
    <s v="SI"/>
    <n v="0.05"/>
    <d v="2016-10-13T00:00:00"/>
    <n v="448051.935"/>
    <m/>
    <m/>
    <m/>
    <m/>
    <m/>
    <m/>
    <m/>
    <m/>
    <m/>
    <m/>
    <m/>
    <m/>
    <m/>
    <m/>
    <m/>
    <m/>
    <m/>
    <m/>
    <m/>
    <m/>
    <m/>
    <m/>
    <m/>
    <m/>
    <m/>
    <m/>
    <m/>
    <n v="448051.935"/>
    <m/>
    <m/>
    <m/>
    <m/>
    <m/>
    <m/>
    <m/>
    <n v="300"/>
    <s v="DESDE LA NOTIFICACIÓN DE LA ENTREGA DEL ANTICIPO"/>
    <d v="2016-10-14T00:00:00"/>
    <d v="2017-08-10T00:00:00"/>
    <m/>
    <m/>
    <m/>
    <m/>
    <m/>
    <m/>
    <m/>
    <m/>
    <m/>
    <m/>
    <m/>
    <m/>
    <m/>
    <m/>
    <m/>
    <m/>
    <m/>
    <m/>
    <m/>
    <m/>
    <m/>
    <m/>
    <m/>
    <m/>
    <m/>
    <m/>
    <m/>
    <m/>
    <m/>
    <m/>
    <m/>
    <m/>
    <m/>
    <m/>
    <m/>
    <m/>
    <n v="0.28000000000000003"/>
    <n v="0.33"/>
    <n v="0.33"/>
    <n v="0.33"/>
    <n v="0.39"/>
    <n v="0.39"/>
    <n v="0.39"/>
    <n v="0.39"/>
    <n v="0.39"/>
    <n v="0.9"/>
    <n v="0.9"/>
    <n v="0.9"/>
    <n v="0.9"/>
    <n v="0.99"/>
    <n v="1"/>
    <n v="1"/>
    <n v="1"/>
    <n v="1"/>
    <n v="1"/>
    <n v="1"/>
    <x v="0"/>
    <n v="1"/>
    <n v="1"/>
    <n v="1"/>
    <x v="0"/>
    <s v="no"/>
    <s v="no"/>
    <s v="no"/>
    <s v="no"/>
    <s v="no"/>
    <s v="no"/>
    <s v="no"/>
    <x v="0"/>
    <s v="si"/>
    <s v="si"/>
    <s v="si"/>
    <s v="En etapa de pruebas"/>
    <m/>
    <m/>
    <m/>
    <s v="ESTA PENDIENTE LA FIRMA DEL ACTA UNICA DE ENTREGA. Aunque se indica está liquidado, aún no se produce pago final a nov 2018"/>
    <s v="Se paga planilla 3/4 por 97.209,25 el 05-dic-2018"/>
    <s v="Pagado planilla 3/4 el 5-dic-2018"/>
    <m/>
    <m/>
    <m/>
    <m/>
    <m/>
    <m/>
    <m/>
  </r>
  <r>
    <x v="5"/>
    <s v="OBRAS"/>
    <x v="1"/>
    <s v="Mejoramiento de la eficiencia y fiabilidad de la red"/>
    <x v="1"/>
    <x v="1"/>
    <x v="0"/>
    <s v="AZUAY"/>
    <x v="123"/>
    <n v="2"/>
    <x v="0"/>
    <s v="BID2-RSND-EECS-AU-OB-003"/>
    <s v="AUTOMATIZACIÓN DE LA DISTRIBUCIÓN - CAPÍTULO CONTROL Y COMUNICACIONES DE ALIMENTADORES URBANOS"/>
    <m/>
    <s v="LPN"/>
    <s v="ex-post"/>
    <s v="EJECUTADO BID"/>
    <s v="Nro.0017365"/>
    <s v="ING. JULIO VIZCAINO LEÓN"/>
    <s v="ECUATORIANA"/>
    <s v="PERSONA NATURAL"/>
    <n v="104081039001"/>
    <s v="DATO PENDIENTE "/>
    <s v="DATO PENDIENTE "/>
    <s v="ING. PATRICIO PEREZ"/>
    <s v="DATO PENDIENTE"/>
    <m/>
    <n v="137700"/>
    <n v="0"/>
    <n v="137700"/>
    <n v="0"/>
    <n v="137700"/>
    <n v="0.12"/>
    <n v="16524"/>
    <n v="0"/>
    <n v="154224.00000000003"/>
    <n v="132494.54"/>
    <n v="5205.4599999999919"/>
    <m/>
    <m/>
    <n v="137700"/>
    <m/>
    <n v="132494.54"/>
    <n v="0.14000000000000001"/>
    <m/>
    <n v="151043.77559999999"/>
    <m/>
    <m/>
    <m/>
    <m/>
    <m/>
    <m/>
    <m/>
    <m/>
    <m/>
    <m/>
    <m/>
    <n v="5205.4599999999919"/>
    <n v="5205.4599999999919"/>
    <s v="DDL, IAO 21.1."/>
    <s v="NO APLICA"/>
    <s v="NO APLICA"/>
    <s v="NO APLICA"/>
    <s v="NO APLICA"/>
    <s v="NO APLICA"/>
    <d v="2016-02-15T00:00:00"/>
    <d v="2016-02-23T00:00:00"/>
    <d v="2016-03-01T00:00:00"/>
    <d v="2016-03-08T00:00:00"/>
    <s v="NO APLICA"/>
    <d v="2016-03-15T00:00:00"/>
    <d v="2016-03-18T00:00:00"/>
    <s v="NO APLICA"/>
    <s v="NO APLICA"/>
    <s v="NO APLICA"/>
    <s v="DATO PENDIENTE"/>
    <s v="NO APLICA"/>
    <d v="2016-07-04T00:00:00"/>
    <d v="2016-07-27T00:00:00"/>
    <s v="NO APLICA"/>
    <s v="NO APLICA"/>
    <s v="NO APLICA"/>
    <m/>
    <s v="ü"/>
    <m/>
    <m/>
    <m/>
    <m/>
    <m/>
    <m/>
    <m/>
    <m/>
    <m/>
    <m/>
    <m/>
    <s v="ü"/>
    <s v="NO APLICA"/>
    <s v="SI"/>
    <n v="0.05"/>
    <d v="2016-08-03T00:00:00"/>
    <n v="66247.27"/>
    <s v="Pago 2/4 - plla. # 1; 100%"/>
    <d v="2016-12-27T00:00:00"/>
    <n v="66247.27"/>
    <m/>
    <m/>
    <m/>
    <m/>
    <m/>
    <m/>
    <m/>
    <m/>
    <m/>
    <m/>
    <m/>
    <m/>
    <m/>
    <m/>
    <m/>
    <m/>
    <m/>
    <m/>
    <m/>
    <m/>
    <m/>
    <m/>
    <m/>
    <m/>
    <n v="132494.54"/>
    <m/>
    <m/>
    <m/>
    <m/>
    <m/>
    <m/>
    <m/>
    <n v="150"/>
    <s v="DESDE LA NOTIFICACIÓN DE LA ENTREGA DEL ANTICIPO"/>
    <d v="2016-08-04T00:00:00"/>
    <d v="2017-01-01T00:00:00"/>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m/>
    <m/>
    <m/>
    <m/>
  </r>
  <r>
    <x v="5"/>
    <s v="OBRAS"/>
    <x v="1"/>
    <s v="Mejoramiento de la eficiencia y fiabilidad de la red"/>
    <x v="1"/>
    <x v="1"/>
    <x v="0"/>
    <s v="AZUAY"/>
    <x v="124"/>
    <n v="3"/>
    <x v="4"/>
    <s v="BID2-RSND-EECS-AU-OB-005"/>
    <s v=" ADQUISICIÓN, INSTALACIÓN Y PUESTA EN OPERACIÓN DE RECONECTADORES TRIFÁSICOS"/>
    <m/>
    <s v="LPN"/>
    <s v="ex-post"/>
    <s v="CONTRATADO"/>
    <s v="DIDIS 2016 Nro.0017548"/>
    <s v="INDUSTRIAL Y COMERCIAL TCM S.A."/>
    <s v="ECUATORIANA"/>
    <s v="PERSONA JURÍDICA"/>
    <s v="0 990790345001"/>
    <s v="DATO PENDIENTE "/>
    <s v="DATO PENDIENTE "/>
    <s v="ING. PAÚL NOVILLO"/>
    <s v="DATO PENDIENTE"/>
    <n v="1111857.07"/>
    <n v="1111857.07"/>
    <n v="1111857.07"/>
    <e v="#REF!"/>
    <n v="0"/>
    <e v="#REF!"/>
    <n v="0.12"/>
    <e v="#REF!"/>
    <n v="0"/>
    <e v="#REF!"/>
    <m/>
    <m/>
    <n v="65820.010000000009"/>
    <n v="1111857.07"/>
    <e v="#REF!"/>
    <m/>
    <n v="1046037.06"/>
    <n v="0.14000000000000001"/>
    <m/>
    <n v="1192482.2483999999"/>
    <m/>
    <m/>
    <m/>
    <m/>
    <m/>
    <m/>
    <m/>
    <m/>
    <m/>
    <m/>
    <m/>
    <n v="65820.010000000009"/>
    <n v="65820.010000000009"/>
    <s v="DDL, IAO 21.1."/>
    <s v="NO APLICA"/>
    <s v="NO APLICA"/>
    <s v="NO APLICA"/>
    <s v="NO APLICA"/>
    <s v="NO APLICA"/>
    <d v="2016-10-10T00:00:00"/>
    <d v="2016-10-28T00:00:00"/>
    <d v="2016-11-01T00:00:00"/>
    <d v="2016-11-08T00:00:00"/>
    <s v="NO APLICA"/>
    <d v="2016-11-14T00:00:00"/>
    <d v="2016-11-15T00:00:00"/>
    <s v="NO APLICA"/>
    <s v="NO APLICA"/>
    <s v="NO APLICA"/>
    <d v="2016-11-16T00:00:00"/>
    <s v="NO APLICA"/>
    <s v="DATO PENDIENTE"/>
    <d v="2016-12-08T00:00:00"/>
    <s v="NO APLICA"/>
    <s v="NO APLICA"/>
    <s v="NO APLICA"/>
    <m/>
    <s v="ü"/>
    <m/>
    <m/>
    <m/>
    <m/>
    <m/>
    <m/>
    <m/>
    <m/>
    <m/>
    <m/>
    <m/>
    <s v="ü"/>
    <s v="NO APLICA"/>
    <s v="NO APLICA"/>
    <s v="NO APLICA"/>
    <d v="2016-12-08T00:00:00"/>
    <n v="523018.53"/>
    <m/>
    <m/>
    <m/>
    <m/>
    <m/>
    <m/>
    <m/>
    <m/>
    <m/>
    <m/>
    <m/>
    <m/>
    <m/>
    <m/>
    <m/>
    <m/>
    <m/>
    <m/>
    <m/>
    <m/>
    <m/>
    <m/>
    <m/>
    <m/>
    <m/>
    <m/>
    <m/>
    <n v="523018.53"/>
    <m/>
    <m/>
    <m/>
    <m/>
    <m/>
    <m/>
    <m/>
    <n v="360"/>
    <s v="DESDE LA NOTIFICACIÓN DE LA ENTREGA DEL ANTICIPO"/>
    <d v="2016-12-09T00:00:00"/>
    <d v="2017-12-04T00:00:00"/>
    <m/>
    <m/>
    <m/>
    <m/>
    <m/>
    <m/>
    <m/>
    <m/>
    <m/>
    <m/>
    <m/>
    <m/>
    <m/>
    <m/>
    <m/>
    <m/>
    <m/>
    <m/>
    <m/>
    <m/>
    <m/>
    <m/>
    <m/>
    <m/>
    <m/>
    <m/>
    <m/>
    <m/>
    <m/>
    <m/>
    <m/>
    <m/>
    <m/>
    <m/>
    <m/>
    <m/>
    <m/>
    <n v="0.108"/>
    <n v="0.108"/>
    <n v="0.108"/>
    <n v="0.12"/>
    <n v="0.12"/>
    <n v="0.12"/>
    <n v="0.12"/>
    <n v="0.12"/>
    <n v="0.9"/>
    <n v="0.9"/>
    <n v="0.9"/>
    <n v="0.9"/>
    <n v="0.8"/>
    <n v="1"/>
    <n v="1"/>
    <n v="1"/>
    <n v="1"/>
    <n v="1"/>
    <n v="1"/>
    <x v="0"/>
    <n v="1"/>
    <n v="1"/>
    <n v="1"/>
    <x v="0"/>
    <s v="no"/>
    <s v="no"/>
    <s v="no"/>
    <s v="no"/>
    <s v="no"/>
    <s v="no"/>
    <s v="no"/>
    <x v="1"/>
    <s v="no"/>
    <s v="no"/>
    <s v="no"/>
    <s v="En etapa e pruebas"/>
    <m/>
    <m/>
    <m/>
    <s v="SE ENCUENTRA EN ETAPA DE LIQUIDACION"/>
    <m/>
    <s v="Pagada planilla 3/4 en julio 2018"/>
    <m/>
    <m/>
    <m/>
    <m/>
    <m/>
    <m/>
    <m/>
  </r>
  <r>
    <x v="5"/>
    <s v="OBRAS"/>
    <x v="1"/>
    <s v="Mejoramiento de la eficiencia y fiabilidad de la red"/>
    <x v="1"/>
    <x v="1"/>
    <x v="0"/>
    <s v="AZUAY"/>
    <x v="4"/>
    <n v="4"/>
    <x v="4"/>
    <s v="BID2-RSND-EECS-AU-OB-005"/>
    <s v=" ADQUISICIÓN, INSTALACIÓN Y PUESTA EN OPERACIÓN DE RECONECTADORES TRIFÁSICOS"/>
    <m/>
    <s v="LPN"/>
    <s v="ex-post"/>
    <s v="CONTRATADO"/>
    <s v="DIDIS 2016 Nro.0017549"/>
    <s v="ING. JOSÉ JULIO VIZCAINO LEON "/>
    <s v="ECUATORIANA"/>
    <s v="PERSONA NATURAL"/>
    <s v="0 104081039001"/>
    <s v="DATO PENDIENTE "/>
    <s v="DATO PENDIENTE "/>
    <s v="ING. CLAUDIO JARA"/>
    <s v="DATO PENDIENTE"/>
    <n v="157212.93"/>
    <n v="157212.93"/>
    <n v="157212.93"/>
    <m/>
    <n v="0"/>
    <n v="0"/>
    <n v="0.12"/>
    <n v="0"/>
    <n v="0"/>
    <n v="0"/>
    <m/>
    <m/>
    <n v="3760.929999999993"/>
    <n v="157212.93"/>
    <m/>
    <m/>
    <n v="153452"/>
    <n v="0.14000000000000001"/>
    <m/>
    <n v="174935.28"/>
    <m/>
    <m/>
    <m/>
    <m/>
    <m/>
    <m/>
    <m/>
    <m/>
    <m/>
    <m/>
    <m/>
    <n v="3760.929999999993"/>
    <n v="3760.929999999993"/>
    <s v="DDL, IAO 21.1."/>
    <s v="NO APLICA"/>
    <s v="NO APLICA"/>
    <s v="NO APLICA"/>
    <s v="NO APLICA"/>
    <s v="NO APLICA"/>
    <d v="2016-10-10T00:00:00"/>
    <d v="2016-10-28T00:00:00"/>
    <d v="2016-11-01T00:00:00"/>
    <d v="2016-11-08T00:00:00"/>
    <s v="NO APLICA"/>
    <d v="2016-11-14T00:00:00"/>
    <d v="2016-11-15T00:00:00"/>
    <s v="NO APLICA"/>
    <s v="NO APLICA"/>
    <s v="NO APLICA"/>
    <d v="2016-11-16T00:00:00"/>
    <s v="NO APLICA"/>
    <s v="DATO PENDIENTE"/>
    <d v="2016-12-08T00:00:00"/>
    <s v="NO APLICA"/>
    <s v="NO APLICA"/>
    <s v="NO APLICA"/>
    <m/>
    <s v="ü"/>
    <m/>
    <m/>
    <m/>
    <m/>
    <m/>
    <m/>
    <m/>
    <m/>
    <m/>
    <m/>
    <m/>
    <s v="ü"/>
    <s v="NO APLICA"/>
    <s v="NO APLICA"/>
    <s v="NO APLICA"/>
    <d v="2016-12-08T00:00:00"/>
    <n v="76726"/>
    <s v="Pago 2/4 - plla. # 1,  86,98%"/>
    <d v="2017-05-04T00:00:00"/>
    <n v="35320.200000000004"/>
    <m/>
    <m/>
    <m/>
    <m/>
    <m/>
    <m/>
    <m/>
    <m/>
    <m/>
    <m/>
    <m/>
    <m/>
    <m/>
    <m/>
    <m/>
    <m/>
    <m/>
    <m/>
    <m/>
    <m/>
    <m/>
    <m/>
    <m/>
    <m/>
    <n v="112046.20000000001"/>
    <m/>
    <m/>
    <m/>
    <m/>
    <m/>
    <m/>
    <m/>
    <n v="450"/>
    <s v="DESDE LA NOTIFICACIÓN DE LA ENTREGA DEL ANTICIPO"/>
    <d v="2016-12-09T00:00:00"/>
    <d v="2018-03-04T00:00:00"/>
    <m/>
    <m/>
    <m/>
    <m/>
    <m/>
    <m/>
    <m/>
    <m/>
    <m/>
    <m/>
    <m/>
    <m/>
    <m/>
    <m/>
    <m/>
    <m/>
    <m/>
    <m/>
    <m/>
    <m/>
    <m/>
    <m/>
    <m/>
    <m/>
    <m/>
    <m/>
    <m/>
    <m/>
    <m/>
    <m/>
    <m/>
    <m/>
    <m/>
    <m/>
    <m/>
    <m/>
    <m/>
    <n v="0.108"/>
    <n v="0.108"/>
    <n v="0.108"/>
    <n v="0.12"/>
    <n v="0.12"/>
    <n v="0.12"/>
    <n v="0.12"/>
    <n v="0.12"/>
    <n v="0.12"/>
    <n v="0.12"/>
    <n v="0.12"/>
    <n v="0.12"/>
    <n v="0.8"/>
    <n v="1"/>
    <n v="1"/>
    <n v="1"/>
    <n v="1"/>
    <n v="1"/>
    <n v="1"/>
    <x v="0"/>
    <n v="1"/>
    <n v="1"/>
    <n v="1"/>
    <x v="0"/>
    <s v="no"/>
    <s v="no"/>
    <s v="no"/>
    <s v="no"/>
    <s v="no"/>
    <s v="no"/>
    <s v="no"/>
    <x v="1"/>
    <s v="no"/>
    <s v="no"/>
    <s v="no"/>
    <m/>
    <m/>
    <m/>
    <m/>
    <s v="En liquidación"/>
    <m/>
    <s v="Pagada planilla 3/4 en 30- Abril-2019"/>
    <m/>
    <m/>
    <m/>
    <m/>
    <m/>
    <m/>
    <m/>
  </r>
  <r>
    <x v="1"/>
    <s v="OBRAS"/>
    <x v="1"/>
    <s v="Mejoramiento de la eficiencia y fiabilidad de la red"/>
    <x v="1"/>
    <x v="1"/>
    <x v="0"/>
    <s v="SANTO DOMINGO DE LOS TSACHILAS"/>
    <x v="125"/>
    <n v="6"/>
    <x v="4"/>
    <s v="BID2-RSND-EECS-AU-OB-005"/>
    <s v=" ADQUISICIÓN, INSTALACIÓN Y PUESTA EN OPERACIÓN DE RECONECTADORES TRIFÁSICOS"/>
    <m/>
    <s v="LPN"/>
    <s v="ex-post"/>
    <s v="EJECUTADO BID"/>
    <s v="BID2-RSND-EECS-AU-OB-005"/>
    <s v="INDUSTRIAL Y COMERCIAL TCM S.A."/>
    <s v="ECUATORIANA"/>
    <s v="PERSONA JURÍDICA"/>
    <s v="0 990790345001"/>
    <s v="DATO PENDIENTE "/>
    <s v="DATO PENDIENTE "/>
    <s v="DATO PENDIENTE "/>
    <s v="DATO PENDIENTE "/>
    <m/>
    <n v="859114.77"/>
    <n v="0"/>
    <n v="799400"/>
    <n v="0"/>
    <n v="799400"/>
    <n v="0.12"/>
    <n v="95928"/>
    <n v="0"/>
    <n v="895328.00000000012"/>
    <n v="768167.49"/>
    <n v="90947.280000000028"/>
    <m/>
    <m/>
    <n v="799400"/>
    <m/>
    <n v="770879.49"/>
    <n v="0.14000000000000001"/>
    <m/>
    <n v="878802.61859999993"/>
    <m/>
    <m/>
    <m/>
    <m/>
    <m/>
    <m/>
    <m/>
    <m/>
    <m/>
    <m/>
    <m/>
    <n v="88235.280000000028"/>
    <n v="88235.280000000028"/>
    <s v="DDL, IAO 21.1."/>
    <s v="NO APLICA"/>
    <s v="NO APLICA"/>
    <s v="NO APLICA"/>
    <s v="NO APLICA"/>
    <s v="NO APLICA"/>
    <d v="2016-10-10T00:00:00"/>
    <d v="2016-10-28T00:00:00"/>
    <d v="2016-11-01T00:00:00"/>
    <d v="2016-11-08T00:00:00"/>
    <m/>
    <d v="2016-11-14T00:00:00"/>
    <d v="2016-11-15T00:00:00"/>
    <s v="NO APLICA"/>
    <s v="NO APLICA"/>
    <s v="NO APLICA"/>
    <d v="2016-11-16T00:00:00"/>
    <m/>
    <s v="DATO PENDIENTE"/>
    <d v="2016-12-14T00:00:00"/>
    <s v="NO APLICA"/>
    <s v="NO APLICA"/>
    <s v="NO APLICA"/>
    <m/>
    <s v="ü"/>
    <m/>
    <m/>
    <m/>
    <m/>
    <m/>
    <m/>
    <m/>
    <m/>
    <m/>
    <m/>
    <m/>
    <s v="ü"/>
    <s v="NO APLICA"/>
    <m/>
    <m/>
    <d v="2016-12-15T00:00:00"/>
    <n v="385439.75"/>
    <m/>
    <m/>
    <m/>
    <m/>
    <m/>
    <m/>
    <m/>
    <m/>
    <m/>
    <m/>
    <m/>
    <m/>
    <m/>
    <m/>
    <m/>
    <m/>
    <m/>
    <m/>
    <m/>
    <m/>
    <m/>
    <m/>
    <m/>
    <m/>
    <m/>
    <m/>
    <m/>
    <n v="385439.75"/>
    <m/>
    <m/>
    <n v="385439.745"/>
    <m/>
    <m/>
    <n v="770879.495"/>
    <m/>
    <n v="360"/>
    <s v="DESDE LA NOTIFICACIÓN DE LA ENTREGA DEL ANTICIPO"/>
    <d v="2016-12-16T00:00:00"/>
    <d v="2017-12-11T00:00:00"/>
    <m/>
    <m/>
    <m/>
    <m/>
    <m/>
    <m/>
    <m/>
    <m/>
    <m/>
    <m/>
    <m/>
    <m/>
    <m/>
    <m/>
    <m/>
    <m/>
    <m/>
    <m/>
    <m/>
    <m/>
    <m/>
    <m/>
    <m/>
    <m/>
    <m/>
    <m/>
    <m/>
    <m/>
    <m/>
    <m/>
    <m/>
    <m/>
    <m/>
    <m/>
    <m/>
    <m/>
    <n v="0.25"/>
    <n v="0.25"/>
    <n v="0.25"/>
    <n v="0.25"/>
    <n v="0.4"/>
    <n v="0.4"/>
    <n v="0.4"/>
    <n v="0.6"/>
    <n v="0.6"/>
    <n v="0.6"/>
    <n v="0.6"/>
    <n v="0.6"/>
    <n v="0.6"/>
    <n v="1"/>
    <n v="1"/>
    <n v="1"/>
    <n v="1"/>
    <n v="1"/>
    <n v="1"/>
    <n v="1"/>
    <x v="0"/>
    <n v="1"/>
    <n v="1"/>
    <n v="1"/>
    <x v="0"/>
    <s v="no"/>
    <s v="no"/>
    <s v="no"/>
    <s v="si"/>
    <s v="si"/>
    <s v="si"/>
    <s v="si"/>
    <x v="0"/>
    <s v="si"/>
    <s v="si"/>
    <s v="si"/>
    <m/>
    <m/>
    <m/>
    <s v="Contrato finalizado sin novedades con fecha 29 de diciembre de 2017 ya con la firma del Acta Entrega  - Recepción Definitiva."/>
    <s v="Contrato finalizado sin novedades con fecha 29 de diciembre de 2017 ya con la firma del Acta Entrega  - Recepción Definitiva."/>
    <m/>
    <m/>
    <m/>
    <m/>
    <m/>
    <m/>
    <m/>
    <m/>
    <m/>
  </r>
  <r>
    <x v="4"/>
    <s v="OBRAS"/>
    <x v="1"/>
    <s v="Mejoramiento de la eficiencia y fiabilidad de la red"/>
    <x v="1"/>
    <x v="1"/>
    <x v="0"/>
    <s v="COTOPAXI"/>
    <x v="126"/>
    <n v="5"/>
    <x v="4"/>
    <s v="BID2-RSND-EECS-AU-OB-005"/>
    <s v=" ADQUISICIÓN, INSTALACIÓN Y PUESTA EN OPERACIÓN DE RECONECTADORES TRIFÁSICOS"/>
    <m/>
    <s v="LPN"/>
    <s v="ex-post"/>
    <s v="EJECUTADO BID"/>
    <s v="No. 091/2016 (p)"/>
    <s v="INDUSTRIAL Y COMERCIAL TCM S.A."/>
    <s v="ECUATORIANA"/>
    <s v="PERSONA JURÍDICA"/>
    <s v="0 990790345001"/>
    <m/>
    <m/>
    <m/>
    <s v="DATO PENDIENTE "/>
    <m/>
    <n v="351458.2"/>
    <n v="0"/>
    <n v="401507.55000000005"/>
    <n v="0"/>
    <n v="401507.55000000005"/>
    <n v="0.12"/>
    <n v="48180.906000000003"/>
    <n v="0"/>
    <n v="449688.45600000012"/>
    <n v="351458.2"/>
    <n v="0"/>
    <m/>
    <m/>
    <n v="401507.55000000005"/>
    <m/>
    <n v="378722.36"/>
    <n v="0.14000000000000001"/>
    <n v="53021.130400000002"/>
    <n v="431743.49039999995"/>
    <m/>
    <m/>
    <m/>
    <m/>
    <m/>
    <m/>
    <m/>
    <m/>
    <m/>
    <m/>
    <m/>
    <n v="-27264.159999999974"/>
    <n v="-27264.159999999974"/>
    <s v="DDL, IAO 21.1."/>
    <s v="NO APLICA"/>
    <s v="NO APLICA"/>
    <s v="NO APLICA"/>
    <s v="NO APLICA"/>
    <s v="NO APLICA"/>
    <d v="2016-10-10T00:00:00"/>
    <d v="2016-10-28T00:00:00"/>
    <d v="2016-11-01T00:00:00"/>
    <d v="2016-11-08T00:00:00"/>
    <s v="NO APLICA"/>
    <d v="2016-11-14T00:00:00"/>
    <d v="2016-11-15T00:00:00"/>
    <s v="NO APLICA"/>
    <s v="NO APLICA"/>
    <s v="NO APLICA"/>
    <d v="2016-11-16T00:00:00"/>
    <s v="NO APLICA"/>
    <d v="2016-11-28T00:00:00"/>
    <d v="2016-12-06T00:00:00"/>
    <s v="NO APLICA"/>
    <s v="NO APLICA"/>
    <s v="NO APLICA"/>
    <s v="CONSTA EN LA PAG WEB DE CENTRO SUR"/>
    <s v="CONSTA EN LA PAG WEB DE CENTRO SUR"/>
    <s v="CONSTA EN LA PAG WEB DE CENTRO SUR"/>
    <s v="CONSTA EN LA PAG WEB DE CENTRO SUR"/>
    <s v="CONSTA EN LA PAG WEB DE CENTRO SUR"/>
    <s v="CONSTA EN LA PAG WEB DE CENTRO SUR"/>
    <s v="CONSTA EN LA PAG WEB DE CENTRO SUR"/>
    <s v="CONSTA EN LA PAG WEB DE CENTRO SUR"/>
    <s v="CONSTA EN LA PAG WEB DE CENTRO SUR"/>
    <s v="CONSTA EN LA PAG WEB DE CENTRO SUR"/>
    <s v="NO ESTA PUBLICADO"/>
    <m/>
    <s v="NO ESTA PUBLICADO"/>
    <s v="NO ESTA PUBLICADO"/>
    <s v="NO APLICA"/>
    <m/>
    <m/>
    <d v="2016-12-13T00:00:00"/>
    <n v="189361.18"/>
    <m/>
    <m/>
    <m/>
    <m/>
    <m/>
    <m/>
    <m/>
    <m/>
    <m/>
    <m/>
    <m/>
    <m/>
    <m/>
    <m/>
    <m/>
    <m/>
    <m/>
    <m/>
    <m/>
    <m/>
    <m/>
    <m/>
    <m/>
    <m/>
    <m/>
    <m/>
    <m/>
    <n v="189361.18"/>
    <m/>
    <m/>
    <m/>
    <m/>
    <m/>
    <m/>
    <m/>
    <n v="360"/>
    <s v="DESDE LA NOTIFICACIÓN DE LA ENTREGA DEL ANTICIPO"/>
    <d v="2016-12-07T00:00:00"/>
    <d v="2017-12-02T00:00:00"/>
    <m/>
    <m/>
    <m/>
    <m/>
    <m/>
    <m/>
    <m/>
    <m/>
    <m/>
    <m/>
    <m/>
    <m/>
    <m/>
    <m/>
    <m/>
    <m/>
    <m/>
    <m/>
    <m/>
    <m/>
    <m/>
    <m/>
    <m/>
    <m/>
    <m/>
    <m/>
    <m/>
    <m/>
    <m/>
    <m/>
    <m/>
    <m/>
    <m/>
    <m/>
    <m/>
    <m/>
    <n v="0.25"/>
    <n v="0.25"/>
    <n v="0.25"/>
    <n v="0.25"/>
    <n v="0.25"/>
    <n v="0.65"/>
    <n v="0.65"/>
    <n v="0.9"/>
    <n v="0.9"/>
    <n v="0.95"/>
    <n v="0.95"/>
    <n v="0.95"/>
    <n v="0.95"/>
    <n v="0.95"/>
    <n v="1"/>
    <n v="1"/>
    <n v="1"/>
    <n v="1"/>
    <n v="1"/>
    <n v="1"/>
    <x v="0"/>
    <n v="1"/>
    <n v="1"/>
    <n v="1"/>
    <x v="0"/>
    <s v="no"/>
    <s v="no"/>
    <s v="no"/>
    <s v="no"/>
    <s v="si"/>
    <s v="si"/>
    <s v="si"/>
    <x v="0"/>
    <s v="si"/>
    <s v="si"/>
    <s v="si"/>
    <s v="En liquidación, obra concluida"/>
    <m/>
    <m/>
    <s v="¿Está liquidado este contrato?"/>
    <s v="liquidado"/>
    <m/>
    <m/>
    <m/>
    <m/>
    <m/>
    <m/>
    <m/>
    <m/>
    <m/>
  </r>
  <r>
    <x v="4"/>
    <s v="OBRAS"/>
    <x v="0"/>
    <s v="Proyectos de expansión y refuerzo en el Sistema Nacional de Distribución"/>
    <x v="3"/>
    <x v="3"/>
    <x v="0"/>
    <s v="COTOPAXI"/>
    <x v="127"/>
    <n v="18"/>
    <x v="0"/>
    <s v="BID2-RSND-ELEPCO-AU-ST-OB-003"/>
    <s v="CONSTRUCCIÓN DE LOS PROYECTOS DE MEJORAMIENTO DE LA SUBESTACION EL CALVARIO Y CENTRO DE CONTROL"/>
    <s v="LOTE 2: READECUACIÓN DE OBRAS CIVILES EN LA SUBESTACIÓN EL CALVARIO"/>
    <s v="LPN"/>
    <s v="ex-post"/>
    <s v="EN PROCESO CON PLIEGOS Y CERTIFICACIÓN"/>
    <m/>
    <m/>
    <m/>
    <m/>
    <m/>
    <m/>
    <m/>
    <m/>
    <m/>
    <m/>
    <n v="315476.61000000004"/>
    <n v="0"/>
    <n v="315476.61000000004"/>
    <n v="83250.16"/>
    <n v="398726.77"/>
    <n v="0.12"/>
    <n v="37857.193200000002"/>
    <n v="9990.0192000000006"/>
    <n v="446573.98240000004"/>
    <m/>
    <m/>
    <m/>
    <m/>
    <n v="398726.77"/>
    <m/>
    <m/>
    <m/>
    <m/>
    <m/>
    <m/>
    <m/>
    <m/>
    <m/>
    <m/>
    <m/>
    <m/>
    <m/>
    <m/>
    <m/>
    <m/>
    <m/>
    <m/>
    <m/>
    <s v="NO APLICA"/>
    <s v="NO APLICA"/>
    <s v="NO APLICA"/>
    <s v="NO APLICA"/>
    <s v="NO APLICA"/>
    <d v="2019-07-11T00:00:00"/>
    <m/>
    <m/>
    <m/>
    <m/>
    <m/>
    <m/>
    <m/>
    <m/>
    <m/>
    <d v="2019-09-04T00:00:00"/>
    <m/>
    <m/>
    <m/>
    <s v="NO APLICA"/>
    <s v="NO APLICA"/>
    <s v="NO APLICA"/>
    <m/>
    <m/>
    <m/>
    <m/>
    <m/>
    <m/>
    <m/>
    <m/>
    <m/>
    <m/>
    <m/>
    <m/>
    <m/>
    <m/>
    <m/>
    <m/>
    <m/>
    <m/>
    <m/>
    <m/>
    <m/>
    <m/>
    <m/>
    <m/>
    <m/>
    <m/>
    <m/>
    <m/>
    <m/>
    <m/>
    <m/>
    <m/>
    <m/>
    <m/>
    <m/>
    <m/>
    <m/>
    <m/>
    <m/>
    <m/>
    <m/>
    <m/>
    <m/>
    <m/>
    <m/>
    <m/>
    <m/>
    <m/>
    <m/>
    <m/>
    <m/>
    <m/>
    <m/>
    <m/>
    <m/>
    <m/>
    <m/>
    <m/>
    <m/>
    <m/>
    <m/>
    <m/>
    <m/>
    <m/>
    <m/>
    <m/>
    <m/>
    <m/>
    <m/>
    <m/>
    <m/>
    <m/>
    <m/>
    <m/>
    <m/>
    <m/>
    <m/>
    <m/>
    <m/>
    <m/>
    <m/>
    <m/>
    <m/>
    <m/>
    <m/>
    <m/>
    <m/>
    <m/>
    <m/>
    <m/>
    <m/>
    <m/>
    <m/>
    <m/>
    <m/>
    <m/>
    <m/>
    <m/>
    <m/>
    <m/>
    <n v="0"/>
    <n v="0"/>
    <n v="0"/>
    <n v="0"/>
    <n v="0"/>
    <n v="0"/>
    <n v="0"/>
    <n v="0"/>
    <n v="0"/>
    <n v="0"/>
    <n v="0"/>
    <n v="0"/>
    <n v="0"/>
    <n v="0"/>
    <x v="2"/>
    <n v="0"/>
    <n v="0"/>
    <n v="0"/>
    <x v="1"/>
    <s v="no"/>
    <s v="no"/>
    <s v="no"/>
    <s v="no"/>
    <s v="no"/>
    <s v="no"/>
    <s v="no"/>
    <x v="1"/>
    <s v="no"/>
    <s v="no"/>
    <s v="no"/>
    <s v="En trámmites de contratación. Confirmar fecha de finalización."/>
    <m/>
    <m/>
    <m/>
    <m/>
    <m/>
    <m/>
    <m/>
    <m/>
    <m/>
    <s v="REFORMA Oficio Nro.ELEPCOSA-PE-2018-01214-O del 07 de noviembre de 2018. RESPUESTA Oficio Nro.MERNNR-DEGTODEE-2018-0011-OF del 19 de noviembre de 2018"/>
    <m/>
    <m/>
    <m/>
  </r>
  <r>
    <x v="5"/>
    <s v="OBRAS"/>
    <x v="0"/>
    <s v="Proyectos de expansión y refuerzo en el Sistema Nacional de Distribución"/>
    <x v="0"/>
    <x v="0"/>
    <x v="0"/>
    <s v="CAÑAR"/>
    <x v="128"/>
    <n v="6"/>
    <x v="0"/>
    <s v="BID2-RSND-EECS-DI-OB-001"/>
    <s v="REPOTENCIACIÓN DEL ALIMENTADOR VOLUNTAD DE DIOS COLONIA 10 AGOSTO / LA TRONCAL. REPOTENCIACIÓN-CONSTRUCCIÓN DE LA LÍNEA TRIFASICA SECTOR SANTA ISABEL / LA TRONCAL. REPOTENCIACIÓN DE LA RED MEDIA TENSIÓN ALIMENTADOR 5013 / LA TRONCAL."/>
    <s v="10 de Agosto"/>
    <s v="LPN"/>
    <s v="ex-post"/>
    <s v="EJECUTADO BID"/>
    <s v="Nro. 0017356"/>
    <s v="ING. MARIO ROLANDO MERCHAN PESANTEZ"/>
    <s v="ECUATORIANA"/>
    <s v="PERSONA NATURAL"/>
    <n v="101942399001"/>
    <s v="DATO PENDIENTE "/>
    <s v="DATO PENDIENTE "/>
    <s v="ING. JORGE CALLE LOYOLA"/>
    <s v="DATO PENDIENTE "/>
    <n v="183313.04"/>
    <n v="298117.8"/>
    <n v="183313.04"/>
    <n v="298117.8"/>
    <n v="0"/>
    <n v="298117.8"/>
    <n v="0.12"/>
    <n v="35774.135999999999"/>
    <n v="0"/>
    <n v="333891.93600000005"/>
    <n v="292853.19"/>
    <n v="5264.609999999986"/>
    <m/>
    <n v="174630"/>
    <n v="289434.76"/>
    <m/>
    <n v="252646.43"/>
    <n v="0.14000000000000001"/>
    <m/>
    <n v="288016.93019999994"/>
    <d v="2016-10-18T00:00:00"/>
    <n v="3.4299999999999997E-2"/>
    <n v="8683.0399999999991"/>
    <m/>
    <m/>
    <m/>
    <m/>
    <m/>
    <m/>
    <m/>
    <m/>
    <n v="45471.369999999995"/>
    <n v="36788.329999999994"/>
    <s v="DDL, IAO 21.1."/>
    <s v="NO APLICA"/>
    <s v="NO APLICA"/>
    <s v="NO APLICA"/>
    <s v="NO APLICA"/>
    <s v="NO APLICA"/>
    <d v="2015-10-08T00:00:00"/>
    <d v="2015-10-30T00:00:00"/>
    <d v="2015-11-09T00:00:00"/>
    <d v="2015-11-14T00:00:00"/>
    <s v="NO APLICA"/>
    <d v="2015-11-23T00:00:00"/>
    <d v="2015-12-07T00:00:00"/>
    <s v="NO APLICA"/>
    <s v="NO APLICA"/>
    <s v="NO APLICA"/>
    <s v="DATO PENDIENTE"/>
    <s v="NO APLICA"/>
    <d v="2016-07-04T00:00:00"/>
    <d v="2016-07-22T00:00:00"/>
    <s v="NO APLICA"/>
    <s v="NO APLICA"/>
    <s v="NO APLICA"/>
    <m/>
    <s v="ü"/>
    <m/>
    <m/>
    <m/>
    <m/>
    <m/>
    <m/>
    <m/>
    <m/>
    <m/>
    <m/>
    <m/>
    <s v="ü"/>
    <s v="NO APLICA"/>
    <s v="SI"/>
    <n v="0.05"/>
    <d v="2016-08-01T00:00:00"/>
    <n v="126323.215"/>
    <s v="Pago 2/4 - plla. # 1, 15%"/>
    <d v="2016-11-24T00:00:00"/>
    <n v="38816.5"/>
    <s v="Pago 3/4 - plla. # 2, 78,56%"/>
    <d v="2016-12-22T00:00:00"/>
    <n v="60222.909999999996"/>
    <s v="Pago 4/4 - plla. # 3, 94,82%"/>
    <d v="2017-02-01T00:00:00"/>
    <n v="14189.150000000001"/>
    <m/>
    <m/>
    <m/>
    <m/>
    <m/>
    <m/>
    <m/>
    <m/>
    <m/>
    <m/>
    <m/>
    <m/>
    <m/>
    <m/>
    <m/>
    <m/>
    <m/>
    <m/>
    <n v="239551.77499999999"/>
    <m/>
    <m/>
    <m/>
    <m/>
    <m/>
    <m/>
    <m/>
    <n v="240"/>
    <s v="DESDE LA NOTIFICACIÓN DE LA ENTREGA DEL ANTICIPO"/>
    <d v="2016-08-02T00:00:00"/>
    <d v="2017-03-30T00:00:00"/>
    <m/>
    <m/>
    <m/>
    <m/>
    <m/>
    <m/>
    <m/>
    <m/>
    <m/>
    <m/>
    <m/>
    <m/>
    <m/>
    <m/>
    <m/>
    <m/>
    <m/>
    <m/>
    <m/>
    <m/>
    <m/>
    <m/>
    <m/>
    <m/>
    <m/>
    <m/>
    <m/>
    <m/>
    <m/>
    <m/>
    <m/>
    <m/>
    <m/>
    <m/>
    <m/>
    <m/>
    <n v="0.5"/>
    <n v="1"/>
    <n v="1"/>
    <n v="1"/>
    <n v="1"/>
    <n v="1"/>
    <n v="1"/>
    <n v="1"/>
    <n v="1"/>
    <n v="1"/>
    <n v="1"/>
    <n v="1"/>
    <n v="1"/>
    <n v="1"/>
    <n v="1"/>
    <n v="1"/>
    <n v="1"/>
    <n v="1"/>
    <n v="1"/>
    <n v="1"/>
    <x v="0"/>
    <n v="1"/>
    <n v="1"/>
    <n v="1"/>
    <x v="0"/>
    <s v="si"/>
    <s v="si"/>
    <s v="si"/>
    <s v="si"/>
    <s v="si"/>
    <s v="si"/>
    <s v="si"/>
    <x v="0"/>
    <s v="si"/>
    <s v="si"/>
    <s v="si"/>
    <m/>
    <m/>
    <m/>
    <m/>
    <m/>
    <m/>
    <m/>
    <m/>
    <m/>
    <m/>
    <s v="OFICIO Nro.CENTROSUR-PREEJE-2016-0744-OF de 18.10.2016, FORMULARIO DE CONTROL DE CAMBIOS, SOLICITUD No…., SE ATENDIO REFORMA CON OFICIO Nro.MEER-SDCE-2016-1383-OF de 30.11.2016"/>
    <m/>
    <m/>
    <m/>
  </r>
  <r>
    <x v="5"/>
    <s v="OBRAS"/>
    <x v="0"/>
    <s v="Proyectos de expansión y refuerzo en el Sistema Nacional de Distribución"/>
    <x v="0"/>
    <x v="0"/>
    <x v="0"/>
    <s v="CAÑAR"/>
    <x v="129"/>
    <n v="7"/>
    <x v="0"/>
    <s v="BID2-RSND-EECS-DI-OB-001"/>
    <s v="REPOTENCIACIÓN DEL ALIMENTADOR VOLUNTAD DE DIOS COLONIA 10 AGOSTO / LA TRONCAL. REPOTENCIACIÓN-CONSTRUCCIÓN DE LA LÍNEA TRIFASICA SECTOR SANTA ISABEL / LA TRONCAL. REPOTENCIACIÓN DE LA RED MEDIA TENSIÓN ALIMENTADOR 5013 / LA TRONCAL."/>
    <s v="Santa Isabel"/>
    <s v="LPN"/>
    <s v="ex-post"/>
    <s v="EJECUTADO BID"/>
    <s v="Nro. 0017356"/>
    <s v="ING. MARIO ROLANDO MERCHAN PESANTEZ"/>
    <s v="ECUATORIANA"/>
    <s v="PERSONA NATURAL"/>
    <n v="101942399001"/>
    <s v="DATO PENDIENTE "/>
    <s v="DATO PENDIENTE "/>
    <s v="ING. JORGE CALLE LOYOLA"/>
    <s v="DATO PENDIENTE "/>
    <n v="66679.009999999995"/>
    <n v="0"/>
    <n v="66679.009999999995"/>
    <m/>
    <n v="0"/>
    <n v="0"/>
    <n v="0.12"/>
    <n v="0"/>
    <n v="0"/>
    <n v="0"/>
    <m/>
    <m/>
    <m/>
    <n v="66679.009999999995"/>
    <m/>
    <m/>
    <m/>
    <m/>
    <m/>
    <n v="0"/>
    <m/>
    <m/>
    <m/>
    <m/>
    <m/>
    <m/>
    <m/>
    <m/>
    <m/>
    <m/>
    <m/>
    <n v="0"/>
    <n v="0"/>
    <s v="DDL, IAO 21.1."/>
    <s v="NO APLICA"/>
    <s v="NO APLICA"/>
    <s v="NO APLICA"/>
    <s v="NO APLICA"/>
    <s v="NO APLICA"/>
    <d v="2015-10-08T00:00:00"/>
    <d v="2015-10-30T00:00:00"/>
    <d v="2015-11-09T00:00:00"/>
    <d v="2015-11-14T00:00:00"/>
    <s v="NO APLICA"/>
    <d v="2015-11-23T00:00:00"/>
    <d v="2015-12-07T00:00:00"/>
    <s v="NO APLICA"/>
    <s v="NO APLICA"/>
    <s v="NO APLICA"/>
    <s v="DATO PENDIENTE"/>
    <s v="NO APLICA"/>
    <d v="2016-07-04T00:00:00"/>
    <d v="2016-07-22T00:00:00"/>
    <s v="NO APLICA"/>
    <s v="NO APLICA"/>
    <s v="NO APLICA"/>
    <m/>
    <s v="ü"/>
    <m/>
    <m/>
    <m/>
    <m/>
    <m/>
    <m/>
    <m/>
    <m/>
    <m/>
    <m/>
    <m/>
    <s v="ü"/>
    <s v="NO APLICA"/>
    <s v="SI"/>
    <n v="0.05"/>
    <d v="2016-08-01T00:00:00"/>
    <n v="0"/>
    <m/>
    <d v="2016-11-24T00:00:00"/>
    <n v="38816.5"/>
    <m/>
    <m/>
    <m/>
    <m/>
    <m/>
    <m/>
    <m/>
    <m/>
    <m/>
    <m/>
    <m/>
    <m/>
    <m/>
    <m/>
    <m/>
    <m/>
    <m/>
    <m/>
    <m/>
    <m/>
    <m/>
    <m/>
    <m/>
    <m/>
    <m/>
    <m/>
    <m/>
    <m/>
    <m/>
    <m/>
    <m/>
    <m/>
    <n v="240"/>
    <s v="DESDE LA NOTIFICACIÓN DE LA ENTREGA DEL ANTICIPO"/>
    <d v="2016-08-02T00:00:00"/>
    <d v="2017-03-30T00:00:00"/>
    <m/>
    <m/>
    <m/>
    <m/>
    <m/>
    <m/>
    <m/>
    <m/>
    <m/>
    <m/>
    <m/>
    <m/>
    <m/>
    <m/>
    <m/>
    <m/>
    <m/>
    <m/>
    <m/>
    <m/>
    <m/>
    <m/>
    <m/>
    <m/>
    <m/>
    <m/>
    <m/>
    <m/>
    <m/>
    <m/>
    <m/>
    <m/>
    <m/>
    <m/>
    <m/>
    <m/>
    <n v="0.5"/>
    <n v="1"/>
    <n v="1"/>
    <n v="1"/>
    <n v="1"/>
    <n v="1"/>
    <n v="1"/>
    <n v="1"/>
    <n v="1"/>
    <n v="1"/>
    <n v="1"/>
    <n v="1"/>
    <n v="1"/>
    <n v="1"/>
    <n v="1"/>
    <n v="1"/>
    <n v="1"/>
    <n v="1"/>
    <n v="1"/>
    <n v="1"/>
    <x v="0"/>
    <n v="1"/>
    <n v="1"/>
    <n v="1"/>
    <x v="0"/>
    <s v="si"/>
    <s v="si"/>
    <s v="si"/>
    <s v="si"/>
    <s v="si"/>
    <s v="si"/>
    <s v="si"/>
    <x v="0"/>
    <s v="si"/>
    <s v="si"/>
    <s v="si"/>
    <m/>
    <m/>
    <m/>
    <m/>
    <m/>
    <m/>
    <m/>
    <m/>
    <m/>
    <m/>
    <s v="OFICIO Nro.CENTROSUR-PREEJE-2016-0744-OF de 18.10.2016, FORMULARIO DE CONTROL DE CAMBIOS, SOLICITUD No…., SE ATENDIO REFORMA CON OFICIO Nro.MEER-SDCE-2016-1383-OF de 30.11.2016"/>
    <m/>
    <m/>
    <m/>
  </r>
  <r>
    <x v="5"/>
    <s v="OBRAS"/>
    <x v="0"/>
    <s v="Proyectos de expansión y refuerzo en el Sistema Nacional de Distribución"/>
    <x v="0"/>
    <x v="0"/>
    <x v="0"/>
    <s v="CAÑAR"/>
    <x v="130"/>
    <n v="8"/>
    <x v="0"/>
    <s v="BID2-RSND-EECS-DI-OB-001"/>
    <s v="REPOTENCIACIÓN DEL ALIMENTADOR VOLUNTAD DE DIOS COLONIA 10 AGOSTO / LA TRONCAL. REPOTENCIACIÓN-CONSTRUCCIÓN DE LA LÍNEA TRIFASICA SECTOR SANTA ISABEL / LA TRONCAL. REPOTENCIACIÓN DE LA RED MEDIA TENSIÓN ALIMENTADOR 5013 / LA TRONCAL."/>
    <s v="Alimentador 5013"/>
    <s v="LPN"/>
    <s v="ex-post"/>
    <s v="EJECUTADO BID"/>
    <s v="Nro. 0017356"/>
    <s v="ING. MARIO ROLANDO MERCHAN PESANTEZ"/>
    <s v="ECUATORIANA"/>
    <s v="PERSONA NATURAL"/>
    <n v="101942399001"/>
    <s v="DATO PENDIENTE "/>
    <s v="DATO PENDIENTE "/>
    <s v="ING. JORGE CALLE LOYOLA"/>
    <m/>
    <n v="48125.75"/>
    <n v="0"/>
    <n v="48125.75"/>
    <m/>
    <n v="0"/>
    <n v="0"/>
    <n v="0.12"/>
    <n v="0"/>
    <n v="0"/>
    <n v="0"/>
    <m/>
    <m/>
    <m/>
    <n v="48125.75"/>
    <m/>
    <m/>
    <m/>
    <m/>
    <m/>
    <n v="0"/>
    <m/>
    <m/>
    <m/>
    <m/>
    <m/>
    <m/>
    <m/>
    <m/>
    <m/>
    <m/>
    <m/>
    <n v="0"/>
    <n v="0"/>
    <s v="DDL, IAO 21.1."/>
    <s v="NO APLICA"/>
    <s v="NO APLICA"/>
    <s v="NO APLICA"/>
    <s v="NO APLICA"/>
    <s v="NO APLICA"/>
    <d v="2015-10-08T00:00:00"/>
    <d v="2015-10-30T00:00:00"/>
    <d v="2015-11-09T00:00:00"/>
    <d v="2015-11-14T00:00:00"/>
    <s v="NO APLICA"/>
    <d v="2015-11-23T00:00:00"/>
    <d v="2015-12-07T00:00:00"/>
    <s v="NO APLICA"/>
    <s v="NO APLICA"/>
    <s v="NO APLICA"/>
    <s v="DATO PENDIENTE"/>
    <s v="NO APLICA"/>
    <d v="2016-07-04T00:00:00"/>
    <d v="2016-07-22T00:00:00"/>
    <s v="NO APLICA"/>
    <s v="NO APLICA"/>
    <s v="NO APLICA"/>
    <m/>
    <s v="ü"/>
    <m/>
    <m/>
    <m/>
    <m/>
    <m/>
    <m/>
    <m/>
    <m/>
    <m/>
    <m/>
    <m/>
    <s v="ü"/>
    <s v="NO APLICA"/>
    <s v="SI"/>
    <n v="0.05"/>
    <d v="2016-08-01T00:00:00"/>
    <n v="0"/>
    <m/>
    <d v="2016-11-24T00:00:00"/>
    <n v="38816.5"/>
    <m/>
    <m/>
    <m/>
    <m/>
    <m/>
    <m/>
    <m/>
    <m/>
    <m/>
    <m/>
    <m/>
    <m/>
    <m/>
    <m/>
    <m/>
    <m/>
    <m/>
    <m/>
    <m/>
    <m/>
    <m/>
    <m/>
    <m/>
    <m/>
    <m/>
    <m/>
    <m/>
    <m/>
    <m/>
    <m/>
    <m/>
    <m/>
    <n v="240"/>
    <s v="DESDE LA NOTIFICACIÓN DE LA ENTREGA DEL ANTICIPO"/>
    <d v="2016-08-02T00:00:00"/>
    <d v="2017-03-30T00:00:00"/>
    <m/>
    <m/>
    <m/>
    <m/>
    <m/>
    <m/>
    <m/>
    <m/>
    <m/>
    <m/>
    <m/>
    <m/>
    <m/>
    <m/>
    <m/>
    <m/>
    <m/>
    <m/>
    <m/>
    <m/>
    <m/>
    <m/>
    <m/>
    <m/>
    <m/>
    <m/>
    <m/>
    <m/>
    <m/>
    <m/>
    <m/>
    <m/>
    <m/>
    <m/>
    <m/>
    <m/>
    <n v="0.5"/>
    <n v="1"/>
    <n v="1"/>
    <n v="1"/>
    <n v="1"/>
    <n v="1"/>
    <n v="1"/>
    <n v="1"/>
    <n v="1"/>
    <n v="1"/>
    <n v="1"/>
    <n v="1"/>
    <n v="1"/>
    <n v="1"/>
    <n v="1"/>
    <n v="1"/>
    <n v="1"/>
    <n v="1"/>
    <n v="1"/>
    <n v="1"/>
    <x v="0"/>
    <n v="1"/>
    <n v="1"/>
    <n v="1"/>
    <x v="0"/>
    <s v="si"/>
    <s v="si"/>
    <s v="si"/>
    <s v="si"/>
    <s v="si"/>
    <s v="si"/>
    <s v="si"/>
    <x v="0"/>
    <s v="si"/>
    <s v="si"/>
    <s v="si"/>
    <m/>
    <m/>
    <m/>
    <m/>
    <m/>
    <m/>
    <m/>
    <m/>
    <m/>
    <m/>
    <s v="OFICIO Nro.CENTROSUR-PREEJE-2016-0744-OF de 18.10.2016, FORMULARIO DE CONTROL DE CAMBIOS, SOLICITUD No…., SE ATENDIO REFORMA CON OFICIO Nro.MEER-SDCE-2016-1383-OF de 30.11.2016"/>
    <m/>
    <m/>
    <m/>
  </r>
  <r>
    <x v="5"/>
    <s v="CONSULTORIA INDIVIDUAL"/>
    <x v="0"/>
    <s v="Proyectos de expansión y refuerzo en el Sistema Nacional de Distribución"/>
    <x v="0"/>
    <x v="7"/>
    <x v="0"/>
    <s v="CAÑAR"/>
    <x v="128"/>
    <n v="6"/>
    <x v="0"/>
    <s v="BID2-RSND-EECS-FI-CI-004"/>
    <s v="FISCALIZACIÓN DEL PROYECTO REPOTENCIACIÓN DEL ALIMENTADOR VOLUNTAD DE DIOS COLONIA 10 AGOSTO / LA TRONCAL. REPOTENCIACIÓN-CONSTRUCCIÓN DE LA LÍNEA TRIFASICA SECTOR SANTA ISABEL / LA TRONCAL. REPOTENCIACIÓN DE LA RED MEDIA TENSIÓN ALIMENTADOR 5013 / LA TRONCAL. (1)"/>
    <m/>
    <m/>
    <s v="ex-post"/>
    <s v="EJECUTADO EE"/>
    <m/>
    <m/>
    <m/>
    <m/>
    <m/>
    <s v="NO APLICA"/>
    <s v="NO APLICA"/>
    <m/>
    <m/>
    <m/>
    <n v="0"/>
    <n v="0"/>
    <m/>
    <n v="0"/>
    <n v="0"/>
    <n v="0.12"/>
    <n v="0"/>
    <n v="0"/>
    <n v="0"/>
    <m/>
    <m/>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m/>
    <m/>
    <n v="0.5"/>
    <n v="0.5"/>
    <n v="0.5"/>
    <n v="0.5"/>
    <n v="1"/>
    <n v="1"/>
    <n v="1"/>
    <n v="1"/>
    <n v="1"/>
    <n v="1"/>
    <n v="1"/>
    <n v="1"/>
    <n v="1"/>
    <n v="1"/>
    <n v="1"/>
    <n v="1"/>
    <n v="1"/>
    <n v="1"/>
    <n v="1"/>
    <n v="1"/>
    <x v="0"/>
    <n v="1"/>
    <n v="1"/>
    <n v="1"/>
    <x v="0"/>
    <s v="no"/>
    <s v="no"/>
    <s v="no"/>
    <s v="no"/>
    <s v="no"/>
    <s v="no"/>
    <s v="no"/>
    <x v="1"/>
    <s v="no"/>
    <s v="no"/>
    <s v="no"/>
    <m/>
    <m/>
    <m/>
    <m/>
    <m/>
    <m/>
    <m/>
    <m/>
    <m/>
    <m/>
    <s v="OFICIO Nro.CENTROSUR-PREEJE-2016-0744-OF de 18.10.2016, FORMULARIO DE CONTROL DE CAMBIOS, SOLICITUD No…., SE ATENDIO REFORMA CON OFICIO Nro.MEER-SDCE-2016-1383-OF de 30.11.2016"/>
    <m/>
    <m/>
    <m/>
  </r>
  <r>
    <x v="5"/>
    <s v="CONSULTORIA INDIVIDUAL"/>
    <x v="0"/>
    <s v="Proyectos de expansión y refuerzo en el Sistema Nacional de Distribución"/>
    <x v="0"/>
    <x v="7"/>
    <x v="0"/>
    <s v="CAÑAR"/>
    <x v="129"/>
    <n v="7"/>
    <x v="0"/>
    <s v="BID2-RSND-EECS-FI-CI-004"/>
    <s v="FISCALIZACIÓN DEL PROYECTO REPOTENCIACIÓN DEL ALIMENTADOR VOLUNTAD DE DIOS COLONIA 10 AGOSTO / LA TRONCAL. REPOTENCIACIÓN-CONSTRUCCIÓN DE LA LÍNEA TRIFASICA SECTOR SANTA ISABEL / LA TRONCAL. REPOTENCIACIÓN DE LA RED MEDIA TENSIÓN ALIMENTADOR 5013 / LA TRONCAL. (2)"/>
    <m/>
    <m/>
    <s v="ex-post"/>
    <s v="EJECUTADO EE"/>
    <m/>
    <m/>
    <m/>
    <m/>
    <m/>
    <s v="NO APLICA"/>
    <s v="NO APLICA"/>
    <m/>
    <m/>
    <m/>
    <n v="0"/>
    <n v="0"/>
    <m/>
    <n v="0"/>
    <n v="0"/>
    <n v="0.12"/>
    <n v="0"/>
    <n v="0"/>
    <n v="0"/>
    <m/>
    <m/>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m/>
    <m/>
    <n v="0.5"/>
    <n v="0.5"/>
    <n v="0.5"/>
    <n v="0.5"/>
    <n v="1"/>
    <n v="1"/>
    <n v="1"/>
    <n v="1"/>
    <n v="1"/>
    <n v="1"/>
    <n v="1"/>
    <n v="1"/>
    <n v="1"/>
    <n v="1"/>
    <n v="1"/>
    <n v="1"/>
    <n v="1"/>
    <n v="1"/>
    <n v="1"/>
    <n v="1"/>
    <x v="0"/>
    <n v="1"/>
    <n v="1"/>
    <n v="1"/>
    <x v="0"/>
    <s v="no"/>
    <s v="no"/>
    <s v="no"/>
    <s v="no"/>
    <s v="no"/>
    <s v="no"/>
    <s v="no"/>
    <x v="1"/>
    <s v="no"/>
    <s v="no"/>
    <s v="no"/>
    <m/>
    <m/>
    <m/>
    <m/>
    <m/>
    <m/>
    <m/>
    <m/>
    <m/>
    <m/>
    <s v="OFICIO Nro.CENTROSUR-PREEJE-2016-0744-OF de 18.10.2016, FORMULARIO DE CONTROL DE CAMBIOS, SOLICITUD No…., SE ATENDIO REFORMA CON OFICIO Nro.MEER-SDCE-2016-1383-OF de 30.11.2016"/>
    <m/>
    <m/>
    <m/>
  </r>
  <r>
    <x v="5"/>
    <s v="CONSULTORIA INDIVIDUAL"/>
    <x v="0"/>
    <s v="Proyectos de expansión y refuerzo en el Sistema Nacional de Distribución"/>
    <x v="0"/>
    <x v="7"/>
    <x v="0"/>
    <s v="CAÑAR"/>
    <x v="130"/>
    <n v="8"/>
    <x v="0"/>
    <s v="BID2-RSND-EECS-FI-CI-004"/>
    <s v="FISCALIZACIÓN DEL PROYECTO REPOTENCIACIÓN DEL ALIMENTADOR VOLUNTAD DE DIOS COLONIA 10 AGOSTO / LA TRONCAL. REPOTENCIACIÓN-CONSTRUCCIÓN DE LA LÍNEA TRIFASICA SECTOR SANTA ISABEL / LA TRONCAL. REPOTENCIACIÓN DE LA RED MEDIA TENSIÓN ALIMENTADOR 5013 / LA TRONCAL. (3)"/>
    <m/>
    <m/>
    <s v="ex-post"/>
    <s v="EJECUTADO EE"/>
    <m/>
    <m/>
    <m/>
    <m/>
    <m/>
    <s v="NO APLICA"/>
    <s v="NO APLICA"/>
    <m/>
    <m/>
    <m/>
    <n v="0"/>
    <n v="0"/>
    <m/>
    <n v="0"/>
    <n v="0"/>
    <n v="0.12"/>
    <n v="0"/>
    <n v="0"/>
    <n v="0"/>
    <m/>
    <m/>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m/>
    <m/>
    <n v="0.5"/>
    <n v="0.5"/>
    <n v="0.5"/>
    <n v="0.5"/>
    <n v="1"/>
    <n v="1"/>
    <n v="1"/>
    <n v="1"/>
    <n v="1"/>
    <n v="1"/>
    <n v="1"/>
    <n v="1"/>
    <n v="1"/>
    <n v="1"/>
    <n v="1"/>
    <n v="1"/>
    <n v="1"/>
    <n v="1"/>
    <n v="1"/>
    <n v="1"/>
    <x v="0"/>
    <n v="1"/>
    <n v="1"/>
    <n v="1"/>
    <x v="0"/>
    <s v="no"/>
    <s v="no"/>
    <s v="no"/>
    <s v="no"/>
    <s v="no"/>
    <s v="no"/>
    <s v="no"/>
    <x v="1"/>
    <s v="no"/>
    <s v="no"/>
    <s v="no"/>
    <m/>
    <m/>
    <m/>
    <m/>
    <m/>
    <m/>
    <m/>
    <m/>
    <m/>
    <m/>
    <s v="OFICIO Nro.CENTROSUR-PREEJE-2016-0744-OF de 18.10.2016, FORMULARIO DE CONTROL DE CAMBIOS, SOLICITUD No…., SE ATENDIO REFORMA CON OFICIO Nro.MEER-SDCE-2016-1383-OF de 30.11.2016"/>
    <m/>
    <m/>
    <m/>
  </r>
  <r>
    <x v="5"/>
    <s v="OBRAS"/>
    <x v="0"/>
    <s v="Proyectos de expansión y refuerzo en el Sistema Nacional de Distribución"/>
    <x v="3"/>
    <x v="3"/>
    <x v="1"/>
    <s v="CAÑAR"/>
    <x v="131"/>
    <n v="9"/>
    <x v="0"/>
    <s v="BID2-RSND-EECS-ST-OB-007"/>
    <s v="CONSTRUCCIÓN DE LA BAHÍA SUBESTACIÓN LA TRONCAL A 69KV"/>
    <m/>
    <s v="LPN"/>
    <s v="ex-post"/>
    <s v="EJECUTADO BID"/>
    <s v="DIDIS 2016 Nro. 0017550"/>
    <s v="ENSILECTRIC S.A."/>
    <s v="ECUATORIANA"/>
    <s v="PERSONA JURÍDICA"/>
    <n v="1792356342001"/>
    <m/>
    <m/>
    <m/>
    <m/>
    <m/>
    <n v="333937.99"/>
    <n v="0"/>
    <n v="333937.99"/>
    <n v="23758.369999999995"/>
    <n v="357696.36"/>
    <n v="0.12"/>
    <n v="40072.558799999999"/>
    <n v="2851.0043999999994"/>
    <n v="400619.92320000002"/>
    <n v="357696.36"/>
    <n v="-23758.369999999995"/>
    <m/>
    <m/>
    <n v="333937.99"/>
    <m/>
    <n v="319536"/>
    <n v="0.14000000000000001"/>
    <n v="44735.040000000001"/>
    <n v="364271.04"/>
    <m/>
    <m/>
    <m/>
    <m/>
    <m/>
    <m/>
    <m/>
    <m/>
    <m/>
    <m/>
    <m/>
    <n v="14401.989999999991"/>
    <n v="14401.989999999991"/>
    <s v="DDL, IAO 21.1."/>
    <s v="NO APLICA"/>
    <s v="NO APLICA"/>
    <s v="NO APLICA"/>
    <s v="NO APLICA"/>
    <s v="NO APLICA"/>
    <d v="2016-10-14T00:00:00"/>
    <d v="2016-10-21T00:00:00"/>
    <d v="2016-10-28T00:00:00"/>
    <d v="2016-11-11T00:00:00"/>
    <s v="NO APLICA"/>
    <d v="2016-11-18T00:00:00"/>
    <d v="2016-11-21T00:00:00"/>
    <s v="NO APLICA"/>
    <s v="NO APLICA"/>
    <s v="NO APLICA"/>
    <d v="2016-11-23T00:00:00"/>
    <s v="NO APLICA"/>
    <d v="2016-11-28T00:00:00"/>
    <d v="2016-12-08T00:00:00"/>
    <s v="NO APLICA"/>
    <s v="NO APLICA"/>
    <s v="NO APLICA"/>
    <m/>
    <m/>
    <m/>
    <m/>
    <m/>
    <m/>
    <m/>
    <m/>
    <m/>
    <m/>
    <m/>
    <m/>
    <m/>
    <m/>
    <m/>
    <s v="SI"/>
    <n v="0.1"/>
    <d v="2016-12-09T00:00:00"/>
    <n v="159768"/>
    <m/>
    <m/>
    <m/>
    <m/>
    <m/>
    <m/>
    <m/>
    <m/>
    <m/>
    <m/>
    <m/>
    <m/>
    <m/>
    <m/>
    <m/>
    <m/>
    <m/>
    <m/>
    <m/>
    <m/>
    <m/>
    <m/>
    <m/>
    <m/>
    <m/>
    <m/>
    <m/>
    <n v="159768"/>
    <m/>
    <m/>
    <m/>
    <m/>
    <m/>
    <m/>
    <m/>
    <n v="240"/>
    <s v="DESDE LA NOTIFICACIÓN DE LA ENTREGA DEL ANTICIPO"/>
    <d v="2016-12-10T00:00:00"/>
    <d v="2017-08-07T00:00:00"/>
    <m/>
    <m/>
    <m/>
    <m/>
    <m/>
    <m/>
    <m/>
    <m/>
    <m/>
    <m/>
    <m/>
    <m/>
    <m/>
    <m/>
    <m/>
    <m/>
    <m/>
    <m/>
    <m/>
    <m/>
    <m/>
    <m/>
    <m/>
    <m/>
    <m/>
    <m/>
    <m/>
    <m/>
    <m/>
    <m/>
    <m/>
    <m/>
    <m/>
    <m/>
    <m/>
    <m/>
    <n v="0"/>
    <n v="0.32"/>
    <n v="0.32"/>
    <n v="0.32"/>
    <n v="0.4"/>
    <n v="0.4"/>
    <n v="0.4"/>
    <n v="0.4"/>
    <n v="0.65"/>
    <n v="1"/>
    <n v="1"/>
    <n v="1"/>
    <n v="1"/>
    <n v="1"/>
    <n v="1"/>
    <n v="1"/>
    <n v="1"/>
    <n v="1"/>
    <n v="1"/>
    <n v="1"/>
    <x v="0"/>
    <n v="1"/>
    <n v="1"/>
    <n v="1"/>
    <x v="0"/>
    <s v="no"/>
    <s v="si"/>
    <s v="si"/>
    <s v="si"/>
    <s v="si"/>
    <s v="si"/>
    <s v="si"/>
    <x v="0"/>
    <s v="si"/>
    <s v="si"/>
    <s v="si"/>
    <m/>
    <m/>
    <m/>
    <m/>
    <m/>
    <m/>
    <m/>
    <m/>
    <m/>
    <m/>
    <s v="OBRA NUEVA"/>
    <m/>
    <m/>
    <m/>
  </r>
  <r>
    <x v="6"/>
    <s v="OBRAS"/>
    <x v="1"/>
    <s v="Mejoramiento de la eficiencia y fiabilidad de la red"/>
    <x v="6"/>
    <x v="6"/>
    <x v="0"/>
    <s v="GALAPAGOS"/>
    <x v="132"/>
    <n v="1"/>
    <x v="0"/>
    <s v="BID2-RSND-EEPGSA-AU-OB-003"/>
    <s v=" IMPLEMENTACIÓN DE UN CENTRO DE DATOS PARA OPTIMIZAR LA DISPONIBILIDAD DE LOS SERVICIOS TECNOLÓGICOS DE LOS CLIENTES DE ELECGALAPAGOS S.A."/>
    <m/>
    <s v="LPN"/>
    <s v="ex-post"/>
    <s v="EJECUTADO BID"/>
    <s v="BID2-RSND-EEPGSA-AU-OB-003"/>
    <s v="SR. BYRON EFRAIN ECHEVERRIA ANDINO"/>
    <s v="ECUATORIANA"/>
    <s v="PERSONA NATURAL"/>
    <s v="0 102085321001"/>
    <s v="ING. JUAN CARLOS JAYA LLANOS"/>
    <s v="0 996156614"/>
    <s v="ING. MILTON AGUAS"/>
    <s v="0 999460965"/>
    <m/>
    <n v="250000"/>
    <n v="0"/>
    <n v="249999.99999999997"/>
    <n v="0"/>
    <n v="249999.99999999997"/>
    <n v="0.12"/>
    <n v="29999.999999999996"/>
    <n v="0"/>
    <n v="280000"/>
    <n v="247500"/>
    <n v="2500"/>
    <m/>
    <m/>
    <n v="249999.99999999997"/>
    <m/>
    <n v="247500"/>
    <m/>
    <m/>
    <m/>
    <m/>
    <m/>
    <m/>
    <m/>
    <m/>
    <m/>
    <m/>
    <m/>
    <m/>
    <m/>
    <m/>
    <n v="2500"/>
    <n v="2500"/>
    <s v="DDL, IAO 21.1."/>
    <s v="NO APLICA"/>
    <s v="NO APLICA"/>
    <s v="NO APLICA"/>
    <s v="NO APLICA"/>
    <s v="NO APLICA"/>
    <d v="2015-07-21T00:00:00"/>
    <d v="2015-07-27T00:00:00"/>
    <d v="2015-07-30T00:00:00"/>
    <d v="2015-08-19T00:00:00"/>
    <s v="NO APLICA"/>
    <d v="2015-08-31T00:00:00"/>
    <d v="2015-09-01T00:00:00"/>
    <s v="NO APLICA"/>
    <s v="NO APLICA"/>
    <s v="NO APLICA"/>
    <d v="2015-09-17T00:00:00"/>
    <s v="NO APLICA"/>
    <d v="2016-06-10T00:00:00"/>
    <d v="2016-06-15T00:00:00"/>
    <s v="NO APLICA"/>
    <s v="NO APLICA"/>
    <s v="NO APLICA"/>
    <m/>
    <s v="ü"/>
    <m/>
    <m/>
    <m/>
    <m/>
    <m/>
    <m/>
    <m/>
    <m/>
    <m/>
    <m/>
    <m/>
    <s v="ü"/>
    <s v="NO APLICA"/>
    <s v="SI"/>
    <n v="0.05"/>
    <d v="2016-07-01T00:00:00"/>
    <n v="123750"/>
    <s v="pago 2/4 planilla 1    18%"/>
    <d v="2016-07-22T00:00:00"/>
    <n v="44550"/>
    <s v="pago 3/4 planilla 2   18%"/>
    <d v="2016-08-03T00:00:00"/>
    <n v="44550"/>
    <s v="Pago 4/4 planilla 3    14%"/>
    <d v="2016-09-19T00:00:00"/>
    <n v="34650"/>
    <m/>
    <m/>
    <m/>
    <m/>
    <m/>
    <m/>
    <m/>
    <m/>
    <m/>
    <m/>
    <m/>
    <m/>
    <m/>
    <m/>
    <m/>
    <m/>
    <m/>
    <m/>
    <n v="247500"/>
    <m/>
    <m/>
    <m/>
    <m/>
    <m/>
    <m/>
    <m/>
    <n v="60"/>
    <s v="DESDE LA NOTIFICACIÓN DE LA ENTREGA DEL ANTICIPO"/>
    <d v="2016-07-02T00:00:00"/>
    <d v="2016-08-31T00:00:00"/>
    <m/>
    <m/>
    <m/>
    <m/>
    <m/>
    <m/>
    <m/>
    <m/>
    <m/>
    <m/>
    <m/>
    <m/>
    <m/>
    <m/>
    <m/>
    <m/>
    <m/>
    <m/>
    <m/>
    <m/>
    <m/>
    <d v="2016-08-24T00:00:00"/>
    <d v="2017-02-24T00:00:00"/>
    <m/>
    <m/>
    <m/>
    <m/>
    <m/>
    <m/>
    <m/>
    <m/>
    <m/>
    <m/>
    <m/>
    <n v="1"/>
    <n v="1"/>
    <n v="1"/>
    <n v="1"/>
    <n v="1"/>
    <n v="1"/>
    <n v="1"/>
    <n v="1"/>
    <n v="1"/>
    <n v="1"/>
    <n v="1"/>
    <n v="1"/>
    <n v="1"/>
    <n v="1"/>
    <n v="1"/>
    <n v="1"/>
    <n v="1"/>
    <n v="1"/>
    <n v="1"/>
    <n v="1"/>
    <n v="1"/>
    <n v="1"/>
    <x v="0"/>
    <n v="1"/>
    <n v="1"/>
    <n v="1"/>
    <x v="0"/>
    <s v="si"/>
    <s v="si"/>
    <s v="si"/>
    <s v="si"/>
    <s v="si"/>
    <s v="si"/>
    <s v="si"/>
    <x v="0"/>
    <s v="si"/>
    <s v="si"/>
    <s v="si"/>
    <m/>
    <m/>
    <m/>
    <m/>
    <m/>
    <m/>
    <m/>
    <m/>
    <m/>
    <m/>
    <m/>
    <m/>
    <m/>
    <m/>
  </r>
  <r>
    <x v="6"/>
    <s v="OBRAS"/>
    <x v="1"/>
    <s v="Mejoramiento de la eficiencia y fiabilidad de la red"/>
    <x v="6"/>
    <x v="6"/>
    <x v="0"/>
    <s v="GALAPAGOS"/>
    <x v="133"/>
    <n v="2"/>
    <x v="0"/>
    <s v="BID2-RSND-EEPGSA-AU-OB-004"/>
    <s v=" IMPLEMENTACIÓN DE UN ENLACE DE DATOS A NIVEL PROVINCIAL"/>
    <m/>
    <s v="LPN"/>
    <s v="ex-post"/>
    <s v="EJECUTADO BID"/>
    <s v="BID2-RSND-EEPGSA-AU-OB-004"/>
    <s v="ING. RAÚL PATRICIO ANDRADE HERRERA"/>
    <s v="ECUATORIANA"/>
    <s v="PERSONA NATURAL"/>
    <n v="1705281077001"/>
    <s v="ING. SANTIAGO IGNACIO RAMOS FLORES"/>
    <s v="0 980486258"/>
    <s v="ING. MILTON AGUAS"/>
    <s v="0 999460965"/>
    <m/>
    <n v="446428.57"/>
    <n v="0"/>
    <n v="446428.57"/>
    <n v="0"/>
    <n v="446428.57"/>
    <n v="0.12"/>
    <n v="53571.428399999997"/>
    <n v="0"/>
    <n v="499999.99840000004"/>
    <n v="446390"/>
    <n v="38.570000000006985"/>
    <m/>
    <m/>
    <n v="446428.57"/>
    <m/>
    <n v="446390"/>
    <m/>
    <m/>
    <m/>
    <m/>
    <m/>
    <m/>
    <m/>
    <m/>
    <m/>
    <m/>
    <m/>
    <m/>
    <m/>
    <m/>
    <n v="38.570000000006985"/>
    <n v="38.570000000006985"/>
    <s v="DDL, IAO 21.1."/>
    <s v="NO APLICA"/>
    <s v="NO APLICA"/>
    <s v="NO APLICA"/>
    <s v="NO APLICA"/>
    <s v="NO APLICA"/>
    <d v="2015-07-21T00:00:00"/>
    <d v="2015-07-27T00:00:00"/>
    <d v="2015-07-30T00:00:00"/>
    <d v="2015-08-19T00:00:00"/>
    <s v="NO APLICA"/>
    <d v="2015-08-31T00:00:00"/>
    <d v="2015-09-01T00:00:00"/>
    <s v="NO APLICA"/>
    <s v="NO APLICA"/>
    <s v="NO APLICA"/>
    <d v="2015-09-17T00:00:00"/>
    <s v="NO APLICA"/>
    <d v="2016-06-10T00:00:00"/>
    <d v="2016-06-15T00:00:00"/>
    <s v="NO APLICA"/>
    <s v="NO APLICA"/>
    <s v="NO APLICA"/>
    <m/>
    <s v="ü"/>
    <m/>
    <m/>
    <m/>
    <m/>
    <m/>
    <m/>
    <m/>
    <m/>
    <m/>
    <m/>
    <m/>
    <s v="ü"/>
    <s v="NO APLICA"/>
    <s v="SI"/>
    <n v="0.05"/>
    <d v="2016-08-01T00:00:00"/>
    <n v="223195"/>
    <s v="Pago 2/4  17.76% "/>
    <d v="2017-01-03T00:00:00"/>
    <n v="79270"/>
    <s v="Pago 3/4  2.76% "/>
    <d v="2017-04-21T00:00:00"/>
    <n v="12321"/>
    <m/>
    <m/>
    <m/>
    <m/>
    <m/>
    <m/>
    <m/>
    <m/>
    <m/>
    <m/>
    <m/>
    <m/>
    <m/>
    <m/>
    <m/>
    <m/>
    <m/>
    <m/>
    <m/>
    <m/>
    <m/>
    <n v="314786"/>
    <m/>
    <m/>
    <m/>
    <m/>
    <m/>
    <m/>
    <m/>
    <n v="180"/>
    <s v="DESDE LA NOTIFICACIÓN DE LA ENTREGA DEL ANTICIPO"/>
    <d v="2016-08-02T00:00:00"/>
    <d v="2017-01-29T00:00:00"/>
    <m/>
    <m/>
    <m/>
    <m/>
    <m/>
    <m/>
    <m/>
    <m/>
    <m/>
    <m/>
    <m/>
    <m/>
    <m/>
    <m/>
    <m/>
    <m/>
    <m/>
    <m/>
    <m/>
    <m/>
    <m/>
    <m/>
    <m/>
    <m/>
    <m/>
    <m/>
    <m/>
    <m/>
    <m/>
    <m/>
    <m/>
    <m/>
    <m/>
    <m/>
    <m/>
    <n v="0.3"/>
    <n v="0.3"/>
    <n v="0.71"/>
    <n v="0.71"/>
    <n v="0.71"/>
    <n v="0.71"/>
    <n v="1"/>
    <n v="1"/>
    <n v="1"/>
    <n v="1"/>
    <n v="1"/>
    <n v="1"/>
    <n v="1"/>
    <n v="1"/>
    <n v="1"/>
    <n v="1"/>
    <n v="1"/>
    <n v="1"/>
    <n v="1"/>
    <n v="1"/>
    <n v="1"/>
    <x v="0"/>
    <n v="1"/>
    <n v="1"/>
    <n v="1"/>
    <x v="0"/>
    <s v="si"/>
    <s v="si"/>
    <s v="si"/>
    <s v="si"/>
    <s v="si"/>
    <s v="si"/>
    <s v="si"/>
    <x v="0"/>
    <s v="si"/>
    <s v="si"/>
    <s v="si"/>
    <m/>
    <m/>
    <m/>
    <m/>
    <m/>
    <m/>
    <m/>
    <m/>
    <m/>
    <m/>
    <m/>
    <m/>
    <m/>
    <m/>
  </r>
  <r>
    <x v="6"/>
    <s v="OBRAS"/>
    <x v="0"/>
    <s v=" Proyectos de expansión y refuerzo en el Sistema Nacional de Distribución"/>
    <x v="0"/>
    <x v="0"/>
    <x v="0"/>
    <s v="GALAPAGOS"/>
    <x v="134"/>
    <n v="3"/>
    <x v="0"/>
    <s v="BID2-RSND-EEPGSA-DI-OB-001"/>
    <s v="REPOTENCIACIÓN DE REDES DE DISTRIBUCIÓN DEL ALIMENTADOR 2 DEL SECTOR PERIMETRAL EN SAN CRISTÓBAL"/>
    <m/>
    <s v="LPN"/>
    <s v="ex-post"/>
    <s v="EJECUTADO BID"/>
    <s v="BID2-RSND-EEPGSA-DI-OB-001"/>
    <s v="ELECTRICOM CÍA. LTDA."/>
    <s v="ECUATORIANA"/>
    <s v="PERSONA JURÍDICA"/>
    <n v="190348423001"/>
    <s v="ING. PAUL PERALTA PESANTEZ"/>
    <s v="0 99266008"/>
    <s v="ING. RONALD GUERRERO HONORES"/>
    <s v="0 994952126"/>
    <m/>
    <n v="43122.66"/>
    <n v="0"/>
    <n v="43122.659999999996"/>
    <n v="0"/>
    <n v="43122.659999999996"/>
    <n v="0.12"/>
    <n v="5174.7191999999995"/>
    <n v="0"/>
    <n v="48297.379200000003"/>
    <n v="43030.879999999997"/>
    <n v="91.780000000006112"/>
    <m/>
    <m/>
    <n v="43122.66"/>
    <m/>
    <n v="43119.26"/>
    <m/>
    <m/>
    <m/>
    <m/>
    <m/>
    <m/>
    <m/>
    <m/>
    <m/>
    <m/>
    <m/>
    <m/>
    <m/>
    <m/>
    <n v="3.4000000000014552"/>
    <n v="3.4000000000014552"/>
    <s v="DDL, IAO 21.1."/>
    <s v="NO APLICA"/>
    <s v="NO APLICA"/>
    <s v="NO APLICA"/>
    <s v="NO APLICA"/>
    <s v="NO APLICA"/>
    <d v="2015-07-21T00:00:00"/>
    <d v="2015-07-27T00:00:00"/>
    <d v="2015-07-30T00:00:00"/>
    <d v="2015-08-19T00:00:00"/>
    <s v="NO APLICA"/>
    <d v="2015-08-31T00:00:00"/>
    <d v="2015-09-01T00:00:00"/>
    <s v="NO APLICA"/>
    <s v="NO APLICA"/>
    <s v="NO APLICA"/>
    <d v="2015-09-17T00:00:00"/>
    <s v="NO APLICA"/>
    <d v="2016-06-10T00:00:00"/>
    <d v="2016-06-14T00:00:00"/>
    <s v="NO APLICA"/>
    <s v="NO APLICA"/>
    <s v="NO APLICA"/>
    <m/>
    <s v="ü"/>
    <m/>
    <m/>
    <m/>
    <m/>
    <m/>
    <m/>
    <m/>
    <m/>
    <m/>
    <m/>
    <m/>
    <s v="ü"/>
    <s v="NO APLICA"/>
    <s v="SI"/>
    <n v="0.05"/>
    <d v="2016-08-16T00:00:00"/>
    <n v="21559.63"/>
    <s v="Pago 2/2 Planilla 1 100% "/>
    <d v="2016-12-30T00:00:00"/>
    <n v="21471.249999999996"/>
    <m/>
    <m/>
    <m/>
    <m/>
    <m/>
    <m/>
    <m/>
    <m/>
    <m/>
    <m/>
    <m/>
    <m/>
    <m/>
    <m/>
    <m/>
    <m/>
    <m/>
    <m/>
    <m/>
    <m/>
    <m/>
    <m/>
    <m/>
    <m/>
    <n v="43030.879999999997"/>
    <m/>
    <m/>
    <m/>
    <m/>
    <m/>
    <m/>
    <m/>
    <n v="90"/>
    <s v="DESDE LA NOTIFICACIÓN DE LA ENTREGA DEL ANTICIPO"/>
    <d v="2016-08-17T00:00:00"/>
    <d v="2016-11-15T00:00:00"/>
    <m/>
    <m/>
    <m/>
    <m/>
    <m/>
    <m/>
    <m/>
    <m/>
    <m/>
    <m/>
    <m/>
    <m/>
    <m/>
    <m/>
    <m/>
    <m/>
    <m/>
    <m/>
    <m/>
    <m/>
    <m/>
    <s v="DATO PENDIENTE"/>
    <m/>
    <m/>
    <m/>
    <m/>
    <m/>
    <m/>
    <m/>
    <m/>
    <m/>
    <m/>
    <m/>
    <m/>
    <n v="1"/>
    <n v="1"/>
    <n v="1"/>
    <n v="1"/>
    <n v="1"/>
    <n v="1"/>
    <n v="1"/>
    <n v="1"/>
    <n v="1"/>
    <n v="1"/>
    <n v="1"/>
    <n v="1"/>
    <n v="1"/>
    <n v="1"/>
    <n v="1"/>
    <n v="1"/>
    <n v="1"/>
    <n v="1"/>
    <n v="1"/>
    <n v="1"/>
    <n v="1"/>
    <n v="1"/>
    <x v="0"/>
    <n v="1"/>
    <n v="1"/>
    <n v="1"/>
    <x v="0"/>
    <s v="si"/>
    <s v="si"/>
    <s v="si"/>
    <s v="si"/>
    <s v="si"/>
    <s v="si"/>
    <s v="si"/>
    <x v="0"/>
    <s v="si"/>
    <s v="si"/>
    <s v="si"/>
    <m/>
    <m/>
    <m/>
    <m/>
    <m/>
    <m/>
    <m/>
    <m/>
    <m/>
    <m/>
    <m/>
    <m/>
    <m/>
    <m/>
  </r>
  <r>
    <x v="6"/>
    <s v="OBRAS"/>
    <x v="0"/>
    <s v=" Proyectos de expansión y refuerzo en el Sistema Nacional de Distribución"/>
    <x v="0"/>
    <x v="0"/>
    <x v="0"/>
    <s v="GALAPAGOS"/>
    <x v="135"/>
    <n v="4"/>
    <x v="0"/>
    <s v="BID2-RSND-EEPGSA-DI-OB-002"/>
    <s v="CONSTRUCCIÓN DEL NUEVO ALIMENTADOR PRIMARIO NO. 4, PARA LA ZONA URBANA DE PUERTO AYORA"/>
    <m/>
    <s v="LPN"/>
    <s v="ex-post"/>
    <s v="EJECUTADO BID"/>
    <s v="BID2-RSND-EEPGSA-DI-OB-002"/>
    <s v="SR. DARIO RENÁN GUEVARA LÓPEZ"/>
    <s v="ECUATORIANA"/>
    <s v="PERSONA NATURAL"/>
    <n v="2000055430001"/>
    <s v="ING. ROBERTO ROBLES RIVADENEIRA"/>
    <s v="0 994459107"/>
    <s v="ING. CARLOS BERMEO SUCUZHAÑAY"/>
    <s v="0 901010035"/>
    <m/>
    <n v="60162.83"/>
    <n v="0"/>
    <n v="60162.83"/>
    <n v="0"/>
    <n v="60162.83"/>
    <n v="0.12"/>
    <n v="7219.5396000000001"/>
    <n v="0"/>
    <n v="67382.369600000005"/>
    <n v="52939.61"/>
    <n v="7223.2200000000012"/>
    <m/>
    <m/>
    <n v="60162.83"/>
    <m/>
    <n v="52939.64"/>
    <m/>
    <m/>
    <m/>
    <m/>
    <m/>
    <m/>
    <m/>
    <m/>
    <m/>
    <m/>
    <m/>
    <m/>
    <m/>
    <m/>
    <n v="7223.1900000000023"/>
    <n v="7223.1900000000023"/>
    <s v="DDL, IAO 21.1."/>
    <s v="NO APLICA"/>
    <s v="NO APLICA"/>
    <s v="NO APLICA"/>
    <s v="NO APLICA"/>
    <s v="NO APLICA"/>
    <d v="2015-07-21T00:00:00"/>
    <d v="2015-07-27T00:00:00"/>
    <d v="2015-07-30T00:00:00"/>
    <d v="2015-08-19T00:00:00"/>
    <s v="NO APLICA"/>
    <d v="2015-08-31T00:00:00"/>
    <d v="2015-09-01T00:00:00"/>
    <s v="NO APLICA"/>
    <s v="NO APLICA"/>
    <s v="NO APLICA"/>
    <d v="2015-09-17T00:00:00"/>
    <s v="NO APLICA"/>
    <d v="2016-06-10T00:00:00"/>
    <d v="2016-06-22T00:00:00"/>
    <s v="NO APLICA"/>
    <s v="NO APLICA"/>
    <s v="NO APLICA"/>
    <m/>
    <s v="ü"/>
    <m/>
    <m/>
    <m/>
    <m/>
    <m/>
    <m/>
    <m/>
    <m/>
    <m/>
    <m/>
    <m/>
    <s v="ü"/>
    <s v="NO APLICA"/>
    <s v="SI"/>
    <n v="0.05"/>
    <d v="2016-09-12T00:00:00"/>
    <n v="26469.83"/>
    <s v="Pago 2/3 35%"/>
    <d v="2017-01-18T00:00:00"/>
    <n v="18528.87"/>
    <m/>
    <m/>
    <m/>
    <m/>
    <m/>
    <m/>
    <m/>
    <m/>
    <m/>
    <m/>
    <m/>
    <m/>
    <m/>
    <m/>
    <m/>
    <m/>
    <m/>
    <m/>
    <m/>
    <m/>
    <m/>
    <m/>
    <m/>
    <m/>
    <n v="44998.7"/>
    <m/>
    <m/>
    <m/>
    <m/>
    <m/>
    <m/>
    <m/>
    <n v="150"/>
    <s v="DESDE LA NOTIFICACIÓN DE LA ENTREGA DEL ANTICIPO"/>
    <d v="2016-09-13T00:00:00"/>
    <d v="2017-02-10T00:00:00"/>
    <m/>
    <m/>
    <m/>
    <m/>
    <m/>
    <m/>
    <m/>
    <m/>
    <m/>
    <m/>
    <m/>
    <m/>
    <m/>
    <m/>
    <m/>
    <m/>
    <m/>
    <m/>
    <m/>
    <m/>
    <m/>
    <m/>
    <m/>
    <m/>
    <m/>
    <m/>
    <m/>
    <m/>
    <m/>
    <m/>
    <m/>
    <m/>
    <m/>
    <m/>
    <m/>
    <n v="0.7"/>
    <n v="0.7"/>
    <n v="1"/>
    <n v="1"/>
    <n v="1"/>
    <n v="1"/>
    <n v="1"/>
    <n v="1"/>
    <n v="1"/>
    <n v="1"/>
    <n v="1"/>
    <n v="1"/>
    <n v="1"/>
    <n v="1"/>
    <n v="1"/>
    <n v="1"/>
    <n v="1"/>
    <n v="1"/>
    <n v="1"/>
    <n v="1"/>
    <n v="1"/>
    <x v="0"/>
    <n v="1"/>
    <n v="1"/>
    <n v="1"/>
    <x v="0"/>
    <s v="si"/>
    <s v="si"/>
    <s v="si"/>
    <s v="si"/>
    <s v="si"/>
    <s v="si"/>
    <s v="si"/>
    <x v="0"/>
    <s v="si"/>
    <s v="si"/>
    <s v="si"/>
    <m/>
    <m/>
    <m/>
    <m/>
    <m/>
    <m/>
    <m/>
    <m/>
    <m/>
    <m/>
    <m/>
    <m/>
    <m/>
    <m/>
  </r>
  <r>
    <x v="8"/>
    <s v="OBRAS"/>
    <x v="0"/>
    <s v="Proyectos de expansión y refuerzo en el Sistema Nacional de Distribución"/>
    <x v="0"/>
    <x v="0"/>
    <x v="0"/>
    <s v="PICHINCHA"/>
    <x v="136"/>
    <n v="1"/>
    <x v="0"/>
    <s v="BID2-RSND-EEQ-DI-OB-001"/>
    <s v=" REFORZAMIENTO DE SISTEMAS DE MEDICIÓN CONCENTRADA"/>
    <s v="Lote 1: REFORZAMIENTO DE SISTEMAS DE MEDICIÓN CONCENTRADA. ZONA NORTE"/>
    <s v="LPN"/>
    <s v="ex-post"/>
    <s v="EJECUTADO BID"/>
    <s v="SG-519-2015"/>
    <s v="NAPOLEÓN  SEGUNDO PÁRAMO ALVAREZ"/>
    <s v="ECUATORIANA"/>
    <s v="PERSONA NATURAL"/>
    <s v="1705513941001"/>
    <m/>
    <m/>
    <m/>
    <m/>
    <m/>
    <n v="281904.77"/>
    <n v="281904.77"/>
    <n v="281904.77"/>
    <n v="0"/>
    <n v="281904.77"/>
    <n v="0.12"/>
    <n v="33828.572400000005"/>
    <n v="0"/>
    <n v="315733.34240000002"/>
    <n v="281491.58"/>
    <n v="413.19000000000233"/>
    <m/>
    <n v="310000"/>
    <n v="310000"/>
    <n v="281904.77"/>
    <n v="281904.77"/>
    <m/>
    <m/>
    <m/>
    <m/>
    <m/>
    <m/>
    <m/>
    <m/>
    <m/>
    <m/>
    <m/>
    <m/>
    <m/>
    <m/>
    <n v="0"/>
    <n v="0"/>
    <s v="DDL, IAO 21.1."/>
    <s v="NO APLICA"/>
    <s v="NO APLICA"/>
    <s v="NO APLICA"/>
    <s v="NO APLICA"/>
    <s v="NO APLICA"/>
    <d v="2015-07-20T00:00:00"/>
    <d v="2015-08-11T00:00:00"/>
    <d v="2015-08-18T00:00:00"/>
    <d v="2015-08-20T00:00:00"/>
    <s v="NO APLICA"/>
    <d v="2015-09-04T00:00:00"/>
    <d v="2015-09-11T00:00:00"/>
    <s v="NO APLICA"/>
    <s v="NO APLICA"/>
    <s v="NO APLICA"/>
    <s v="NO APLICA"/>
    <s v="NO APLICA"/>
    <d v="2015-10-22T00:00:00"/>
    <d v="2015-11-18T00:00:00"/>
    <s v="NO APLICA"/>
    <s v="NO APLICA"/>
    <s v="NO APLICA"/>
    <m/>
    <s v="ü"/>
    <m/>
    <m/>
    <m/>
    <m/>
    <m/>
    <m/>
    <m/>
    <m/>
    <m/>
    <m/>
    <m/>
    <s v="ü"/>
    <s v="NO APLICA"/>
    <m/>
    <m/>
    <d v="2015-12-10T00:00:00"/>
    <n v="140952.38500000001"/>
    <s v="Pago 2/5 - Planilla 1  3,50%"/>
    <d v="2016-10-28T00:00:00"/>
    <n v="9556.3700000000008"/>
    <s v="Pago 2/5 - Planilla 2  5,40%"/>
    <d v="2016-10-28T00:00:00"/>
    <n v="14740.91"/>
    <s v="Pago 3/5 - Planilla 3  4,97%"/>
    <d v="2016-10-28T00:00:00"/>
    <n v="13581.6"/>
    <s v="Pago 3/5 - Planilla 4  9,55%"/>
    <d v="2016-10-28T00:00:00"/>
    <n v="26097.879999999997"/>
    <s v="Pago 4/5 - Planilla 5   4,66 %"/>
    <d v="2017-01-06T00:00:00"/>
    <n v="13142.710000000001"/>
    <s v="Pago 4/5 - Planilla 5   8,16%"/>
    <d v="2017-01-06T00:00:00"/>
    <n v="23007.940000000002"/>
    <s v="Pago 5/5 - Planilla 6   3,19%"/>
    <d v="2017-02-09T00:00:00"/>
    <n v="8756.2500000000018"/>
    <s v="Pago 5/5 - Planilla 6   6,23%"/>
    <d v="2017-02-09T00:00:00"/>
    <n v="17556.16"/>
    <m/>
    <m/>
    <m/>
    <n v="267392.20500000002"/>
    <m/>
    <m/>
    <m/>
    <m/>
    <m/>
    <m/>
    <m/>
    <s v="300"/>
    <s v="DESDE LA NOTIFICACIÓN DE LA ENTREGA DEL ANTICIPO"/>
    <d v="2015-12-11T00:00:00"/>
    <d v="2016-10-06T00:00:00"/>
    <m/>
    <m/>
    <m/>
    <m/>
    <m/>
    <m/>
    <m/>
    <m/>
    <m/>
    <m/>
    <m/>
    <m/>
    <m/>
    <m/>
    <m/>
    <m/>
    <m/>
    <m/>
    <m/>
    <m/>
    <m/>
    <m/>
    <m/>
    <m/>
    <m/>
    <m/>
    <m/>
    <m/>
    <m/>
    <m/>
    <m/>
    <m/>
    <n v="0.5"/>
    <n v="0.5"/>
    <n v="0.5"/>
    <n v="0.8"/>
    <n v="0.9"/>
    <n v="0.9"/>
    <n v="0.9"/>
    <n v="0.9"/>
    <n v="0.9"/>
    <n v="1"/>
    <n v="1"/>
    <n v="1"/>
    <n v="1"/>
    <n v="1"/>
    <n v="1"/>
    <n v="1"/>
    <n v="1"/>
    <n v="1"/>
    <n v="1"/>
    <n v="1"/>
    <n v="1"/>
    <n v="1"/>
    <n v="1"/>
    <n v="1"/>
    <x v="0"/>
    <n v="1"/>
    <n v="1"/>
    <n v="1"/>
    <x v="0"/>
    <s v="si"/>
    <s v="si"/>
    <s v="si"/>
    <s v="si"/>
    <s v="si"/>
    <s v="si"/>
    <s v="si"/>
    <x v="0"/>
    <s v="si"/>
    <s v="si"/>
    <s v="si"/>
    <m/>
    <m/>
    <m/>
    <m/>
    <m/>
    <m/>
    <m/>
    <m/>
    <m/>
    <m/>
    <m/>
    <m/>
    <m/>
    <m/>
  </r>
  <r>
    <x v="8"/>
    <s v="OBRAS"/>
    <x v="0"/>
    <s v="Proyectos de expansión y refuerzo en el Sistema Nacional de Distribución"/>
    <x v="0"/>
    <x v="0"/>
    <x v="0"/>
    <s v="PICHINCHA"/>
    <x v="4"/>
    <n v="1"/>
    <x v="0"/>
    <s v="BID2-RSND-EEQ-DI-OB-001"/>
    <s v=" REFORZAMIENTO DE SISTEMAS DE MEDICIÓN CONCENTRADA"/>
    <s v="Lote 2: REFORZAMIENTO DE SISTEMAS DE MEDICIÓN CONCENTRADA. ZONA CENTRO"/>
    <s v="LPN"/>
    <s v="ex-post"/>
    <s v="EJECUTADO BID"/>
    <s v="SG-517-2015"/>
    <s v="DISEÑO Y CONSTRUCCIONES ELÉCTRICAS LUIS CÓRDOVA GUERRA CIA. LTDA. (DYCONEL CÍA.LTDA.)"/>
    <s v="ECUATORIANA"/>
    <s v="PERSONA JURÍDICA"/>
    <s v="1792235480001"/>
    <m/>
    <m/>
    <m/>
    <m/>
    <m/>
    <n v="309951.27"/>
    <n v="309951.27"/>
    <n v="309951.27"/>
    <n v="0"/>
    <n v="309951.27"/>
    <n v="0.12"/>
    <n v="37194.152399999999"/>
    <n v="0"/>
    <n v="347145.42240000004"/>
    <n v="306561.78999999998"/>
    <n v="3389.4800000000396"/>
    <m/>
    <n v="310000"/>
    <n v="310000"/>
    <n v="309951.25"/>
    <n v="309951.25"/>
    <m/>
    <m/>
    <m/>
    <m/>
    <m/>
    <m/>
    <m/>
    <m/>
    <m/>
    <m/>
    <m/>
    <m/>
    <m/>
    <m/>
    <n v="2.0000000018626451E-2"/>
    <n v="2.0000000018626451E-2"/>
    <s v="DDL, IAO 21.1."/>
    <s v="NO APLICA"/>
    <s v="NO APLICA"/>
    <s v="NO APLICA"/>
    <s v="NO APLICA"/>
    <s v="NO APLICA"/>
    <d v="2015-07-20T00:00:00"/>
    <d v="2015-08-11T00:00:00"/>
    <d v="2016-08-18T00:00:00"/>
    <d v="2015-08-20T00:00:00"/>
    <s v="NO APLICA"/>
    <d v="2015-09-04T00:00:00"/>
    <d v="2015-09-11T00:00:00"/>
    <s v="NO APLICA"/>
    <s v="NO APLICA"/>
    <s v="NO APLICA"/>
    <s v="NO APLICA"/>
    <s v="NO APLICA"/>
    <d v="2015-10-22T00:00:00"/>
    <d v="2015-11-18T00:00:00"/>
    <s v="NO APLICA"/>
    <s v="NO APLICA"/>
    <s v="NO APLICA"/>
    <m/>
    <s v="ü"/>
    <m/>
    <m/>
    <m/>
    <m/>
    <m/>
    <m/>
    <m/>
    <m/>
    <m/>
    <m/>
    <m/>
    <s v="ü"/>
    <s v="NO APLICA"/>
    <m/>
    <m/>
    <d v="2015-12-10T00:00:00"/>
    <n v="154975.625"/>
    <s v="Pago 2/5 - Planilla 1 4,72%"/>
    <d v="2016-10-17T00:00:00"/>
    <n v="14643.859999999999"/>
    <s v="Pago 2/5 - Planilla 2 8,29%"/>
    <d v="2016-10-17T00:00:00"/>
    <n v="25708.77"/>
    <s v="Pago 3/5 - Planilla 3 4,12%"/>
    <d v="2016-10-17T00:00:00"/>
    <n v="12779.85"/>
    <s v="Pago 3/5 - Planilla 4 4,76%"/>
    <d v="2016-10-17T00:00:00"/>
    <n v="14747.98"/>
    <s v="Pago 4/5 - Planilla 5    12,51%"/>
    <d v="2017-01-06T00:00:00"/>
    <n v="38788.14"/>
    <s v="Pago 4/5 - Planilla 6    1,48%"/>
    <d v="2017-01-06T00:00:00"/>
    <n v="4586.0099999999993"/>
    <s v="Pago 5/5 - Planilla 7   5,59%"/>
    <d v="2017-02-09T00:00:00"/>
    <n v="15436.940000000002"/>
    <s v="Pago 5/5 - Planilla 7   3,02%"/>
    <d v="2017-02-09T00:00:00"/>
    <n v="9363.15"/>
    <m/>
    <m/>
    <m/>
    <n v="291030.32500000001"/>
    <m/>
    <m/>
    <m/>
    <m/>
    <m/>
    <m/>
    <m/>
    <s v="300"/>
    <s v="DESDE LA NOTIFICACIÓN DE LA ENTREGA DEL ANTICIPO"/>
    <d v="2015-12-11T00:00:00"/>
    <d v="2016-10-06T00:00:00"/>
    <m/>
    <m/>
    <m/>
    <m/>
    <m/>
    <m/>
    <m/>
    <m/>
    <m/>
    <m/>
    <m/>
    <m/>
    <m/>
    <m/>
    <m/>
    <m/>
    <m/>
    <m/>
    <m/>
    <m/>
    <m/>
    <m/>
    <m/>
    <m/>
    <m/>
    <m/>
    <m/>
    <m/>
    <m/>
    <m/>
    <m/>
    <m/>
    <n v="0.5"/>
    <n v="0.5"/>
    <n v="0.5"/>
    <n v="0.8"/>
    <n v="0.9"/>
    <n v="0.9"/>
    <n v="0.9"/>
    <n v="0.9"/>
    <n v="0.9"/>
    <n v="1"/>
    <n v="1"/>
    <n v="1"/>
    <n v="1"/>
    <n v="1"/>
    <n v="1"/>
    <n v="1"/>
    <n v="1"/>
    <n v="1"/>
    <n v="1"/>
    <n v="1"/>
    <n v="1"/>
    <n v="1"/>
    <n v="1"/>
    <n v="1"/>
    <x v="0"/>
    <n v="1"/>
    <n v="1"/>
    <n v="1"/>
    <x v="0"/>
    <s v="si"/>
    <s v="si"/>
    <s v="si"/>
    <s v="si"/>
    <s v="si"/>
    <s v="si"/>
    <s v="si"/>
    <x v="0"/>
    <s v="si"/>
    <s v="si"/>
    <s v="si"/>
    <m/>
    <m/>
    <m/>
    <m/>
    <m/>
    <m/>
    <m/>
    <m/>
    <m/>
    <m/>
    <m/>
    <m/>
    <m/>
    <m/>
  </r>
  <r>
    <x v="8"/>
    <s v="OBRAS"/>
    <x v="0"/>
    <s v="Proyectos de expansión y refuerzo en el Sistema Nacional de Distribución"/>
    <x v="0"/>
    <x v="0"/>
    <x v="0"/>
    <s v="PICHINCHA"/>
    <x v="4"/>
    <n v="1"/>
    <x v="0"/>
    <s v="BID2-RSND-EEQ-DI-OB-001"/>
    <s v=" REFORZAMIENTO DE SISTEMAS DE MEDICIÓN CONCENTRADA"/>
    <s v="Lote 3: REFORZAMIENTO DE SISTEMAS DE MEDICIÓN CONCENTRADA. ZONA SUR"/>
    <s v="LPN"/>
    <s v="ex-post"/>
    <s v="EJECUTADO BID"/>
    <s v="SG-518-2015"/>
    <s v="NAPOLEÓN  SEGUNDO PÁRAMO ALVAREZ"/>
    <s v="ECUATORIANA"/>
    <s v="PERSONA NATURAL"/>
    <s v="1705513941001"/>
    <m/>
    <m/>
    <m/>
    <m/>
    <m/>
    <n v="281904.77"/>
    <n v="281904.77"/>
    <n v="281904.77"/>
    <n v="0"/>
    <n v="281904.77"/>
    <n v="0.12"/>
    <n v="33828.572400000005"/>
    <n v="0"/>
    <n v="315733.34240000002"/>
    <n v="281805.3"/>
    <n v="99.470000000030268"/>
    <m/>
    <n v="310000"/>
    <n v="310000"/>
    <n v="281904.77"/>
    <n v="281904.77"/>
    <m/>
    <m/>
    <m/>
    <m/>
    <m/>
    <m/>
    <m/>
    <m/>
    <m/>
    <m/>
    <m/>
    <m/>
    <m/>
    <m/>
    <n v="0"/>
    <n v="0"/>
    <s v="DDL, IAO 21.1."/>
    <s v="NO APLICA"/>
    <s v="NO APLICA"/>
    <s v="NO APLICA"/>
    <s v="NO APLICA"/>
    <s v="NO APLICA"/>
    <d v="2015-07-20T00:00:00"/>
    <d v="2015-08-11T00:00:00"/>
    <d v="2016-08-18T00:00:00"/>
    <d v="2015-08-20T00:00:00"/>
    <s v="NO APLICA"/>
    <d v="2015-09-04T00:00:00"/>
    <d v="2015-09-11T00:00:00"/>
    <s v="NO APLICA"/>
    <s v="NO APLICA"/>
    <s v="NO APLICA"/>
    <s v="NO APLICA"/>
    <s v="NO APLICA"/>
    <d v="2015-10-22T00:00:00"/>
    <d v="2015-11-18T00:00:00"/>
    <s v="NO APLICA"/>
    <s v="NO APLICA"/>
    <s v="NO APLICA"/>
    <m/>
    <s v="ü"/>
    <m/>
    <m/>
    <m/>
    <m/>
    <m/>
    <m/>
    <m/>
    <m/>
    <m/>
    <m/>
    <m/>
    <s v="ü"/>
    <s v="NO APLICA"/>
    <m/>
    <m/>
    <d v="2015-12-10T00:00:00"/>
    <n v="140952.38500000001"/>
    <s v="Pago 2/5 Anticipo 3,56%"/>
    <d v="2016-11-11T00:00:00"/>
    <n v="10033.58"/>
    <s v="Pago 2/5 Anticipo 5,33%"/>
    <d v="2016-11-11T00:00:00"/>
    <n v="15035.939999999999"/>
    <s v="Pago 3/5 Anticipo 4,09%"/>
    <d v="2016-11-12T00:00:00"/>
    <n v="11535.6"/>
    <s v="Pago 3/5 Anticipo 9,16%"/>
    <d v="2016-11-12T00:00:00"/>
    <n v="25810.519999999997"/>
    <s v="Pago 4/5  Planilla 3  5,20%"/>
    <d v="2017-01-06T00:00:00"/>
    <n v="14659.970000000001"/>
    <s v="Pago 4/5  Planilla 3  8,32%"/>
    <d v="2017-01-06T00:00:00"/>
    <n v="23464.829999999998"/>
    <s v="Pago 5/5  Planilla 4  3,46%"/>
    <d v="2017-02-09T00:00:00"/>
    <n v="9699.1099999999988"/>
    <s v="Pago 5/5  Planilla 4  5,86%"/>
    <d v="2017-02-09T00:00:00"/>
    <n v="16517.16"/>
    <m/>
    <m/>
    <m/>
    <n v="267709.09499999997"/>
    <m/>
    <m/>
    <m/>
    <m/>
    <m/>
    <m/>
    <m/>
    <s v="300"/>
    <s v="DESDE LA NOTIFICACIÓN DE LA ENTREGA DEL ANTICIPO"/>
    <d v="2015-12-11T00:00:00"/>
    <d v="2016-10-06T00:00:00"/>
    <m/>
    <m/>
    <m/>
    <m/>
    <m/>
    <m/>
    <m/>
    <m/>
    <m/>
    <m/>
    <m/>
    <m/>
    <m/>
    <m/>
    <m/>
    <m/>
    <m/>
    <m/>
    <m/>
    <m/>
    <m/>
    <m/>
    <m/>
    <m/>
    <m/>
    <m/>
    <m/>
    <m/>
    <m/>
    <m/>
    <m/>
    <m/>
    <m/>
    <n v="0.5"/>
    <n v="0.5"/>
    <n v="0.8"/>
    <n v="0.9"/>
    <n v="0.9"/>
    <n v="0.9"/>
    <n v="0.9"/>
    <n v="0.9"/>
    <n v="1"/>
    <n v="1"/>
    <n v="1"/>
    <n v="1"/>
    <n v="1"/>
    <n v="1"/>
    <n v="1"/>
    <n v="1"/>
    <n v="1"/>
    <n v="1"/>
    <n v="1"/>
    <n v="1"/>
    <n v="1"/>
    <n v="1"/>
    <n v="1"/>
    <x v="0"/>
    <n v="1"/>
    <n v="1"/>
    <n v="1"/>
    <x v="0"/>
    <s v="si"/>
    <s v="si"/>
    <s v="si"/>
    <s v="si"/>
    <s v="si"/>
    <s v="si"/>
    <s v="si"/>
    <x v="0"/>
    <s v="si"/>
    <s v="si"/>
    <s v="si"/>
    <m/>
    <m/>
    <m/>
    <m/>
    <m/>
    <m/>
    <m/>
    <m/>
    <m/>
    <m/>
    <m/>
    <m/>
    <m/>
    <m/>
  </r>
  <r>
    <x v="8"/>
    <s v="OBRAS"/>
    <x v="0"/>
    <s v="Proyectos de expansión y refuerzo en el Sistema Nacional de Distribución"/>
    <x v="0"/>
    <x v="0"/>
    <x v="0"/>
    <s v="PICHINCHA"/>
    <x v="137"/>
    <n v="2"/>
    <x v="0"/>
    <s v="BID2-RSND-EEQ-DI-OB-002"/>
    <s v="REFORZAMIENTO DE REDES DE MEDIO Y BAJO VOLTAJE CON REPOTENCIACION DE TRANSFORMADORES ACOMETIDAS Y MEDIDORES"/>
    <s v="LOTE 1: PRIMARIO CUMBAYA 29D"/>
    <s v="LPN"/>
    <s v="ex-post"/>
    <s v="EJECUTADO BID"/>
    <s v="SG-526-2015"/>
    <s v="OPMELEC CÍA.LTDA."/>
    <s v="ECUATORIANA"/>
    <s v="PERSONA JURÍDICA"/>
    <s v="1792081017001"/>
    <m/>
    <m/>
    <m/>
    <m/>
    <m/>
    <n v="561905.13"/>
    <n v="561905.13"/>
    <n v="561905.13"/>
    <n v="0"/>
    <n v="561905.13"/>
    <n v="0.12"/>
    <n v="67428.615600000005"/>
    <n v="0"/>
    <n v="629333.74560000002"/>
    <n v="525300.4"/>
    <n v="36604.729999999981"/>
    <m/>
    <n v="617317.92000000004"/>
    <n v="617317.92000000004"/>
    <n v="561905.12"/>
    <n v="561905.12"/>
    <m/>
    <m/>
    <m/>
    <m/>
    <m/>
    <m/>
    <m/>
    <m/>
    <m/>
    <m/>
    <m/>
    <m/>
    <m/>
    <m/>
    <n v="1.0000000009313226E-2"/>
    <n v="1.0000000009313226E-2"/>
    <s v="DDL, IAO 21.1."/>
    <s v="NO APLICA"/>
    <s v="NO APLICA"/>
    <s v="NO APLICA"/>
    <s v="NO APLICA"/>
    <s v="NO APLICA"/>
    <d v="2015-07-20T00:00:00"/>
    <d v="2015-08-11T00:00:00"/>
    <d v="2015-08-18T00:00:00"/>
    <d v="2015-08-20T00:00:00"/>
    <s v="NO APLICA"/>
    <d v="2015-09-04T00:00:00"/>
    <d v="2015-09-11T00:00:00"/>
    <s v="NO APLICA"/>
    <s v="NO APLICA"/>
    <s v="NO APLICA"/>
    <s v="NO APLICA"/>
    <s v="NO APLICA"/>
    <s v="DATO PENDIENTE"/>
    <d v="2015-11-30T00:00:00"/>
    <s v="NO APLICA"/>
    <s v="NO APLICA"/>
    <s v="NO APLICA"/>
    <m/>
    <s v="ü"/>
    <m/>
    <m/>
    <m/>
    <m/>
    <m/>
    <m/>
    <m/>
    <m/>
    <m/>
    <m/>
    <m/>
    <s v="ü"/>
    <s v="NO APLICA"/>
    <m/>
    <m/>
    <d v="2016-01-15T00:00:00"/>
    <n v="280952.58"/>
    <s v="Pago 2/5 Planilla"/>
    <d v="2016-11-29T00:00:00"/>
    <n v="58635.07"/>
    <m/>
    <m/>
    <m/>
    <m/>
    <m/>
    <m/>
    <m/>
    <m/>
    <m/>
    <m/>
    <m/>
    <m/>
    <m/>
    <m/>
    <m/>
    <m/>
    <m/>
    <m/>
    <m/>
    <m/>
    <m/>
    <m/>
    <m/>
    <m/>
    <n v="339587.65"/>
    <m/>
    <m/>
    <m/>
    <m/>
    <m/>
    <m/>
    <m/>
    <n v="365"/>
    <s v="DESDE LA NOTIFICACIÓN DE LA ENTREGA DEL ANTICIPO"/>
    <d v="2016-01-16T00:00:00"/>
    <d v="2017-01-15T00:00:00"/>
    <m/>
    <m/>
    <m/>
    <m/>
    <m/>
    <m/>
    <m/>
    <m/>
    <m/>
    <m/>
    <m/>
    <m/>
    <m/>
    <m/>
    <m/>
    <m/>
    <m/>
    <m/>
    <m/>
    <m/>
    <m/>
    <m/>
    <m/>
    <m/>
    <m/>
    <m/>
    <m/>
    <m/>
    <m/>
    <m/>
    <m/>
    <m/>
    <m/>
    <n v="0.2"/>
    <n v="0.2"/>
    <n v="0.5"/>
    <n v="0.5"/>
    <n v="0.75"/>
    <n v="0.75"/>
    <n v="0.75"/>
    <n v="0.75"/>
    <n v="0.75"/>
    <n v="0.75"/>
    <n v="0.87"/>
    <n v="1"/>
    <n v="1"/>
    <n v="1"/>
    <n v="1"/>
    <n v="1"/>
    <n v="1"/>
    <n v="1"/>
    <n v="1"/>
    <n v="1"/>
    <n v="1"/>
    <n v="1"/>
    <n v="1"/>
    <x v="0"/>
    <n v="1"/>
    <n v="1"/>
    <n v="1"/>
    <x v="0"/>
    <s v="no"/>
    <s v="no"/>
    <s v="si"/>
    <s v="si"/>
    <s v="si"/>
    <s v="si"/>
    <s v="si"/>
    <x v="0"/>
    <s v="si"/>
    <s v="si"/>
    <s v="si"/>
    <m/>
    <m/>
    <m/>
    <m/>
    <m/>
    <m/>
    <m/>
    <m/>
    <m/>
    <m/>
    <m/>
    <m/>
    <m/>
    <m/>
  </r>
  <r>
    <x v="8"/>
    <s v="OBRAS"/>
    <x v="0"/>
    <s v="Proyectos de expansión y refuerzo en el Sistema Nacional de Distribución"/>
    <x v="0"/>
    <x v="0"/>
    <x v="0"/>
    <s v="PICHINCHA"/>
    <x v="4"/>
    <n v="3"/>
    <x v="0"/>
    <s v="BID2-RSND-EEQ-DI-OB-002"/>
    <s v="REFORZAMIENTO DE REDES DE MEDIO Y BAJO VOLTAJE CON REPOTENCIACION DE TRANSFORMADORES ACOMETIDAS Y MEDIDORES"/>
    <s v="LOTE 2: PRIMARIO TABABELA 31A"/>
    <s v="LPN"/>
    <s v="ex-post"/>
    <s v="EJECUTADO BID"/>
    <s v="SG-541-2015"/>
    <s v="CONSORCIO V&amp;C"/>
    <s v="ECUATORIANA"/>
    <s v="PERSONA JURÍDICA"/>
    <s v="1790404234001_x000a_1792362261001"/>
    <m/>
    <m/>
    <m/>
    <m/>
    <m/>
    <n v="402475.28"/>
    <n v="402475.28"/>
    <n v="402475.28"/>
    <n v="0"/>
    <n v="402475.28"/>
    <n v="0.12"/>
    <n v="48297.033600000002"/>
    <n v="0"/>
    <n v="450772.31360000005"/>
    <n v="397905.38"/>
    <n v="4569.9000000000233"/>
    <m/>
    <n v="500345.14"/>
    <n v="500345.14"/>
    <n v="402475.27"/>
    <n v="402475.27"/>
    <m/>
    <m/>
    <m/>
    <m/>
    <m/>
    <m/>
    <m/>
    <m/>
    <m/>
    <m/>
    <m/>
    <m/>
    <m/>
    <m/>
    <n v="1.0000000009313226E-2"/>
    <n v="1.0000000009313226E-2"/>
    <s v="DDL, IAO 21.1."/>
    <s v="NO APLICA"/>
    <s v="NO APLICA"/>
    <s v="NO APLICA"/>
    <s v="NO APLICA"/>
    <s v="NO APLICA"/>
    <d v="2015-07-20T00:00:00"/>
    <d v="2015-08-11T00:00:00"/>
    <d v="2015-08-18T00:00:00"/>
    <d v="2015-08-20T00:00:00"/>
    <s v="NO APLICA"/>
    <d v="2015-09-04T00:00:00"/>
    <d v="2015-09-11T00:00:00"/>
    <s v="NO APLICA"/>
    <s v="NO APLICA"/>
    <s v="NO APLICA"/>
    <s v="NO APLICA"/>
    <s v="NO APLICA"/>
    <s v="DATO PENDIENTE"/>
    <d v="2015-12-08T00:00:00"/>
    <s v="NO APLICA"/>
    <s v="NO APLICA"/>
    <s v="NO APLICA"/>
    <m/>
    <s v="ü"/>
    <m/>
    <m/>
    <m/>
    <m/>
    <m/>
    <m/>
    <m/>
    <m/>
    <m/>
    <m/>
    <m/>
    <s v="ü"/>
    <s v="NO APLICA"/>
    <m/>
    <m/>
    <d v="2016-01-22T00:00:00"/>
    <n v="201237.63"/>
    <s v="Pago 2/5 - Planilla 1  15,24%"/>
    <d v="2016-11-18T00:00:00"/>
    <n v="61340.630000000012"/>
    <s v="Pago 3/5 - Planilla 2  8,90%"/>
    <d v="2017-02-07T00:00:00"/>
    <n v="35807.110000000008"/>
    <m/>
    <m/>
    <m/>
    <m/>
    <m/>
    <m/>
    <m/>
    <m/>
    <m/>
    <m/>
    <m/>
    <m/>
    <m/>
    <m/>
    <m/>
    <m/>
    <m/>
    <m/>
    <m/>
    <m/>
    <m/>
    <n v="298385.37"/>
    <m/>
    <m/>
    <m/>
    <m/>
    <m/>
    <m/>
    <m/>
    <n v="365"/>
    <s v="DESDE LA NOTIFICACIÓN DE LA ENTREGA DEL ANTICIPO"/>
    <d v="2016-01-23T00:00:00"/>
    <d v="2017-01-22T00:00:00"/>
    <m/>
    <m/>
    <m/>
    <m/>
    <m/>
    <m/>
    <m/>
    <m/>
    <m/>
    <m/>
    <m/>
    <m/>
    <m/>
    <m/>
    <m/>
    <m/>
    <m/>
    <m/>
    <m/>
    <m/>
    <m/>
    <m/>
    <m/>
    <m/>
    <m/>
    <m/>
    <m/>
    <m/>
    <m/>
    <m/>
    <m/>
    <m/>
    <m/>
    <n v="0.2"/>
    <n v="0.2"/>
    <n v="0.2"/>
    <n v="0.5"/>
    <n v="0.51500000000000001"/>
    <n v="0.51500000000000001"/>
    <n v="0.51500000000000001"/>
    <n v="0.51500000000000001"/>
    <n v="0.89"/>
    <n v="0.89"/>
    <n v="0.89"/>
    <n v="1"/>
    <n v="1"/>
    <n v="1"/>
    <n v="1"/>
    <n v="1"/>
    <n v="1"/>
    <n v="1"/>
    <n v="1"/>
    <n v="1"/>
    <n v="1"/>
    <n v="1"/>
    <n v="1"/>
    <x v="0"/>
    <n v="1"/>
    <n v="1"/>
    <n v="1"/>
    <x v="0"/>
    <s v="no"/>
    <s v="no"/>
    <s v="si"/>
    <s v="si"/>
    <s v="si"/>
    <s v="si"/>
    <s v="si"/>
    <x v="0"/>
    <s v="si"/>
    <s v="si"/>
    <s v="si"/>
    <m/>
    <m/>
    <m/>
    <m/>
    <m/>
    <m/>
    <m/>
    <m/>
    <m/>
    <m/>
    <m/>
    <m/>
    <m/>
    <m/>
  </r>
  <r>
    <x v="8"/>
    <s v="OBRAS"/>
    <x v="0"/>
    <s v="Proyectos de expansión y refuerzo en el Sistema Nacional de Distribución"/>
    <x v="0"/>
    <x v="0"/>
    <x v="0"/>
    <s v="PICHINCHA"/>
    <x v="4"/>
    <n v="4"/>
    <x v="0"/>
    <s v="BID2-RSND-EEQ-DI-OB-002"/>
    <s v="REFORZAMIENTO DE REDES DE MEDIO Y BAJO VOLTAJE CON REPOTENCIACION DE TRANSFORMADORES ACOMETIDAS Y MEDIDORES"/>
    <s v="LOTE 3: PRIMARIO TUMBACO 36D"/>
    <s v="LPN"/>
    <s v="ex-post"/>
    <s v="EJECUTADO BID"/>
    <s v="SG-002-2016"/>
    <s v="CONSORCIO A&amp;G"/>
    <s v="ECUATORIANA"/>
    <s v="PERSONA JURÍDICA"/>
    <s v="1792378184001_x000a_1792464501001"/>
    <s v="DATO PENDIENTE "/>
    <s v="DATO PENDIENTE "/>
    <s v="DATO PENDIENTE "/>
    <s v="DATO PENDIENTE "/>
    <m/>
    <n v="770149.21"/>
    <n v="770149.21"/>
    <n v="770149.21"/>
    <n v="0"/>
    <n v="770149.21"/>
    <n v="0.12"/>
    <n v="92417.905199999994"/>
    <n v="0"/>
    <n v="862567.1152"/>
    <n v="733698.67999999993"/>
    <n v="36450.530000000028"/>
    <m/>
    <n v="787351.01"/>
    <n v="787351.01"/>
    <n v="770149.21"/>
    <n v="770149.21"/>
    <m/>
    <m/>
    <m/>
    <m/>
    <m/>
    <m/>
    <m/>
    <m/>
    <m/>
    <m/>
    <m/>
    <m/>
    <m/>
    <m/>
    <n v="0"/>
    <n v="0"/>
    <s v="DDL, IAO 21.1."/>
    <s v="NO APLICA"/>
    <s v="NO APLICA"/>
    <s v="NO APLICA"/>
    <s v="NO APLICA"/>
    <s v="NO APLICA"/>
    <d v="2015-07-20T00:00:00"/>
    <d v="2015-08-11T00:00:00"/>
    <d v="2015-08-18T00:00:00"/>
    <d v="2015-08-20T00:00:00"/>
    <s v="NO APLICA"/>
    <d v="2015-09-04T00:00:00"/>
    <d v="2015-09-11T00:00:00"/>
    <s v="NO APLICA"/>
    <s v="NO APLICA"/>
    <s v="NO APLICA"/>
    <s v="NO APLICA"/>
    <s v="NO APLICA"/>
    <s v="DATO PENDIENTE"/>
    <d v="2016-01-05T00:00:00"/>
    <s v="NO APLICA"/>
    <s v="NO APLICA"/>
    <s v="NO APLICA"/>
    <m/>
    <s v="ü"/>
    <m/>
    <m/>
    <m/>
    <m/>
    <m/>
    <m/>
    <m/>
    <m/>
    <m/>
    <m/>
    <m/>
    <s v="ü"/>
    <s v="NO APLICA"/>
    <m/>
    <m/>
    <d v="2016-01-22T00:00:00"/>
    <n v="385074.6"/>
    <s v="Pago 2/5 - Planilla 1 ,19%"/>
    <d v="2016-11-18T00:00:00"/>
    <n v="70798.28"/>
    <s v="Pago 3/5 - Planilla 2  6,55%"/>
    <d v="2017-01-13T00:00:00"/>
    <n v="50468.1"/>
    <m/>
    <m/>
    <m/>
    <m/>
    <m/>
    <m/>
    <m/>
    <m/>
    <m/>
    <m/>
    <m/>
    <m/>
    <m/>
    <m/>
    <m/>
    <m/>
    <m/>
    <m/>
    <m/>
    <m/>
    <m/>
    <n v="506340.98"/>
    <m/>
    <m/>
    <m/>
    <m/>
    <m/>
    <m/>
    <m/>
    <n v="365"/>
    <s v="DESDE LA NOTIFICACIÓN DE LA ENTREGA DEL ANTICIPO"/>
    <d v="2016-01-23T00:00:00"/>
    <d v="2017-01-22T00:00:00"/>
    <m/>
    <m/>
    <m/>
    <m/>
    <m/>
    <m/>
    <m/>
    <m/>
    <m/>
    <m/>
    <m/>
    <m/>
    <m/>
    <m/>
    <m/>
    <m/>
    <m/>
    <m/>
    <m/>
    <m/>
    <m/>
    <m/>
    <m/>
    <m/>
    <m/>
    <m/>
    <m/>
    <m/>
    <m/>
    <m/>
    <m/>
    <m/>
    <m/>
    <n v="0.2"/>
    <n v="0.2"/>
    <n v="0.5"/>
    <n v="0.5"/>
    <n v="0.54"/>
    <n v="0.54"/>
    <n v="0.54"/>
    <n v="0.8"/>
    <n v="0.8"/>
    <n v="0.8"/>
    <n v="0.8"/>
    <n v="1"/>
    <n v="1"/>
    <n v="1"/>
    <n v="1"/>
    <n v="1"/>
    <n v="1"/>
    <n v="1"/>
    <n v="1"/>
    <n v="1"/>
    <n v="1"/>
    <n v="1"/>
    <n v="1"/>
    <x v="0"/>
    <n v="1"/>
    <n v="1"/>
    <n v="1"/>
    <x v="0"/>
    <s v="no"/>
    <s v="no"/>
    <s v="si"/>
    <s v="si"/>
    <s v="si"/>
    <s v="si"/>
    <s v="si"/>
    <x v="0"/>
    <s v="si"/>
    <s v="si"/>
    <s v="si"/>
    <m/>
    <m/>
    <m/>
    <m/>
    <m/>
    <m/>
    <m/>
    <m/>
    <m/>
    <m/>
    <m/>
    <m/>
    <m/>
    <m/>
  </r>
  <r>
    <x v="8"/>
    <s v="OBRAS"/>
    <x v="0"/>
    <s v="Proyectos de expansión y refuerzo en el Sistema Nacional de Distribución"/>
    <x v="0"/>
    <x v="0"/>
    <x v="0"/>
    <s v="PICHINCHA"/>
    <x v="138"/>
    <n v="9"/>
    <x v="0"/>
    <s v="BID2-RSND-EEQ-DI-OB-004"/>
    <s v=" REFORZAMIENTO DE REDES DE MEDIO Y BAJO VOLTAJE CON REPOTENCIACION DE TRANSFORMADORES ACOMETIDAS Y MEDIDORES  PRIMARIO 23C, PRIMARIO 55B, PRIMARIO 57F"/>
    <s v="Primario 55B"/>
    <s v="LPN"/>
    <s v="ex-post"/>
    <s v="EJECUTADO BID"/>
    <s v="SG-525-2015"/>
    <s v="REDINS INGENIERÍA ELÉCTRICA"/>
    <s v="ECUATORIANA"/>
    <s v="PERSONA JURÍDICA"/>
    <s v="1791885538001"/>
    <m/>
    <m/>
    <m/>
    <m/>
    <m/>
    <n v="381888.6"/>
    <n v="381888.6"/>
    <n v="381888.6"/>
    <n v="0"/>
    <n v="381888.6"/>
    <n v="0.12"/>
    <n v="45826.631999999998"/>
    <n v="0"/>
    <n v="427715.23200000002"/>
    <n v="381758.29"/>
    <n v="130.30999999999767"/>
    <m/>
    <n v="399319.22"/>
    <n v="399319.22"/>
    <n v="381888.6"/>
    <n v="381888.6"/>
    <m/>
    <m/>
    <m/>
    <m/>
    <m/>
    <m/>
    <m/>
    <m/>
    <m/>
    <m/>
    <m/>
    <m/>
    <m/>
    <m/>
    <n v="0"/>
    <n v="0"/>
    <s v="DDL, IAO 21.1."/>
    <s v="NO APLICA"/>
    <s v="NO APLICA"/>
    <s v="NO APLICA"/>
    <s v="NO APLICA"/>
    <s v="NO APLICA"/>
    <d v="2015-07-21T00:00:00"/>
    <d v="2015-08-12T00:00:00"/>
    <d v="2015-08-19T00:00:00"/>
    <d v="2015-08-21T00:00:00"/>
    <s v="NO APLICA"/>
    <d v="2015-09-07T00:00:00"/>
    <d v="2015-09-14T00:00:00"/>
    <s v="NO APLICA"/>
    <s v="NO APLICA"/>
    <s v="NO APLICA"/>
    <s v="NO APLICA"/>
    <s v="NO APLICA"/>
    <s v="DATO PENDIENTE"/>
    <d v="2015-11-27T00:00:00"/>
    <s v="NO APLICA"/>
    <s v="NO APLICA"/>
    <s v="NO APLICA"/>
    <m/>
    <s v="ü"/>
    <m/>
    <m/>
    <m/>
    <m/>
    <m/>
    <m/>
    <m/>
    <m/>
    <m/>
    <m/>
    <m/>
    <s v="ü"/>
    <s v="NO APLICA"/>
    <m/>
    <m/>
    <d v="2015-12-24T00:00:00"/>
    <n v="190944.3"/>
    <s v="Pago 2/5 - Planilla 1  12,07%"/>
    <d v="2016-11-24T00:00:00"/>
    <n v="46090.54"/>
    <s v="Pago 3/5 - Planilla 2  10,72 %"/>
    <d v="2016-12-29T00:00:00"/>
    <n v="40925.54"/>
    <m/>
    <m/>
    <m/>
    <m/>
    <m/>
    <m/>
    <m/>
    <m/>
    <m/>
    <m/>
    <m/>
    <m/>
    <m/>
    <m/>
    <m/>
    <m/>
    <m/>
    <m/>
    <m/>
    <m/>
    <m/>
    <n v="277960.38"/>
    <m/>
    <m/>
    <m/>
    <m/>
    <m/>
    <m/>
    <m/>
    <n v="365"/>
    <s v="DESDE LA NOTIFICACIÓN DE LA ENTREGA DEL ANTICIPO"/>
    <d v="2015-12-25T00:00:00"/>
    <d v="2016-12-24T00:00:00"/>
    <m/>
    <m/>
    <m/>
    <m/>
    <m/>
    <m/>
    <m/>
    <m/>
    <m/>
    <m/>
    <m/>
    <m/>
    <m/>
    <m/>
    <m/>
    <m/>
    <m/>
    <m/>
    <m/>
    <m/>
    <m/>
    <m/>
    <m/>
    <m/>
    <m/>
    <m/>
    <m/>
    <m/>
    <m/>
    <m/>
    <m/>
    <m/>
    <m/>
    <n v="0.2"/>
    <n v="0.5"/>
    <n v="0.5"/>
    <n v="0.5"/>
    <n v="0.7"/>
    <n v="0.7"/>
    <n v="0.7"/>
    <n v="0.9"/>
    <n v="1"/>
    <n v="1"/>
    <n v="1"/>
    <n v="1"/>
    <n v="1"/>
    <n v="1"/>
    <n v="1"/>
    <n v="1"/>
    <n v="1"/>
    <n v="1"/>
    <n v="1"/>
    <n v="1"/>
    <n v="1"/>
    <n v="1"/>
    <n v="1"/>
    <x v="0"/>
    <n v="1"/>
    <n v="1"/>
    <n v="1"/>
    <x v="0"/>
    <s v="si"/>
    <s v="si"/>
    <s v="si"/>
    <s v="si"/>
    <s v="si"/>
    <s v="si"/>
    <s v="si"/>
    <x v="0"/>
    <s v="si"/>
    <s v="si"/>
    <s v="si"/>
    <m/>
    <m/>
    <m/>
    <m/>
    <m/>
    <m/>
    <m/>
    <m/>
    <m/>
    <m/>
    <m/>
    <m/>
    <m/>
    <m/>
  </r>
  <r>
    <x v="8"/>
    <s v="OBRAS"/>
    <x v="0"/>
    <s v="Proyectos de expansión y refuerzo en el Sistema Nacional de Distribución"/>
    <x v="0"/>
    <x v="0"/>
    <x v="0"/>
    <s v="PICHINCHA"/>
    <x v="139"/>
    <n v="10"/>
    <x v="0"/>
    <s v="BID2-RSND-EEQ-DI-OB-004"/>
    <s v=" REFORZAMIENTO DE REDES DE MEDIO Y BAJO VOLTAJE CON REPOTENCIACION DE TRANSFORMADORES ACOMETIDAS Y MEDIDORES  PRIMARIO 23C, PRIMARIO 55B, PRIMARIO 57F"/>
    <s v="Primario 57F"/>
    <m/>
    <s v="ex-post"/>
    <s v="EJECUTADO EE"/>
    <m/>
    <m/>
    <m/>
    <m/>
    <m/>
    <m/>
    <m/>
    <m/>
    <m/>
    <m/>
    <n v="0"/>
    <n v="0"/>
    <m/>
    <n v="0"/>
    <n v="0"/>
    <n v="0.12"/>
    <n v="0"/>
    <n v="0"/>
    <n v="0"/>
    <m/>
    <m/>
    <m/>
    <m/>
    <m/>
    <m/>
    <m/>
    <m/>
    <m/>
    <m/>
    <m/>
    <m/>
    <m/>
    <m/>
    <m/>
    <m/>
    <m/>
    <m/>
    <m/>
    <m/>
    <m/>
    <m/>
    <n v="0"/>
    <m/>
    <m/>
    <s v="NO APLICA"/>
    <s v="NO APLICA"/>
    <s v="NO APLICA"/>
    <s v="NO APLICA"/>
    <m/>
    <m/>
    <m/>
    <m/>
    <m/>
    <m/>
    <m/>
    <s v="NO APLICA"/>
    <s v="NO APLICA"/>
    <m/>
    <m/>
    <m/>
    <m/>
    <m/>
    <m/>
    <m/>
    <m/>
    <m/>
    <m/>
    <m/>
    <m/>
    <m/>
    <m/>
    <m/>
    <m/>
    <m/>
    <m/>
    <m/>
    <m/>
    <m/>
    <m/>
    <m/>
    <m/>
    <m/>
    <m/>
    <m/>
    <m/>
    <m/>
    <m/>
    <m/>
    <m/>
    <m/>
    <m/>
    <m/>
    <m/>
    <m/>
    <m/>
    <m/>
    <m/>
    <m/>
    <m/>
    <m/>
    <m/>
    <m/>
    <m/>
    <m/>
    <m/>
    <m/>
    <m/>
    <m/>
    <m/>
    <m/>
    <m/>
    <n v="0"/>
    <m/>
    <m/>
    <m/>
    <m/>
    <m/>
    <m/>
    <m/>
    <m/>
    <m/>
    <m/>
    <m/>
    <m/>
    <m/>
    <m/>
    <m/>
    <m/>
    <m/>
    <m/>
    <m/>
    <m/>
    <m/>
    <m/>
    <m/>
    <m/>
    <m/>
    <m/>
    <m/>
    <m/>
    <m/>
    <m/>
    <m/>
    <m/>
    <m/>
    <m/>
    <m/>
    <m/>
    <m/>
    <m/>
    <m/>
    <m/>
    <m/>
    <m/>
    <m/>
    <m/>
    <m/>
    <m/>
    <m/>
    <m/>
    <n v="1"/>
    <n v="1"/>
    <n v="1"/>
    <n v="0"/>
    <n v="0"/>
    <n v="1"/>
    <n v="1"/>
    <n v="1"/>
    <n v="1"/>
    <n v="1"/>
    <n v="1"/>
    <n v="1"/>
    <n v="1"/>
    <n v="1"/>
    <n v="1"/>
    <n v="1"/>
    <n v="1"/>
    <n v="1"/>
    <n v="1"/>
    <x v="0"/>
    <n v="1"/>
    <n v="1"/>
    <n v="1"/>
    <x v="0"/>
    <s v="si"/>
    <s v="si"/>
    <s v="si"/>
    <s v="si"/>
    <s v="si"/>
    <s v="si"/>
    <s v="si"/>
    <x v="0"/>
    <s v="si"/>
    <s v="si"/>
    <s v="si"/>
    <m/>
    <m/>
    <m/>
    <m/>
    <m/>
    <m/>
    <m/>
    <m/>
    <m/>
    <m/>
    <s v="ESTE PROCESO SE EFECTUA CON METODOLOGÍA SERCOP, POR CUANTO SE FINANCIA CON RECURSOS PROPIOS DE EEQ. POR PUBLICARSE"/>
    <m/>
    <m/>
    <m/>
  </r>
  <r>
    <x v="8"/>
    <s v="OBRAS"/>
    <x v="0"/>
    <s v="Proyectos de expansión y refuerzo en el Sistema Nacional de Distribución"/>
    <x v="0"/>
    <x v="0"/>
    <x v="0"/>
    <s v="PICHINCHA"/>
    <x v="140"/>
    <n v="6"/>
    <x v="0"/>
    <s v="BID2-RSND-EEQ-DI-OB-005"/>
    <s v="REFORZAMIENTO DE REDES DE MEDIO Y BAJO VOLTAJE CON REPOTENCIACION DE TRANSFORMADORES ACOMETIDAS Y MEDIDORES PRIMARIO 58C "/>
    <s v="Primario 58C"/>
    <s v="LPN"/>
    <s v="ex-post"/>
    <s v="EJECUTADO BID"/>
    <s v="SG 062-2016"/>
    <s v="LÓPEZ BELTRAN DANIEL RENATO"/>
    <s v="ECUATORIANA"/>
    <s v="PERSONA NATURAL"/>
    <s v="1714614649001"/>
    <s v="DATO PENDIENTE "/>
    <s v="DATO PENDIENTE "/>
    <s v="DATO PENDIENTE "/>
    <s v="DATO PENDIENTE "/>
    <m/>
    <n v="264108.08"/>
    <n v="0"/>
    <n v="264108.08"/>
    <n v="0"/>
    <n v="264108.08"/>
    <n v="0.12"/>
    <n v="31692.9696"/>
    <n v="0"/>
    <n v="295801.04960000003"/>
    <n v="264100.57"/>
    <n v="7.5100000000093132"/>
    <m/>
    <m/>
    <n v="287280.43"/>
    <m/>
    <n v="264108.08"/>
    <m/>
    <m/>
    <m/>
    <m/>
    <m/>
    <m/>
    <m/>
    <m/>
    <m/>
    <m/>
    <m/>
    <m/>
    <m/>
    <m/>
    <n v="0"/>
    <n v="0"/>
    <s v="DDL, IAO 21.1."/>
    <s v="NO APLICA"/>
    <s v="NO APLICA"/>
    <s v="NO APLICA"/>
    <s v="NO APLICA"/>
    <s v="NO APLICA"/>
    <d v="2015-11-11T00:00:00"/>
    <d v="2015-11-26T00:00:00"/>
    <d v="2015-12-03T00:00:00"/>
    <d v="2015-12-11T00:00:00"/>
    <s v="NO APLICA"/>
    <d v="2015-12-30T00:00:00"/>
    <d v="2016-01-07T00:00:00"/>
    <s v="NO APLICA"/>
    <s v="NO APLICA"/>
    <s v="NO APLICA"/>
    <s v="NO APLICA"/>
    <s v="NO APLICA"/>
    <d v="2016-01-15T00:00:00"/>
    <d v="2016-02-20T00:00:00"/>
    <s v="NO APLICA"/>
    <s v="NO APLICA"/>
    <s v="NO APLICA"/>
    <m/>
    <s v="ü"/>
    <m/>
    <m/>
    <m/>
    <m/>
    <m/>
    <m/>
    <m/>
    <m/>
    <m/>
    <m/>
    <m/>
    <s v="ü"/>
    <s v="NO APLICA"/>
    <m/>
    <m/>
    <d v="2016-03-17T00:00:00"/>
    <n v="132054.04"/>
    <s v="Pago 2/5 - Planilla 1  20,21%"/>
    <d v="2016-11-08T00:00:00"/>
    <n v="53378.8"/>
    <s v="Pago 3/5 - Planilla 2  4,44%"/>
    <d v="2017-04-26T00:00:00"/>
    <n v="11714.97"/>
    <s v="Pago 3/5 - Planilla 2  13,94%"/>
    <d v="2017-04-26T00:00:00"/>
    <n v="36806.960000000006"/>
    <m/>
    <m/>
    <m/>
    <m/>
    <m/>
    <m/>
    <m/>
    <m/>
    <m/>
    <m/>
    <m/>
    <m/>
    <m/>
    <m/>
    <m/>
    <m/>
    <m/>
    <m/>
    <n v="233954.77000000002"/>
    <m/>
    <m/>
    <m/>
    <m/>
    <m/>
    <m/>
    <m/>
    <n v="365"/>
    <s v="DESDE LA NOTIFICACIÓN DE LA ENTREGA DEL ANTICIPO"/>
    <d v="2016-03-18T00:00:00"/>
    <d v="2017-03-18T00:00:00"/>
    <m/>
    <m/>
    <m/>
    <m/>
    <m/>
    <m/>
    <m/>
    <m/>
    <m/>
    <m/>
    <m/>
    <m/>
    <m/>
    <m/>
    <m/>
    <m/>
    <m/>
    <m/>
    <m/>
    <m/>
    <m/>
    <m/>
    <m/>
    <m/>
    <m/>
    <m/>
    <m/>
    <m/>
    <m/>
    <m/>
    <m/>
    <m/>
    <m/>
    <n v="0.2"/>
    <n v="0.2"/>
    <n v="0.5"/>
    <n v="0.5"/>
    <n v="0.8"/>
    <n v="0.8"/>
    <n v="0.8"/>
    <n v="0.9"/>
    <n v="0.97499999999999998"/>
    <n v="0.97499999999999998"/>
    <n v="1"/>
    <n v="1"/>
    <n v="1"/>
    <n v="1"/>
    <n v="1"/>
    <n v="1"/>
    <n v="1"/>
    <n v="1"/>
    <n v="1"/>
    <n v="1"/>
    <n v="1"/>
    <n v="1"/>
    <n v="1"/>
    <x v="0"/>
    <n v="1"/>
    <n v="1"/>
    <n v="1"/>
    <x v="0"/>
    <s v="si"/>
    <s v="si"/>
    <s v="si"/>
    <s v="si"/>
    <s v="si"/>
    <s v="si"/>
    <s v="si"/>
    <x v="0"/>
    <s v="si"/>
    <s v="si"/>
    <s v="si"/>
    <m/>
    <m/>
    <m/>
    <m/>
    <m/>
    <m/>
    <m/>
    <m/>
    <m/>
    <m/>
    <m/>
    <m/>
    <m/>
    <m/>
  </r>
  <r>
    <x v="8"/>
    <s v="OBRAS"/>
    <x v="0"/>
    <s v="Proyectos de expansión y refuerzo en el Sistema Nacional de Distribución"/>
    <x v="0"/>
    <x v="0"/>
    <x v="0"/>
    <s v="PICHINCHA"/>
    <x v="141"/>
    <n v="5"/>
    <x v="0"/>
    <s v="BID2-RSND-EEQ-DI-OB-005"/>
    <s v="REFORZAMIENTO DE REDES DE MEDIO Y BAJO VOLTAJE CON REPOTENCIACION DE TRANSFORMADORES ACOMETIDAS Y MEDIDORES PRIMARIO 58D"/>
    <s v="Primario 58D"/>
    <s v="LPN"/>
    <s v="ex-post"/>
    <s v="EJECUTADO BID"/>
    <s v="SG-278-2016"/>
    <s v="LÓPEZ BELTRAN DANIEL RENATO"/>
    <s v="ECUATORIANA"/>
    <s v="PERSONA NATURAL"/>
    <s v="1714614649001"/>
    <s v="DATO PENDIENTE "/>
    <s v="DATO PENDIENTE "/>
    <s v="ING. NUVIA COYAGO"/>
    <s v="DATO PENDIENTE "/>
    <m/>
    <n v="165554.66"/>
    <n v="0"/>
    <n v="165554.66"/>
    <n v="0"/>
    <n v="165554.66"/>
    <n v="0.12"/>
    <n v="19866.5592"/>
    <n v="0"/>
    <n v="185421.21920000002"/>
    <n v="165526.22000000003"/>
    <n v="28.439999999973224"/>
    <m/>
    <m/>
    <n v="459410.8"/>
    <m/>
    <n v="165554.66"/>
    <m/>
    <m/>
    <m/>
    <m/>
    <m/>
    <m/>
    <m/>
    <m/>
    <m/>
    <m/>
    <m/>
    <m/>
    <m/>
    <m/>
    <n v="0"/>
    <n v="0"/>
    <s v="DDL, IAO 21.1."/>
    <s v="NO APLICA"/>
    <s v="NO APLICA"/>
    <s v="NO APLICA"/>
    <s v="NO APLICA"/>
    <s v="NO APLICA"/>
    <d v="2015-11-11T00:00:00"/>
    <d v="2015-11-26T00:00:00"/>
    <d v="2015-12-03T00:00:00"/>
    <d v="2015-12-11T00:00:00"/>
    <s v="NO APLICA"/>
    <d v="2015-12-30T00:00:00"/>
    <d v="2016-01-07T00:00:00"/>
    <s v="NO APLICA"/>
    <s v="NO APLICA"/>
    <s v="NO APLICA"/>
    <s v="NO APLICA"/>
    <s v="NO APLICA"/>
    <d v="2016-01-15T00:00:00"/>
    <d v="2016-08-08T00:00:00"/>
    <s v="NO APLICA"/>
    <s v="NO APLICA"/>
    <s v="NO APLICA"/>
    <m/>
    <s v="ü"/>
    <m/>
    <m/>
    <m/>
    <m/>
    <m/>
    <m/>
    <m/>
    <m/>
    <m/>
    <m/>
    <m/>
    <s v="ü"/>
    <s v="NO APLICA"/>
    <m/>
    <m/>
    <d v="2016-08-18T00:00:00"/>
    <n v="82777.33"/>
    <s v="Pago 2/5 Planilla 1   21,85%"/>
    <d v="2017-02-03T00:00:00"/>
    <n v="36170.049999999996"/>
    <m/>
    <m/>
    <m/>
    <m/>
    <m/>
    <m/>
    <m/>
    <m/>
    <m/>
    <m/>
    <m/>
    <m/>
    <m/>
    <m/>
    <m/>
    <m/>
    <m/>
    <m/>
    <m/>
    <m/>
    <m/>
    <m/>
    <m/>
    <m/>
    <n v="118947.38"/>
    <m/>
    <m/>
    <m/>
    <m/>
    <m/>
    <m/>
    <m/>
    <n v="365"/>
    <s v="DESDE LA NOTIFICACIÓN DE LA ENTREGA DEL ANTICIPO"/>
    <d v="2016-08-19T00:00:00"/>
    <d v="2017-08-19T00:00:00"/>
    <m/>
    <m/>
    <m/>
    <m/>
    <m/>
    <m/>
    <m/>
    <m/>
    <m/>
    <m/>
    <m/>
    <m/>
    <m/>
    <m/>
    <m/>
    <m/>
    <m/>
    <m/>
    <m/>
    <m/>
    <m/>
    <m/>
    <m/>
    <m/>
    <m/>
    <m/>
    <m/>
    <m/>
    <m/>
    <m/>
    <m/>
    <m/>
    <m/>
    <m/>
    <n v="0.2"/>
    <n v="0.2"/>
    <n v="0.5"/>
    <n v="0.8"/>
    <n v="0.8"/>
    <n v="0.8"/>
    <n v="0.875"/>
    <n v="0.9"/>
    <n v="0.9"/>
    <n v="0.9"/>
    <n v="0.9"/>
    <n v="1"/>
    <n v="1"/>
    <n v="1"/>
    <n v="1"/>
    <n v="1"/>
    <n v="1"/>
    <n v="1"/>
    <n v="1"/>
    <n v="1"/>
    <n v="1"/>
    <n v="1"/>
    <x v="0"/>
    <n v="1"/>
    <n v="1"/>
    <n v="1"/>
    <x v="0"/>
    <s v="no"/>
    <s v="si"/>
    <s v="si"/>
    <s v="si"/>
    <s v="si"/>
    <s v="si"/>
    <s v="si"/>
    <x v="0"/>
    <s v="si"/>
    <s v="si"/>
    <s v="si"/>
    <m/>
    <m/>
    <m/>
    <m/>
    <m/>
    <m/>
    <m/>
    <m/>
    <m/>
    <m/>
    <s v="FINANCIAMIENTO PARCIAL"/>
    <m/>
    <m/>
    <m/>
  </r>
  <r>
    <x v="8"/>
    <s v="OBRAS"/>
    <x v="0"/>
    <s v="Proyectos de expansión y refuerzo en el Sistema Nacional de Distribución"/>
    <x v="0"/>
    <x v="0"/>
    <x v="0"/>
    <s v="PICHINCHA"/>
    <x v="142"/>
    <n v="7"/>
    <x v="0"/>
    <s v="BID2-RSND-EEQ-DI-OB-005"/>
    <s v="REFORZAMIENTO DE REDES DE MEDIO Y BAJO VOLTAJE CON REPOTENCIACION DE TRANSFORMADORES ACOMETIDAS Y MEDIDORES PRIMARIO POMASQUI 57 G"/>
    <s v="Primario 57G"/>
    <s v="LPN"/>
    <s v="ex-post"/>
    <s v="EJECUTADO BID"/>
    <s v="SG 065-2016"/>
    <s v="ALMAROSELEC S.A."/>
    <s v="ECUATORIANA"/>
    <s v="PERSONA JURÍDICA"/>
    <s v="1792378184001"/>
    <s v="DATO PENDIENTE "/>
    <s v="DATO PENDIENTE "/>
    <s v="DATO PENDIENTE "/>
    <s v="DATO PENDIENTE "/>
    <m/>
    <n v="306452.99"/>
    <n v="0"/>
    <n v="306452.99"/>
    <n v="0"/>
    <n v="306452.99"/>
    <n v="0.12"/>
    <n v="36774.358799999995"/>
    <n v="0"/>
    <n v="343227.34880000004"/>
    <n v="301289.31"/>
    <n v="5163.679999999993"/>
    <m/>
    <m/>
    <n v="322191.93"/>
    <m/>
    <n v="306452.99"/>
    <m/>
    <m/>
    <m/>
    <m/>
    <m/>
    <m/>
    <m/>
    <m/>
    <m/>
    <m/>
    <m/>
    <m/>
    <m/>
    <m/>
    <n v="0"/>
    <n v="0"/>
    <s v="DDL, IAO 21.1."/>
    <s v="NO APLICA"/>
    <s v="NO APLICA"/>
    <s v="NO APLICA"/>
    <s v="NO APLICA"/>
    <s v="NO APLICA"/>
    <d v="2015-11-11T00:00:00"/>
    <d v="2015-11-26T00:00:00"/>
    <d v="2015-12-03T00:00:00"/>
    <d v="2015-12-11T00:00:00"/>
    <s v="NO APLICA"/>
    <d v="2015-12-30T00:00:00"/>
    <d v="2016-01-07T00:00:00"/>
    <s v="NO APLICA"/>
    <s v="NO APLICA"/>
    <s v="NO APLICA"/>
    <s v="NO APLICA"/>
    <s v="NO APLICA"/>
    <d v="2016-01-15T00:00:00"/>
    <d v="2016-02-23T00:00:00"/>
    <s v="NO APLICA"/>
    <s v="NO APLICA"/>
    <s v="NO APLICA"/>
    <m/>
    <s v="ü"/>
    <m/>
    <m/>
    <m/>
    <m/>
    <m/>
    <m/>
    <m/>
    <m/>
    <m/>
    <m/>
    <m/>
    <s v="ü"/>
    <s v="NO APLICA"/>
    <m/>
    <m/>
    <d v="2016-03-17T00:00:00"/>
    <n v="153226.49"/>
    <s v="Pago 2/5 - Planilla 1 9,09%"/>
    <d v="2016-10-26T00:00:00"/>
    <n v="27862.59"/>
    <s v="Pago 3/5 - Planilla  2  18,08%"/>
    <d v="2017-01-06T00:00:00"/>
    <n v="55404.434000000001"/>
    <s v="Pago 4/5 - Planilla  2    18,08%"/>
    <d v="2017-04-28T00:00:00"/>
    <n v="36855.69"/>
    <m/>
    <m/>
    <m/>
    <m/>
    <m/>
    <m/>
    <m/>
    <m/>
    <m/>
    <m/>
    <m/>
    <m/>
    <m/>
    <m/>
    <m/>
    <m/>
    <m/>
    <m/>
    <n v="273349.20400000003"/>
    <m/>
    <m/>
    <m/>
    <m/>
    <m/>
    <m/>
    <m/>
    <n v="365"/>
    <s v="DESDE LA NOTIFICACIÓN DE LA ENTREGA DEL ANTICIPO"/>
    <d v="2016-03-18T00:00:00"/>
    <d v="2017-03-18T00:00:00"/>
    <m/>
    <m/>
    <m/>
    <m/>
    <m/>
    <m/>
    <m/>
    <m/>
    <m/>
    <m/>
    <m/>
    <m/>
    <m/>
    <m/>
    <m/>
    <m/>
    <m/>
    <m/>
    <m/>
    <m/>
    <m/>
    <m/>
    <m/>
    <m/>
    <m/>
    <m/>
    <m/>
    <m/>
    <m/>
    <m/>
    <m/>
    <m/>
    <n v="0.2"/>
    <n v="0.2"/>
    <n v="0.2"/>
    <n v="0.5"/>
    <n v="0.5"/>
    <n v="0.75"/>
    <n v="0.75"/>
    <n v="0.75"/>
    <n v="0.88500000000000001"/>
    <n v="0.88500000000000001"/>
    <n v="0.88500000000000001"/>
    <n v="0.97"/>
    <n v="0.97"/>
    <n v="1"/>
    <n v="1"/>
    <n v="1"/>
    <n v="1"/>
    <n v="1"/>
    <n v="1"/>
    <n v="1"/>
    <n v="1"/>
    <n v="1"/>
    <n v="1"/>
    <n v="1"/>
    <x v="0"/>
    <n v="1"/>
    <n v="1"/>
    <n v="1"/>
    <x v="0"/>
    <s v="no"/>
    <s v="si"/>
    <s v="si"/>
    <s v="si"/>
    <s v="si"/>
    <s v="si"/>
    <s v="si"/>
    <x v="0"/>
    <s v="si"/>
    <s v="si"/>
    <s v="si"/>
    <m/>
    <m/>
    <m/>
    <m/>
    <m/>
    <m/>
    <m/>
    <m/>
    <m/>
    <m/>
    <s v="REFORMA "/>
    <m/>
    <m/>
    <m/>
  </r>
  <r>
    <x v="8"/>
    <s v="OBRAS"/>
    <x v="0"/>
    <s v="Proyectos de expansión y refuerzo en el Sistema Nacional de Distribución"/>
    <x v="0"/>
    <x v="0"/>
    <x v="0"/>
    <s v="PICHINCHA"/>
    <x v="143"/>
    <n v="8"/>
    <x v="0"/>
    <s v="BID2-RSND-EEQ-DI-OB-005"/>
    <s v="REFORZAMIENTO DE REDES DE MEDIO Y BAJO VOLTAJE CON REPOTENCIACION DE TRANSFORMADORES ACOMETIDAS Y MEDIDORES PRIMARIO CONOCOTO 23C"/>
    <s v="Primario 23 C"/>
    <m/>
    <s v="ex-post"/>
    <s v="EJECUTADO EE"/>
    <m/>
    <m/>
    <m/>
    <m/>
    <m/>
    <m/>
    <m/>
    <m/>
    <m/>
    <m/>
    <n v="0"/>
    <n v="0"/>
    <m/>
    <n v="0"/>
    <n v="0"/>
    <n v="0.12"/>
    <n v="0"/>
    <n v="0"/>
    <n v="0"/>
    <m/>
    <m/>
    <m/>
    <m/>
    <m/>
    <m/>
    <m/>
    <m/>
    <m/>
    <m/>
    <m/>
    <m/>
    <m/>
    <m/>
    <m/>
    <m/>
    <m/>
    <m/>
    <m/>
    <m/>
    <m/>
    <m/>
    <n v="0"/>
    <m/>
    <m/>
    <s v="NO APLICA"/>
    <s v="NO APLICA"/>
    <s v="NO APLICA"/>
    <s v="NO APLICA"/>
    <m/>
    <m/>
    <m/>
    <m/>
    <m/>
    <m/>
    <m/>
    <s v="NO APLICA"/>
    <s v="NO APLICA"/>
    <m/>
    <m/>
    <m/>
    <m/>
    <m/>
    <m/>
    <m/>
    <m/>
    <m/>
    <m/>
    <m/>
    <m/>
    <m/>
    <m/>
    <m/>
    <m/>
    <m/>
    <m/>
    <m/>
    <m/>
    <m/>
    <m/>
    <m/>
    <m/>
    <m/>
    <m/>
    <m/>
    <m/>
    <m/>
    <m/>
    <m/>
    <m/>
    <m/>
    <m/>
    <m/>
    <m/>
    <m/>
    <m/>
    <m/>
    <m/>
    <m/>
    <m/>
    <m/>
    <m/>
    <m/>
    <m/>
    <m/>
    <m/>
    <m/>
    <m/>
    <m/>
    <m/>
    <m/>
    <m/>
    <n v="0"/>
    <m/>
    <m/>
    <m/>
    <m/>
    <m/>
    <m/>
    <m/>
    <m/>
    <m/>
    <m/>
    <m/>
    <m/>
    <m/>
    <m/>
    <m/>
    <m/>
    <m/>
    <m/>
    <m/>
    <m/>
    <m/>
    <m/>
    <m/>
    <m/>
    <m/>
    <m/>
    <m/>
    <m/>
    <m/>
    <m/>
    <m/>
    <m/>
    <m/>
    <m/>
    <m/>
    <m/>
    <m/>
    <m/>
    <m/>
    <m/>
    <m/>
    <m/>
    <m/>
    <m/>
    <m/>
    <m/>
    <m/>
    <m/>
    <n v="1"/>
    <n v="1"/>
    <n v="1"/>
    <n v="0"/>
    <n v="0"/>
    <n v="0"/>
    <n v="0.4"/>
    <n v="0.4"/>
    <n v="1"/>
    <n v="1"/>
    <n v="1"/>
    <n v="1"/>
    <n v="1"/>
    <n v="1"/>
    <n v="1"/>
    <n v="1"/>
    <n v="1"/>
    <n v="1"/>
    <n v="1"/>
    <x v="0"/>
    <n v="1"/>
    <n v="1"/>
    <n v="1"/>
    <x v="0"/>
    <s v="no"/>
    <s v="no"/>
    <s v="no"/>
    <s v="no"/>
    <s v="no"/>
    <s v="no"/>
    <s v="no"/>
    <x v="1"/>
    <s v="no"/>
    <s v="no"/>
    <s v="no"/>
    <m/>
    <m/>
    <m/>
    <m/>
    <m/>
    <m/>
    <m/>
    <m/>
    <m/>
    <m/>
    <s v="ESTE PROCESO SE EFECTUA CON METODOLOGÍA SERCOP, POR CUANTO SE FINANCIA CON RECURSOS PROPIOS DE EEQ. POR PUBLICARSE"/>
    <m/>
    <m/>
    <m/>
  </r>
  <r>
    <x v="9"/>
    <s v="OBRAS"/>
    <x v="0"/>
    <s v=" Proyectos de expansión y refuerzo en el Sistema Nacional de Distribución"/>
    <x v="3"/>
    <x v="3"/>
    <x v="0"/>
    <s v="CHIMBORAZO"/>
    <x v="144"/>
    <n v="1"/>
    <x v="0"/>
    <s v="BID2-RSND-EERSA-ST-OB-001"/>
    <s v=" REPOTENCIACIÓN DE LA S/E GATAZO"/>
    <m/>
    <s v="LPN"/>
    <s v="ex-post"/>
    <s v="EJECUTADO BID"/>
    <s v="BID2-RSND-EERSA-ST-OB-001"/>
    <s v="INDUSTRIAL COMERCIAL TCM S. A."/>
    <s v="ECUATORIANA"/>
    <s v="PERSONA JURÍDICA"/>
    <s v="0 990790345001"/>
    <m/>
    <m/>
    <m/>
    <m/>
    <m/>
    <n v="1109544"/>
    <n v="0"/>
    <n v="1109544"/>
    <n v="0"/>
    <n v="1109544"/>
    <n v="0.12"/>
    <n v="133145.28"/>
    <n v="0"/>
    <n v="1242689.28"/>
    <n v="1109543.9999999998"/>
    <n v="0"/>
    <m/>
    <m/>
    <n v="1620058"/>
    <m/>
    <n v="1109544"/>
    <m/>
    <m/>
    <m/>
    <m/>
    <m/>
    <m/>
    <m/>
    <m/>
    <m/>
    <m/>
    <m/>
    <m/>
    <m/>
    <m/>
    <n v="0"/>
    <n v="0"/>
    <s v="DDL, IAO 21.1."/>
    <s v="NO APLICA"/>
    <s v="NO APLICA"/>
    <s v="NO APLICA"/>
    <s v="NO APLICA"/>
    <s v="NO APLICA"/>
    <d v="2015-09-17T00:00:00"/>
    <d v="2015-10-16T00:00:00"/>
    <d v="2015-10-22T00:00:00"/>
    <d v="2015-10-27T00:00:00"/>
    <s v="NO APLICA"/>
    <d v="2015-11-11T00:00:00"/>
    <d v="2015-11-18T00:00:00"/>
    <s v="NO APLICA"/>
    <s v="NO APLICA"/>
    <s v="NO APLICA"/>
    <s v="DATO PENDIENTE"/>
    <s v="NO APLICA"/>
    <s v="DATO PENDIENTE"/>
    <d v="2015-11-30T00:00:00"/>
    <s v="NO APLICA"/>
    <s v="NO APLICA"/>
    <s v="NO APLICA"/>
    <m/>
    <s v="ü"/>
    <m/>
    <m/>
    <m/>
    <m/>
    <m/>
    <m/>
    <m/>
    <m/>
    <m/>
    <m/>
    <m/>
    <s v="ü"/>
    <s v="NO APLICA"/>
    <s v="SI"/>
    <n v="0.05"/>
    <d v="2015-12-09T00:00:00"/>
    <n v="538350.5"/>
    <s v="Pago 2/4 - AVANCE DE OBRA"/>
    <d v="2016-12-22T00:00:00"/>
    <n v="430680.39999999991"/>
    <m/>
    <m/>
    <m/>
    <m/>
    <m/>
    <m/>
    <m/>
    <m/>
    <m/>
    <m/>
    <m/>
    <m/>
    <m/>
    <m/>
    <m/>
    <m/>
    <m/>
    <m/>
    <m/>
    <m/>
    <m/>
    <m/>
    <m/>
    <m/>
    <n v="969030.89999999991"/>
    <m/>
    <m/>
    <m/>
    <m/>
    <m/>
    <m/>
    <m/>
    <n v="210"/>
    <s v="DESDE LA NOTIFICACIÓN DE LA ENTREGA DEL ANTICIPO"/>
    <d v="2015-12-10T00:00:00"/>
    <d v="2016-07-07T00:00:00"/>
    <m/>
    <m/>
    <m/>
    <m/>
    <m/>
    <m/>
    <m/>
    <m/>
    <m/>
    <m/>
    <m/>
    <m/>
    <m/>
    <m/>
    <m/>
    <m/>
    <m/>
    <m/>
    <m/>
    <m/>
    <m/>
    <m/>
    <m/>
    <n v="2.5000000000000001E-2"/>
    <n v="0.05"/>
    <n v="7.4999999999999997E-2"/>
    <n v="0.1"/>
    <n v="0.2"/>
    <n v="0.3"/>
    <n v="0.4"/>
    <n v="0.5"/>
    <n v="0.6"/>
    <n v="0.7"/>
    <n v="0.8"/>
    <n v="0.9"/>
    <n v="0.95"/>
    <n v="0.95"/>
    <n v="0.95"/>
    <n v="0.95"/>
    <n v="0.95"/>
    <n v="1"/>
    <n v="1"/>
    <n v="1"/>
    <n v="1"/>
    <n v="1"/>
    <n v="1"/>
    <n v="1"/>
    <n v="1"/>
    <n v="1"/>
    <n v="1"/>
    <n v="1"/>
    <n v="1"/>
    <n v="1"/>
    <n v="1"/>
    <n v="1"/>
    <n v="1"/>
    <x v="0"/>
    <n v="1"/>
    <n v="1"/>
    <n v="1"/>
    <x v="0"/>
    <s v="si"/>
    <s v="si"/>
    <s v="si"/>
    <s v="si"/>
    <s v="si"/>
    <s v="si"/>
    <s v="si"/>
    <x v="0"/>
    <s v="si"/>
    <s v="si"/>
    <s v="si"/>
    <m/>
    <m/>
    <m/>
    <m/>
    <m/>
    <m/>
    <m/>
    <m/>
    <m/>
    <m/>
    <m/>
    <m/>
    <m/>
    <m/>
  </r>
  <r>
    <x v="9"/>
    <s v="OBRAS"/>
    <x v="0"/>
    <s v=" Proyectos de expansión y refuerzo en el Sistema Nacional de Distribución"/>
    <x v="3"/>
    <x v="3"/>
    <x v="1"/>
    <s v="CHIMBORAZO"/>
    <x v="145"/>
    <n v="2"/>
    <x v="0"/>
    <s v="BID2-RSND-EERSA-ST-OB-002"/>
    <s v="REPOSICIÓN DE INTERRUPTORES DE 69 KV PARA LA SUBESTACIÓN 3 Y 8"/>
    <m/>
    <s v="LPN"/>
    <s v="ex-post"/>
    <s v="EJECUTADO BID"/>
    <s v="BID2-RSND-EERSA-ST-OB-002"/>
    <s v="COFEKA CIA. LTDA.  "/>
    <s v="ECUATORIANA"/>
    <s v="PERSONA JURÍDICA"/>
    <s v="0 990600147001"/>
    <m/>
    <m/>
    <m/>
    <m/>
    <m/>
    <n v="235400"/>
    <n v="0"/>
    <n v="235400"/>
    <n v="0"/>
    <n v="235400"/>
    <n v="0.12"/>
    <n v="28248"/>
    <n v="0"/>
    <n v="263648"/>
    <n v="235400"/>
    <n v="0"/>
    <m/>
    <m/>
    <n v="357142.86"/>
    <m/>
    <n v="235400"/>
    <m/>
    <m/>
    <m/>
    <m/>
    <m/>
    <m/>
    <m/>
    <m/>
    <m/>
    <m/>
    <m/>
    <m/>
    <m/>
    <m/>
    <n v="0"/>
    <n v="0"/>
    <s v="DDL, IAO 21.1."/>
    <s v="NO APLICA"/>
    <s v="NO APLICA"/>
    <s v="NO APLICA"/>
    <s v="NO APLICA"/>
    <s v="NO APLICA"/>
    <d v="2015-08-19T00:00:00"/>
    <d v="2015-09-18T00:00:00"/>
    <d v="2015-09-23T00:00:00"/>
    <d v="2015-09-28T00:00:00"/>
    <s v="NO APLICA"/>
    <d v="2015-10-13T00:00:00"/>
    <d v="2015-10-20T00:00:00"/>
    <s v="NO APLICA"/>
    <s v="NO APLICA"/>
    <s v="NO APLICA"/>
    <s v="DATO PENDIENTE"/>
    <s v="NO APLICA"/>
    <d v="2015-10-22T00:00:00"/>
    <d v="2015-11-13T00:00:00"/>
    <s v="NO APLICA"/>
    <s v="NO APLICA"/>
    <s v="NO APLICA"/>
    <m/>
    <s v="ü"/>
    <m/>
    <m/>
    <m/>
    <m/>
    <m/>
    <m/>
    <m/>
    <m/>
    <m/>
    <m/>
    <m/>
    <s v="ü"/>
    <s v="NO APLICA"/>
    <s v="SI"/>
    <n v="0.05"/>
    <d v="2016-06-17T00:00:00"/>
    <n v="117700"/>
    <s v="Pago 2/2 - Pago Final 50%"/>
    <d v="2016-12-13T00:00:00"/>
    <n v="117700"/>
    <m/>
    <m/>
    <m/>
    <m/>
    <m/>
    <m/>
    <m/>
    <m/>
    <m/>
    <m/>
    <m/>
    <m/>
    <m/>
    <m/>
    <m/>
    <m/>
    <m/>
    <m/>
    <m/>
    <m/>
    <m/>
    <m/>
    <m/>
    <m/>
    <n v="235400"/>
    <m/>
    <m/>
    <m/>
    <m/>
    <m/>
    <m/>
    <m/>
    <n v="210"/>
    <s v="DESDE LA NOTIFICACIÓN DE LA ENTREGA DEL ANTICIPO"/>
    <d v="2016-06-18T00:00:00"/>
    <d v="2017-01-14T00:00:00"/>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m/>
    <m/>
    <m/>
    <m/>
  </r>
  <r>
    <x v="9"/>
    <s v="OBRAS"/>
    <x v="0"/>
    <s v=" Proyectos de expansión y refuerzo en el Sistema Nacional de Distribución"/>
    <x v="0"/>
    <x v="0"/>
    <x v="0"/>
    <s v="CHIMBORAZO"/>
    <x v="146"/>
    <m/>
    <x v="0"/>
    <s v="BID2-RSND-EERSA-DI-OB-003"/>
    <s v="REPOTENCIACIÓN DE LÍNEAS Y CENTROS DE TRANSFORMACIÓN COMUNIDAD GUANTUL GRANDE - FLORES"/>
    <m/>
    <s v="LPN"/>
    <s v="ex-post"/>
    <s v="EN PROCESO CON PLIEGOS Y CERTIFICACIÓN"/>
    <m/>
    <m/>
    <m/>
    <m/>
    <m/>
    <m/>
    <m/>
    <m/>
    <m/>
    <m/>
    <n v="133340.13"/>
    <m/>
    <n v="133340.13"/>
    <n v="54462.869999999995"/>
    <n v="187803"/>
    <n v="0.12"/>
    <n v="16000.8156"/>
    <n v="6535.5443999999989"/>
    <n v="210339.36000000002"/>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x v="1"/>
    <n v="0"/>
    <n v="0"/>
    <n v="0"/>
    <x v="1"/>
    <m/>
    <m/>
    <m/>
    <m/>
    <m/>
    <m/>
    <m/>
    <x v="1"/>
    <s v="no"/>
    <s v="no"/>
    <s v="no"/>
    <m/>
    <m/>
    <m/>
    <m/>
    <m/>
    <m/>
    <m/>
    <m/>
    <m/>
    <m/>
    <m/>
    <m/>
    <m/>
    <m/>
  </r>
  <r>
    <x v="9"/>
    <s v="OBRAS"/>
    <x v="0"/>
    <s v=" Proyectos de expansión y refuerzo en el Sistema Nacional de Distribución"/>
    <x v="0"/>
    <x v="0"/>
    <x v="0"/>
    <s v="CHIMBORAZO"/>
    <x v="147"/>
    <m/>
    <x v="0"/>
    <s v="BID2-RSND-EERSA-DI-OB-004"/>
    <s v="REPOTENCIACIÓN DE REDES DE DISTRIBUCIÓN COMUNIDAD TAMAUTE"/>
    <m/>
    <s v="LPN"/>
    <s v="ex-post"/>
    <s v="EN PROCESO CON PLIEGOS Y CERTIFICACIÓN"/>
    <m/>
    <m/>
    <m/>
    <m/>
    <m/>
    <m/>
    <m/>
    <m/>
    <m/>
    <m/>
    <n v="83870.17"/>
    <m/>
    <n v="83870.17"/>
    <n v="34256.829999999994"/>
    <n v="118127"/>
    <n v="0.12"/>
    <n v="10064.420399999999"/>
    <n v="4110.8195999999989"/>
    <n v="132302.24000000002"/>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x v="1"/>
    <n v="0"/>
    <n v="0"/>
    <n v="0"/>
    <x v="1"/>
    <m/>
    <m/>
    <m/>
    <m/>
    <m/>
    <m/>
    <m/>
    <x v="1"/>
    <s v="no"/>
    <s v="no"/>
    <s v="no"/>
    <m/>
    <m/>
    <m/>
    <m/>
    <m/>
    <m/>
    <m/>
    <m/>
    <m/>
    <m/>
    <m/>
    <m/>
    <m/>
    <m/>
  </r>
  <r>
    <x v="9"/>
    <s v="OBRAS"/>
    <x v="0"/>
    <s v=" Proyectos de expansión y refuerzo en el Sistema Nacional de Distribución"/>
    <x v="0"/>
    <x v="0"/>
    <x v="0"/>
    <s v="CHIMBORAZO"/>
    <x v="148"/>
    <m/>
    <x v="0"/>
    <s v="BID2-RSND-EERSA-DI-OB-005"/>
    <s v="REPOTENCIACIÓN DE REDES DE DISTRIBUCIÓN COMUNIDAD PUNGAL SAN PEDRO"/>
    <m/>
    <s v="LPN"/>
    <s v="ex-post"/>
    <s v="EN PROCESO CON PLIEGOS Y CERTIFICACIÓN"/>
    <m/>
    <m/>
    <m/>
    <m/>
    <m/>
    <m/>
    <m/>
    <m/>
    <m/>
    <m/>
    <n v="125446.35"/>
    <m/>
    <n v="125446.34999999999"/>
    <n v="51238.649999999994"/>
    <n v="176685"/>
    <n v="0.12"/>
    <n v="15053.561999999998"/>
    <n v="6148.637999999999"/>
    <n v="197887.2"/>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x v="1"/>
    <n v="0"/>
    <n v="0"/>
    <n v="0"/>
    <x v="1"/>
    <m/>
    <m/>
    <m/>
    <m/>
    <m/>
    <m/>
    <m/>
    <x v="1"/>
    <s v="no"/>
    <s v="no"/>
    <s v="no"/>
    <m/>
    <m/>
    <m/>
    <m/>
    <m/>
    <m/>
    <m/>
    <m/>
    <m/>
    <m/>
    <m/>
    <m/>
    <m/>
    <m/>
  </r>
  <r>
    <x v="9"/>
    <s v="OBRAS"/>
    <x v="0"/>
    <s v=" Proyectos de expansión y refuerzo en el Sistema Nacional de Distribución"/>
    <x v="0"/>
    <x v="0"/>
    <x v="0"/>
    <s v="CHIMBORAZO"/>
    <x v="149"/>
    <m/>
    <x v="0"/>
    <s v="BID2-RSND-EERSA-DI-OB-006"/>
    <s v="REPOTENCIACIÓN DE REDES COMUNIDAD PUNGAL SANTA MARIANITA, LA MATRIZ"/>
    <m/>
    <s v="LPN"/>
    <s v="ex-post"/>
    <s v="EN PROCESO CON PLIEGOS Y CERTIFICACIÓN"/>
    <m/>
    <m/>
    <m/>
    <m/>
    <m/>
    <m/>
    <m/>
    <m/>
    <m/>
    <m/>
    <n v="167857.35"/>
    <m/>
    <n v="167857.35"/>
    <n v="64855.649999999994"/>
    <n v="232713"/>
    <n v="0.12"/>
    <n v="20142.882000000001"/>
    <n v="7782.677999999999"/>
    <n v="260638.56000000003"/>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x v="1"/>
    <n v="0"/>
    <n v="0"/>
    <n v="0"/>
    <x v="1"/>
    <m/>
    <m/>
    <m/>
    <m/>
    <m/>
    <m/>
    <m/>
    <x v="1"/>
    <s v="no"/>
    <s v="no"/>
    <s v="no"/>
    <m/>
    <m/>
    <m/>
    <m/>
    <m/>
    <m/>
    <m/>
    <m/>
    <m/>
    <m/>
    <m/>
    <m/>
    <m/>
    <m/>
  </r>
  <r>
    <x v="10"/>
    <s v="OBRAS"/>
    <x v="0"/>
    <s v="Proyectos de expansión y refuerzo en el Sistema Nacional de Distribución"/>
    <x v="3"/>
    <x v="3"/>
    <x v="0"/>
    <s v="LOJA"/>
    <x v="150"/>
    <n v="1"/>
    <x v="0"/>
    <s v="BID2-RSND-EERSSA-ST-OB-001"/>
    <s v="LÍNEA DE SUBTRANSMISIÓN SE VELACRUZ - SE CATACOCHA"/>
    <m/>
    <s v="LPN"/>
    <s v="ex-post"/>
    <s v="EJECUTADO BID"/>
    <s v="BID2-RSND-EERSSA-ST-OB-001"/>
    <s v="ING. LUIS ALEJANDRO REYES VELEZ"/>
    <s v="ECUATORIANA"/>
    <s v="PERSONA NATURAL"/>
    <n v="1101423075001"/>
    <s v="ING. DAVID MALDONADO"/>
    <m/>
    <s v="ING. RAMIRO MALDONADO "/>
    <m/>
    <m/>
    <n v="170000"/>
    <n v="0"/>
    <n v="170000"/>
    <n v="0"/>
    <n v="170000"/>
    <n v="0.12"/>
    <n v="20400"/>
    <n v="0"/>
    <n v="190400.00000000003"/>
    <n v="169894.21"/>
    <n v="105.79000000000815"/>
    <m/>
    <m/>
    <n v="170000"/>
    <m/>
    <n v="169894.3"/>
    <m/>
    <m/>
    <m/>
    <m/>
    <m/>
    <m/>
    <m/>
    <m/>
    <m/>
    <m/>
    <m/>
    <m/>
    <m/>
    <m/>
    <n v="105.70000000001164"/>
    <n v="105.70000000001164"/>
    <s v="DDL, IAO 21.1."/>
    <s v="NO APLICA"/>
    <s v="NO APLICA"/>
    <s v="NO APLICA"/>
    <s v="NO APLICA"/>
    <s v="NO APLICA"/>
    <d v="2015-07-15T00:00:00"/>
    <d v="2015-07-27T00:00:00"/>
    <d v="2015-07-30T00:00:00"/>
    <d v="2015-08-18T00:00:00"/>
    <s v="NO APLICA"/>
    <d v="2015-09-19T00:00:00"/>
    <d v="2015-09-12T00:00:00"/>
    <s v="NO APLICA"/>
    <s v="NO APLICA"/>
    <s v="NO APLICA"/>
    <d v="2015-09-11T00:00:00"/>
    <s v="NO APLICA"/>
    <d v="2015-10-14T00:00:00"/>
    <d v="2015-11-27T00:00:00"/>
    <s v="NO APLICA"/>
    <s v="NO APLICA"/>
    <s v="NO APLICA"/>
    <m/>
    <s v="ü"/>
    <m/>
    <m/>
    <m/>
    <m/>
    <m/>
    <m/>
    <m/>
    <m/>
    <s v="ü"/>
    <s v="NO APLICA"/>
    <m/>
    <s v="ü"/>
    <s v="NO APLICA"/>
    <m/>
    <m/>
    <d v="2016-11-30T00:00:00"/>
    <n v="84947.15"/>
    <s v="Pago 2/4- anticipo 15%"/>
    <d v="2017-03-08T00:00:00"/>
    <n v="25484.149999999998"/>
    <s v="Pago 3/4- anticipo 15%"/>
    <d v="2017-03-16T00:00:00"/>
    <n v="25484.15"/>
    <s v="Pago 4/4- anticipo 15%"/>
    <d v="2017-04-20T00:00:00"/>
    <n v="17167.690000000002"/>
    <m/>
    <m/>
    <m/>
    <m/>
    <m/>
    <m/>
    <m/>
    <m/>
    <m/>
    <m/>
    <m/>
    <m/>
    <m/>
    <m/>
    <m/>
    <m/>
    <m/>
    <m/>
    <n v="153083.13999999998"/>
    <m/>
    <m/>
    <m/>
    <m/>
    <m/>
    <m/>
    <m/>
    <n v="120"/>
    <s v="DESDE LA NOTIFICACIÓN DE LA ENTREGA DEL ANTICIPO"/>
    <m/>
    <m/>
    <m/>
    <m/>
    <m/>
    <m/>
    <m/>
    <m/>
    <m/>
    <m/>
    <m/>
    <m/>
    <m/>
    <m/>
    <m/>
    <m/>
    <m/>
    <m/>
    <m/>
    <m/>
    <m/>
    <m/>
    <m/>
    <m/>
    <m/>
    <m/>
    <m/>
    <m/>
    <m/>
    <m/>
    <m/>
    <m/>
    <m/>
    <m/>
    <m/>
    <m/>
    <m/>
    <n v="0.65"/>
    <n v="0.65"/>
    <n v="0.93"/>
    <n v="0.93"/>
    <n v="1"/>
    <n v="1"/>
    <n v="1"/>
    <n v="1"/>
    <n v="1"/>
    <n v="1"/>
    <n v="1"/>
    <n v="1"/>
    <n v="1"/>
    <n v="1"/>
    <n v="1"/>
    <n v="1"/>
    <n v="1"/>
    <n v="1"/>
    <n v="1"/>
    <n v="1"/>
    <n v="1"/>
    <x v="0"/>
    <n v="1"/>
    <n v="1"/>
    <n v="1"/>
    <x v="0"/>
    <s v="si"/>
    <s v="si"/>
    <s v="si"/>
    <s v="si"/>
    <s v="si"/>
    <s v="si"/>
    <s v="si"/>
    <x v="0"/>
    <s v="si"/>
    <s v="si"/>
    <s v="si"/>
    <m/>
    <m/>
    <m/>
    <m/>
    <m/>
    <m/>
    <m/>
    <m/>
    <m/>
    <m/>
    <s v="PROBLEMA DE EJECUCIÓN DE ESTA OBRA, YA SE DIO EL ANTICIPO PERO NO SE REGISTRAN AVANCES DE EJECUCIÓN "/>
    <m/>
    <m/>
    <m/>
  </r>
  <r>
    <x v="10"/>
    <s v="OBRAS"/>
    <x v="0"/>
    <s v="Proyectos de expansión y refuerzo en el Sistema Nacional de Distribución"/>
    <x v="0"/>
    <x v="0"/>
    <x v="0"/>
    <s v="LOJA"/>
    <x v="151"/>
    <n v="2"/>
    <x v="0"/>
    <s v="BID2-RSND-EERSSA-DI-OB-003"/>
    <s v="REFORZAMIENTO DE ALIMENTADORES PRIMARIOS CON INSTALACION DE RECONECTADORES"/>
    <m/>
    <s v="LPN"/>
    <s v="ex-post"/>
    <s v="EJECUTADO BID"/>
    <s v="BID2-RSND-EERSSA-DI-OB-003"/>
    <s v="ING. RÓMULO ANDRADE ROJAS"/>
    <s v="ECUATORIANA"/>
    <s v="PERSONA NATURAL"/>
    <s v="0 102969136001"/>
    <s v="ING. EDUARDO REYES Q."/>
    <m/>
    <s v="ING. NELSON SANMARTÍN G."/>
    <m/>
    <m/>
    <n v="200000"/>
    <n v="0"/>
    <n v="200000"/>
    <n v="0"/>
    <n v="200000"/>
    <n v="0.12"/>
    <n v="24000"/>
    <n v="0"/>
    <n v="224000.00000000003"/>
    <n v="199784.38999999998"/>
    <n v="215.61000000001513"/>
    <m/>
    <m/>
    <n v="200000"/>
    <m/>
    <n v="188074.04"/>
    <m/>
    <m/>
    <m/>
    <m/>
    <m/>
    <m/>
    <m/>
    <m/>
    <m/>
    <m/>
    <m/>
    <m/>
    <m/>
    <m/>
    <n v="11925.959999999992"/>
    <n v="11925.959999999992"/>
    <s v="DDL, IAO 21.1."/>
    <s v="NO APLICA"/>
    <s v="NO APLICA"/>
    <s v="NO APLICA"/>
    <s v="NO APLICA"/>
    <s v="NO APLICA"/>
    <d v="2015-07-15T00:00:00"/>
    <d v="2015-07-27T00:00:00"/>
    <d v="2015-07-30T00:00:00"/>
    <d v="2015-08-18T00:00:00"/>
    <s v="NO APLICA"/>
    <d v="2015-09-11T00:00:00"/>
    <d v="2015-09-12T00:00:00"/>
    <s v="NO APLICA"/>
    <s v="NO APLICA"/>
    <s v="NO APLICA"/>
    <d v="2015-10-08T00:00:00"/>
    <s v="NO APLICA"/>
    <d v="2015-10-19T00:00:00"/>
    <d v="2015-11-24T00:00:00"/>
    <s v="NO APLICA"/>
    <s v="NO APLICA"/>
    <s v="NO APLICA"/>
    <m/>
    <s v="ü"/>
    <m/>
    <m/>
    <m/>
    <m/>
    <m/>
    <m/>
    <m/>
    <m/>
    <s v="ü"/>
    <s v="NO APLICA"/>
    <m/>
    <s v="ü"/>
    <s v="NO APLICA"/>
    <m/>
    <m/>
    <d v="2016-06-24T00:00:00"/>
    <n v="94037.02"/>
    <s v="Pago 2/4 - avance 15%"/>
    <d v="2016-06-24T00:00:00"/>
    <n v="28211.109999999997"/>
    <s v="Pago 3/4 - anticipo 15%"/>
    <d v="2017-01-09T00:00:00"/>
    <n v="28211.11"/>
    <s v="Pago 4/4 - anticipo 15%"/>
    <d v="2017-01-10T00:00:00"/>
    <n v="18806.410000000003"/>
    <s v="Pago 5/5 - anticipo 10%"/>
    <d v="2017-03-24T00:00:00"/>
    <n v="30518.74"/>
    <m/>
    <m/>
    <m/>
    <m/>
    <m/>
    <m/>
    <m/>
    <m/>
    <m/>
    <m/>
    <m/>
    <m/>
    <m/>
    <m/>
    <m/>
    <n v="199784.38999999998"/>
    <m/>
    <m/>
    <m/>
    <m/>
    <m/>
    <m/>
    <m/>
    <n v="180"/>
    <s v="DESDE LA NOTIFICACIÓN DE LA ENTREGA DEL ANTICIPO"/>
    <d v="2016-06-25T00:00:00"/>
    <d v="2016-12-22T00:00:00"/>
    <m/>
    <m/>
    <m/>
    <m/>
    <m/>
    <m/>
    <m/>
    <m/>
    <m/>
    <m/>
    <m/>
    <m/>
    <m/>
    <m/>
    <m/>
    <m/>
    <m/>
    <m/>
    <m/>
    <m/>
    <m/>
    <m/>
    <m/>
    <m/>
    <m/>
    <m/>
    <m/>
    <m/>
    <m/>
    <n v="0.05"/>
    <n v="0.1"/>
    <n v="0.15"/>
    <n v="0.15"/>
    <n v="0.42"/>
    <n v="1"/>
    <n v="1"/>
    <n v="1"/>
    <n v="1"/>
    <n v="1"/>
    <n v="1"/>
    <n v="1"/>
    <n v="1"/>
    <n v="1"/>
    <n v="1"/>
    <n v="1"/>
    <n v="1"/>
    <n v="1"/>
    <n v="1"/>
    <n v="1"/>
    <n v="1"/>
    <n v="1"/>
    <n v="1"/>
    <n v="1"/>
    <n v="1"/>
    <n v="1"/>
    <n v="1"/>
    <x v="0"/>
    <n v="1"/>
    <n v="1"/>
    <n v="1"/>
    <x v="0"/>
    <s v="si"/>
    <s v="si"/>
    <s v="si"/>
    <s v="si"/>
    <s v="si"/>
    <s v="si"/>
    <s v="si"/>
    <x v="0"/>
    <s v="si"/>
    <s v="si"/>
    <s v="si"/>
    <m/>
    <m/>
    <m/>
    <m/>
    <m/>
    <m/>
    <m/>
    <m/>
    <m/>
    <m/>
    <s v="ESTE PROCESO ESTA PUBLICADO CON &quot;BID2-RSND-EERSSA-AU-OB-003&quot;, ESTO FUE OBSERVADO POR LA AUDITORIA FINANCIERTO DE E&amp;Y"/>
    <m/>
    <m/>
    <m/>
  </r>
  <r>
    <x v="10"/>
    <s v="OBRAS"/>
    <x v="0"/>
    <s v="Proyectos de expansión y refuerzo en el Sistema Nacional de Distribución"/>
    <x v="3"/>
    <x v="3"/>
    <x v="1"/>
    <s v="LOJA"/>
    <x v="152"/>
    <n v="3"/>
    <x v="0"/>
    <s v="BID2-RSND-EERSSA-ST-OB-002"/>
    <s v=" ADECUACIÓN DE LA POSICIÓN AMALUZA EN LA SE CARIAMANGA"/>
    <m/>
    <s v="LPN"/>
    <s v="ex-post"/>
    <s v="EJECUTADO BID"/>
    <s v="BID2-RSND-EERSSA-ST-OB-002"/>
    <s v="ING. MARCELO SANTILLAN FIALLO"/>
    <s v="ECUATORIANA"/>
    <s v="PERSONA NATURAL"/>
    <s v="0 990790345001"/>
    <s v="TNLGO. PATRICIO VARGAS"/>
    <s v="DATO PENDIENTE "/>
    <s v="ING. MARCOS VALAREZO"/>
    <s v="DATO PENDIENTE "/>
    <m/>
    <n v="208547.6"/>
    <n v="0"/>
    <n v="208547.6"/>
    <n v="0"/>
    <n v="208547.6"/>
    <n v="0.12"/>
    <n v="25025.712"/>
    <n v="0"/>
    <n v="233573.31200000003"/>
    <n v="203951.65999999997"/>
    <n v="4595.9400000000314"/>
    <m/>
    <m/>
    <n v="208547.6"/>
    <m/>
    <n v="206260.58"/>
    <m/>
    <m/>
    <m/>
    <m/>
    <m/>
    <m/>
    <m/>
    <m/>
    <m/>
    <m/>
    <m/>
    <m/>
    <m/>
    <m/>
    <n v="2287.0200000000186"/>
    <n v="2287.0200000000186"/>
    <s v="DDL, IAO 21.1."/>
    <s v="NO APLICA"/>
    <s v="NO APLICA"/>
    <s v="NO APLICA"/>
    <s v="NO APLICA"/>
    <s v="NO APLICA"/>
    <d v="2015-10-28T00:00:00"/>
    <d v="2015-11-06T00:00:00"/>
    <d v="2015-11-13T00:00:00"/>
    <d v="2015-11-27T00:00:00"/>
    <s v="NO APLICA"/>
    <d v="2015-12-16T00:00:00"/>
    <d v="2015-12-17T00:00:00"/>
    <s v="NO APLICA"/>
    <s v="NO APLICA"/>
    <s v="NO APLICA"/>
    <d v="2016-01-11T00:00:00"/>
    <s v="NO APLICA"/>
    <d v="2016-06-21T00:00:00"/>
    <d v="2016-06-21T00:00:00"/>
    <s v="NO APLICA"/>
    <s v="NO APLICA"/>
    <s v="NO APLICA"/>
    <m/>
    <s v="ü"/>
    <m/>
    <m/>
    <m/>
    <m/>
    <m/>
    <m/>
    <m/>
    <m/>
    <s v="ü"/>
    <s v="NO APLICA"/>
    <m/>
    <s v="ü"/>
    <s v="NO APLICA"/>
    <s v="SI"/>
    <n v="0.05"/>
    <d v="2016-07-27T00:00:00"/>
    <n v="103130.29"/>
    <m/>
    <m/>
    <m/>
    <m/>
    <m/>
    <m/>
    <m/>
    <m/>
    <m/>
    <m/>
    <m/>
    <m/>
    <m/>
    <m/>
    <m/>
    <m/>
    <m/>
    <m/>
    <m/>
    <m/>
    <m/>
    <m/>
    <m/>
    <m/>
    <m/>
    <m/>
    <m/>
    <n v="103130.29"/>
    <m/>
    <m/>
    <m/>
    <m/>
    <m/>
    <m/>
    <m/>
    <n v="240"/>
    <s v="DESDE LA NOTIFICACIÓN DE LA ENTREGA DEL ANTICIPO"/>
    <d v="2016-07-28T00:00:00"/>
    <d v="2017-03-25T00:00:00"/>
    <m/>
    <m/>
    <m/>
    <m/>
    <m/>
    <m/>
    <m/>
    <m/>
    <m/>
    <m/>
    <m/>
    <m/>
    <m/>
    <m/>
    <m/>
    <m/>
    <m/>
    <m/>
    <m/>
    <m/>
    <m/>
    <m/>
    <m/>
    <m/>
    <m/>
    <m/>
    <m/>
    <m/>
    <m/>
    <n v="0.05"/>
    <n v="0.1"/>
    <n v="0.15"/>
    <n v="0.15"/>
    <n v="0.2"/>
    <n v="0.27"/>
    <n v="0.28000000000000003"/>
    <n v="0.28999999999999998"/>
    <n v="0.48"/>
    <n v="0.48"/>
    <n v="1"/>
    <n v="1"/>
    <n v="1"/>
    <n v="1"/>
    <n v="1"/>
    <n v="1"/>
    <n v="1"/>
    <n v="1"/>
    <n v="1"/>
    <n v="1"/>
    <n v="1"/>
    <n v="1"/>
    <n v="1"/>
    <n v="1"/>
    <n v="1"/>
    <n v="1"/>
    <n v="1"/>
    <x v="0"/>
    <n v="1"/>
    <n v="1"/>
    <n v="1"/>
    <x v="0"/>
    <s v="si"/>
    <s v="si"/>
    <s v="si"/>
    <s v="si"/>
    <s v="si"/>
    <s v="si"/>
    <s v="si"/>
    <x v="0"/>
    <s v="si"/>
    <s v="si"/>
    <s v="si"/>
    <m/>
    <m/>
    <m/>
    <m/>
    <m/>
    <m/>
    <m/>
    <m/>
    <m/>
    <m/>
    <m/>
    <s v="OBSERVADO POR LA AUDITORIA DE E&amp;Y QUE SE REPITEN LOS NUMEROS DE LA RESOLUCIÓN DE ADJUDICACIÓN"/>
    <m/>
    <m/>
  </r>
  <r>
    <x v="10"/>
    <s v="OBRAS"/>
    <x v="0"/>
    <s v="Proyectos de expansión y refuerzo en el Sistema Nacional de Distribución"/>
    <x v="0"/>
    <x v="0"/>
    <x v="0"/>
    <s v="ZAMORA CHINCHIPE"/>
    <x v="153"/>
    <n v="4"/>
    <x v="0"/>
    <s v="BID2-RSND-EERSSA-DI-OB-004"/>
    <s v=" AMPLIACIÓN BARRAJE DE 22 KV DE LA S/E CUMBARATZA EN LA PROVINCIA DE LOJA ETAPA I"/>
    <m/>
    <s v="LPN"/>
    <s v="ex-post"/>
    <s v="EJECUTADO BID"/>
    <s v="BID2-RSND-EERSSA-DI-OB-004"/>
    <s v="COMPAÑÍA INDUSTRIAL Y COMERCIAL TCM S.A."/>
    <s v="ECUATORIANA"/>
    <s v="PERSONA JURÍDICA"/>
    <s v="0 990790345001"/>
    <s v="ING. MILTON BENITEZ"/>
    <s v="DATO PENDIENTE "/>
    <s v="ING. EDUARDO SAMANIEGO"/>
    <s v="DATO PENDIENTE "/>
    <m/>
    <n v="563783.6"/>
    <n v="0"/>
    <n v="563783.6"/>
    <n v="36131.849999999977"/>
    <n v="599915.44999999995"/>
    <n v="0.12"/>
    <n v="67654.031999999992"/>
    <n v="4335.8219999999974"/>
    <n v="671905.304"/>
    <n v="599915.44999999995"/>
    <n v="-36131.849999999977"/>
    <m/>
    <m/>
    <n v="563783.6"/>
    <m/>
    <n v="523194.73"/>
    <m/>
    <m/>
    <m/>
    <m/>
    <s v="14.32%"/>
    <n v="74942.13"/>
    <m/>
    <m/>
    <m/>
    <m/>
    <m/>
    <m/>
    <m/>
    <m/>
    <n v="40588.869999999995"/>
    <n v="-34353.260000000009"/>
    <s v="DDL, IAO 21.1."/>
    <s v="NO APLICA"/>
    <s v="NO APLICA"/>
    <s v="NO APLICA"/>
    <s v="NO APLICA"/>
    <s v="NO APLICA"/>
    <d v="2015-07-15T00:00:00"/>
    <d v="2015-07-27T00:00:00"/>
    <d v="2015-07-30T00:00:00"/>
    <d v="2015-08-18T00:00:00"/>
    <s v="NO APLICA"/>
    <d v="2015-09-11T00:00:00"/>
    <d v="2015-09-12T00:00:00"/>
    <s v="NO APLICA"/>
    <s v="NO APLICA"/>
    <s v="NO APLICA"/>
    <d v="2016-06-17T00:00:00"/>
    <s v="NO APLICA"/>
    <d v="2016-06-20T00:00:00"/>
    <d v="2016-06-20T00:00:00"/>
    <s v="NO APLICA"/>
    <s v="NO APLICA"/>
    <s v="NO APLICA"/>
    <m/>
    <s v="ü"/>
    <m/>
    <m/>
    <m/>
    <m/>
    <m/>
    <m/>
    <m/>
    <m/>
    <s v="ü"/>
    <s v="NO APLICA"/>
    <m/>
    <s v="ü"/>
    <s v="NO APLICA"/>
    <m/>
    <m/>
    <d v="2016-07-27T00:00:00"/>
    <n v="261597.36499999999"/>
    <m/>
    <m/>
    <m/>
    <m/>
    <m/>
    <m/>
    <m/>
    <m/>
    <m/>
    <m/>
    <m/>
    <m/>
    <m/>
    <m/>
    <m/>
    <m/>
    <m/>
    <m/>
    <m/>
    <m/>
    <m/>
    <m/>
    <m/>
    <m/>
    <m/>
    <m/>
    <m/>
    <n v="261597.36499999999"/>
    <m/>
    <m/>
    <m/>
    <m/>
    <m/>
    <m/>
    <m/>
    <n v="300"/>
    <s v="DESDE LA NOTIFICACIÓN DE LA ENTREGA DEL ANTICIPO"/>
    <d v="2016-07-28T00:00:00"/>
    <m/>
    <m/>
    <m/>
    <m/>
    <m/>
    <m/>
    <m/>
    <m/>
    <m/>
    <m/>
    <m/>
    <m/>
    <m/>
    <m/>
    <m/>
    <m/>
    <m/>
    <m/>
    <m/>
    <m/>
    <m/>
    <m/>
    <m/>
    <m/>
    <m/>
    <m/>
    <m/>
    <m/>
    <m/>
    <m/>
    <n v="0.05"/>
    <n v="0.08"/>
    <n v="0.1"/>
    <n v="0.1"/>
    <n v="0.1"/>
    <n v="0.2"/>
    <n v="0.25"/>
    <n v="0.28000000000000003"/>
    <n v="0.31"/>
    <n v="0.31"/>
    <n v="0.36"/>
    <n v="0.4"/>
    <n v="0.4"/>
    <n v="0.9"/>
    <n v="1"/>
    <n v="1"/>
    <n v="1"/>
    <n v="1"/>
    <n v="1"/>
    <n v="1"/>
    <n v="1"/>
    <n v="1"/>
    <n v="1"/>
    <n v="1"/>
    <n v="1"/>
    <n v="1"/>
    <n v="1"/>
    <x v="0"/>
    <n v="1"/>
    <n v="1"/>
    <n v="1"/>
    <x v="0"/>
    <s v="si"/>
    <s v="si"/>
    <s v="si"/>
    <s v="si"/>
    <s v="si"/>
    <s v="si"/>
    <s v="si"/>
    <x v="0"/>
    <s v="si"/>
    <s v="si"/>
    <s v="si"/>
    <m/>
    <m/>
    <m/>
    <m/>
    <m/>
    <m/>
    <m/>
    <m/>
    <m/>
    <m/>
    <m/>
    <m/>
    <m/>
    <m/>
  </r>
  <r>
    <x v="10"/>
    <s v="OBRAS"/>
    <x v="0"/>
    <s v="Proyectos de expansión y refuerzo en el Sistema Nacional de Distribución"/>
    <x v="0"/>
    <x v="0"/>
    <x v="0"/>
    <s v="LOJA"/>
    <x v="154"/>
    <n v="5"/>
    <x v="0"/>
    <s v="BID2-RSND-EERSSA-DI-OB-005"/>
    <s v="REPOTENCIACIÓN DE LAS REDES DE DISTRIBUCIÓN DE LA PROVINCIA DE LOJA ETAPA I"/>
    <m/>
    <s v="LPN"/>
    <s v="ex-post"/>
    <s v="EJECUTADO BID"/>
    <s v="BID2-RSND-EERSSA-DI-OB-005"/>
    <s v="CONSORCIO REPOTENCIACIÓN LOJA 1"/>
    <s v="ECUATORIANA"/>
    <s v="PERSONA JURÍDICA"/>
    <n v="1191758850001"/>
    <s v="NO CONSTAN EN LA CGC 1.1"/>
    <m/>
    <s v="ING. RICARDO VILLAVICENCIO"/>
    <m/>
    <m/>
    <n v="950000"/>
    <n v="0"/>
    <n v="949999.99999999988"/>
    <n v="26460.260000000009"/>
    <n v="976460.25999999989"/>
    <n v="0.12"/>
    <n v="113999.99999999999"/>
    <n v="3175.2312000000011"/>
    <n v="1093635.4912"/>
    <n v="976460.26"/>
    <n v="-26460.260000000009"/>
    <m/>
    <m/>
    <n v="949999.99999999988"/>
    <m/>
    <n v="886482.18"/>
    <m/>
    <m/>
    <m/>
    <m/>
    <m/>
    <m/>
    <m/>
    <m/>
    <m/>
    <m/>
    <m/>
    <m/>
    <m/>
    <m/>
    <n v="63517.819999999949"/>
    <n v="63517.819999999949"/>
    <s v="DDL, IAO 21.1."/>
    <s v="NO APLICA"/>
    <s v="NO APLICA"/>
    <s v="NO APLICA"/>
    <s v="NO APLICA"/>
    <s v="NO APLICA"/>
    <d v="2015-07-15T00:00:00"/>
    <d v="2015-07-27T00:00:00"/>
    <d v="2015-07-30T00:00:00"/>
    <d v="2015-08-18T00:00:00"/>
    <m/>
    <d v="2015-09-11T00:00:00"/>
    <d v="2015-09-12T00:00:00"/>
    <s v="NO APLICA"/>
    <s v="NO APLICA"/>
    <s v="NO APLICA"/>
    <d v="2015-10-08T00:00:00"/>
    <s v="NO APLICA"/>
    <d v="2015-10-19T00:00:00"/>
    <d v="2015-11-24T00:00:00"/>
    <s v="NO APLICA"/>
    <s v="NO APLICA"/>
    <s v="NO APLICA"/>
    <m/>
    <s v="ü"/>
    <m/>
    <m/>
    <m/>
    <m/>
    <m/>
    <m/>
    <m/>
    <m/>
    <s v="ü"/>
    <s v="NO APLICA"/>
    <m/>
    <s v="ü"/>
    <s v="NO APLICA"/>
    <m/>
    <m/>
    <d v="2016-06-16T00:00:00"/>
    <n v="443241.09"/>
    <s v="Pago 2/4- avance 15%"/>
    <d v="2016-06-16T00:00:00"/>
    <n v="132972.33000000005"/>
    <s v="Pago 3/4- anticipo 15%"/>
    <d v="2017-01-20T00:00:00"/>
    <n v="132972.32999999999"/>
    <s v="Pago 4/4- anticipo 20%"/>
    <d v="2017-03-27T00:00:00"/>
    <n v="101887.63"/>
    <m/>
    <m/>
    <m/>
    <m/>
    <m/>
    <m/>
    <m/>
    <m/>
    <m/>
    <m/>
    <m/>
    <m/>
    <m/>
    <m/>
    <m/>
    <m/>
    <m/>
    <m/>
    <n v="811073.38"/>
    <m/>
    <m/>
    <m/>
    <m/>
    <m/>
    <m/>
    <m/>
    <n v="300"/>
    <s v="DESDE LA NOTIFICACIÓN DE LA ENTREGA DEL ANTICIPO"/>
    <d v="2016-06-17T00:00:00"/>
    <m/>
    <m/>
    <m/>
    <m/>
    <m/>
    <m/>
    <m/>
    <m/>
    <m/>
    <m/>
    <m/>
    <m/>
    <m/>
    <m/>
    <m/>
    <m/>
    <m/>
    <m/>
    <m/>
    <m/>
    <m/>
    <m/>
    <m/>
    <m/>
    <m/>
    <m/>
    <m/>
    <m/>
    <m/>
    <m/>
    <n v="0.05"/>
    <n v="0.12"/>
    <n v="0.17"/>
    <n v="0.17"/>
    <n v="0.28000000000000003"/>
    <n v="0.32"/>
    <n v="0.92"/>
    <n v="0.93"/>
    <n v="1"/>
    <n v="1"/>
    <n v="1"/>
    <n v="1"/>
    <n v="1"/>
    <n v="1"/>
    <n v="1"/>
    <n v="1"/>
    <n v="1"/>
    <n v="1"/>
    <n v="1"/>
    <n v="1"/>
    <n v="1"/>
    <n v="1"/>
    <n v="1"/>
    <n v="1"/>
    <n v="1"/>
    <n v="1"/>
    <n v="1"/>
    <x v="0"/>
    <n v="1"/>
    <n v="1"/>
    <n v="1"/>
    <x v="0"/>
    <s v="si"/>
    <s v="si"/>
    <s v="si"/>
    <s v="si"/>
    <s v="si"/>
    <s v="si"/>
    <s v="si"/>
    <x v="0"/>
    <s v="si"/>
    <s v="si"/>
    <s v="si"/>
    <m/>
    <m/>
    <m/>
    <m/>
    <m/>
    <m/>
    <m/>
    <m/>
    <m/>
    <m/>
    <m/>
    <m/>
    <m/>
    <m/>
  </r>
  <r>
    <x v="10"/>
    <s v="OBRAS"/>
    <x v="0"/>
    <s v="Proyectos de expansión y refuerzo en el Sistema Nacional de Distribución"/>
    <x v="0"/>
    <x v="0"/>
    <x v="0"/>
    <s v="ZAMORA CHINCHIPE"/>
    <x v="155"/>
    <n v="6"/>
    <x v="0"/>
    <s v="BID2-RSND-EERSSA-DI-OB-006"/>
    <s v="REPOTENCIACIÓN DE REDES DE DISTRIBUCIÓN EN LA PROVINCIA DE ZAMORA CHINCHIPE Y GUALAQUIZA ETAPA II"/>
    <m/>
    <s v="LPN"/>
    <s v="ex-post"/>
    <s v="EJECUTADO BID"/>
    <s v="BID2-RSND-EERSSA-DI-OB-006"/>
    <s v="ING. LUIS ALEJANDRO REYES VELEZ"/>
    <s v="ECUATORIANA"/>
    <s v="PERSONA NATURAL"/>
    <n v="1101423075001"/>
    <s v="ING. JOSE FRANCISCO EGUIGUREN LUZURIAGA"/>
    <m/>
    <s v="ING. CARLOS MARIN BUELE "/>
    <m/>
    <m/>
    <n v="475000"/>
    <n v="0"/>
    <n v="474999.99999999994"/>
    <n v="0"/>
    <n v="474999.99999999994"/>
    <n v="0.12"/>
    <n v="56999.999999999993"/>
    <n v="0"/>
    <n v="532000"/>
    <n v="412110.68000000005"/>
    <n v="62889.319999999949"/>
    <m/>
    <m/>
    <n v="474999.99999999994"/>
    <m/>
    <n v="412169.51"/>
    <m/>
    <m/>
    <m/>
    <m/>
    <m/>
    <m/>
    <m/>
    <m/>
    <m/>
    <m/>
    <m/>
    <m/>
    <m/>
    <m/>
    <n v="62830.489999999991"/>
    <n v="62830.489999999991"/>
    <s v="DDL, IAO 21.1."/>
    <s v="NO APLICA"/>
    <s v="NO APLICA"/>
    <s v="NO APLICA"/>
    <s v="NO APLICA"/>
    <s v="NO APLICA"/>
    <d v="2015-10-28T00:00:00"/>
    <d v="2015-11-06T00:00:00"/>
    <d v="2015-11-13T00:00:00"/>
    <d v="2015-11-27T00:00:00"/>
    <s v="NO APLICA"/>
    <d v="2015-12-16T00:00:00"/>
    <d v="2015-12-17T00:00:00"/>
    <s v="NO APLICA"/>
    <s v="NO APLICA"/>
    <s v="NO APLICA"/>
    <d v="2016-01-11T00:00:00"/>
    <s v="NO APLICA"/>
    <s v="DATO PENDIENTE"/>
    <d v="2016-06-17T00:00:00"/>
    <s v="NO APLICA"/>
    <s v="NO APLICA"/>
    <s v="NO APLICA"/>
    <m/>
    <s v="ü"/>
    <m/>
    <m/>
    <m/>
    <m/>
    <m/>
    <m/>
    <m/>
    <m/>
    <s v="ü"/>
    <s v="NO APLICA"/>
    <m/>
    <s v="ü"/>
    <s v="NO APLICA"/>
    <s v="SI"/>
    <n v="0.05"/>
    <d v="2016-07-04T00:00:00"/>
    <n v="206084.755"/>
    <s v="Pago 2/5 - Aavance 15%"/>
    <d v="2016-09-28T00:00:00"/>
    <n v="61825.43"/>
    <s v="Pago 3/5 - avance 15%"/>
    <d v="2016-11-08T00:00:00"/>
    <n v="61825.430000000015"/>
    <s v="Pago 4/5 - avance 10%"/>
    <d v="2016-12-14T00:00:00"/>
    <n v="41873.970000000016"/>
    <s v="Pago 5/5 - avance 10%"/>
    <d v="2016-12-15T00:00:00"/>
    <n v="40501.089999999997"/>
    <m/>
    <m/>
    <m/>
    <m/>
    <m/>
    <m/>
    <m/>
    <m/>
    <m/>
    <m/>
    <m/>
    <m/>
    <m/>
    <m/>
    <m/>
    <n v="412110.67500000005"/>
    <m/>
    <m/>
    <m/>
    <m/>
    <m/>
    <m/>
    <m/>
    <n v="120"/>
    <s v="DESDE LA NOTIFICACIÓN DE LA ENTREGA DEL ANTICIPO"/>
    <d v="2016-07-05T00:00:00"/>
    <d v="2016-11-02T00:00:00"/>
    <m/>
    <m/>
    <m/>
    <m/>
    <m/>
    <m/>
    <m/>
    <m/>
    <m/>
    <m/>
    <m/>
    <m/>
    <m/>
    <m/>
    <m/>
    <m/>
    <m/>
    <m/>
    <m/>
    <m/>
    <m/>
    <m/>
    <m/>
    <m/>
    <m/>
    <m/>
    <m/>
    <m/>
    <m/>
    <n v="0.05"/>
    <n v="0.15"/>
    <n v="0.3"/>
    <n v="0.3"/>
    <n v="0.9"/>
    <n v="1"/>
    <n v="1"/>
    <n v="1"/>
    <n v="1"/>
    <n v="1"/>
    <n v="1"/>
    <n v="1"/>
    <n v="1"/>
    <n v="1"/>
    <n v="1"/>
    <n v="1"/>
    <n v="1"/>
    <n v="1"/>
    <n v="1"/>
    <n v="1"/>
    <n v="1"/>
    <n v="1"/>
    <n v="1"/>
    <n v="1"/>
    <n v="1"/>
    <n v="1"/>
    <n v="1"/>
    <x v="0"/>
    <n v="1"/>
    <n v="1"/>
    <n v="1"/>
    <x v="0"/>
    <s v="si"/>
    <s v="si"/>
    <s v="si"/>
    <s v="si"/>
    <s v="si"/>
    <s v="si"/>
    <s v="si"/>
    <x v="0"/>
    <s v="si"/>
    <s v="si"/>
    <s v="si"/>
    <m/>
    <m/>
    <m/>
    <m/>
    <m/>
    <m/>
    <m/>
    <m/>
    <m/>
    <m/>
    <m/>
    <m/>
    <m/>
    <m/>
  </r>
  <r>
    <x v="15"/>
    <s v="FIRMAS CONSULTORAS"/>
    <x v="0"/>
    <s v="Proyectos de expansión y refuerzo en el Sistema Nacional de Distribución"/>
    <x v="0"/>
    <x v="7"/>
    <x v="0"/>
    <s v="LOS RÍOS"/>
    <x v="49"/>
    <n v="6"/>
    <x v="0"/>
    <s v="BID2-RSND-CNELLRS-FI-FC-001"/>
    <s v=" FISCALIZACIÓN PARA LAS SIGUIENTES SALIDAS: SUBESTACION PALENQUE (4), REPOTENCIACION ALIMENTADOR PALENQUE, SUBESTACIÓN VINCES, ALIMENTADORES S/E LA ERCILIA (EL GUINEO Y RCTO LA ERCILIA); VARIANTE LINEA TRIFASICA CATARAMA - PIJULLO - POTOSI; TRIFASEAMIENTO LINEA GUARE - SAN ANTONIO; LINEA TRIFASICA PARROQUIA CARACOL - PARROQUIA LA UNION; REPOTENCIACIÓN DE LA RED DE DISTRIBUCIÓN EN LA ZONA URBANA DEL CANTON VENTANAS; TRIFASEAMIENTO LINEA HCDA- BONITA - T - LOS ANGELES - LA TABAQUERA (1)"/>
    <s v="Fiscalización Catarama-Pijullo-Potosí"/>
    <s v="SBCC"/>
    <s v="ex-post"/>
    <s v="EJECUTADO BID"/>
    <s v="BID2-RSND-CNELLRS-FI-FC-001"/>
    <s v="TENAZCOMPANY S.A."/>
    <s v="ECUATORIANA"/>
    <s v="PERSONA JURÍDICA"/>
    <s v="0 992747617001"/>
    <s v="NO APLICA"/>
    <s v="NO APLICA"/>
    <s v="SR. HUMBERTO DELGADO ROJAS "/>
    <s v="(05) 2 730 089 Ext.110"/>
    <n v="7985.703857880002"/>
    <n v="131075.13"/>
    <n v="131075.13"/>
    <n v="131075.14000000001"/>
    <n v="0"/>
    <n v="131075.14000000001"/>
    <n v="0.12"/>
    <n v="15729.016800000001"/>
    <n v="0"/>
    <n v="146804.15680000003"/>
    <n v="120696.63"/>
    <n v="10378.5"/>
    <m/>
    <m/>
    <n v="131075.13392857142"/>
    <m/>
    <n v="129989.99"/>
    <m/>
    <m/>
    <m/>
    <m/>
    <m/>
    <m/>
    <m/>
    <m/>
    <m/>
    <m/>
    <m/>
    <m/>
    <m/>
    <m/>
    <n v="1085.1399999999994"/>
    <n v="1085.1399999999994"/>
    <m/>
    <s v="NO APLICA"/>
    <s v="NO APLICA"/>
    <m/>
    <m/>
    <m/>
    <m/>
    <m/>
    <m/>
    <m/>
    <m/>
    <m/>
    <m/>
    <m/>
    <m/>
    <s v="NO APLICA"/>
    <d v="2015-12-23T00:00:00"/>
    <s v="NO APLICA"/>
    <d v="2016-01-15T00:00:00"/>
    <d v="2016-01-28T00:00:00"/>
    <s v="NO APLICA"/>
    <s v="NO APLICA"/>
    <s v="NO APLICA"/>
    <m/>
    <m/>
    <m/>
    <m/>
    <m/>
    <m/>
    <m/>
    <m/>
    <m/>
    <m/>
    <m/>
    <m/>
    <m/>
    <m/>
    <s v="NO APLICA"/>
    <s v="NO APLICA"/>
    <s v="NO APLICA"/>
    <d v="2016-08-31T00:00:00"/>
    <n v="64994.995000000003"/>
    <m/>
    <d v="2016-11-10T00:00:00"/>
    <n v="29811.84"/>
    <m/>
    <m/>
    <m/>
    <m/>
    <m/>
    <m/>
    <m/>
    <m/>
    <m/>
    <m/>
    <m/>
    <m/>
    <m/>
    <m/>
    <m/>
    <m/>
    <m/>
    <m/>
    <m/>
    <m/>
    <m/>
    <m/>
    <m/>
    <m/>
    <n v="94806.835000000006"/>
    <m/>
    <m/>
    <m/>
    <m/>
    <m/>
    <m/>
    <m/>
    <s v="DATO PENDIENTE"/>
    <s v="DATO PENDIENTE"/>
    <d v="2016-09-01T00:00:00"/>
    <m/>
    <m/>
    <m/>
    <m/>
    <m/>
    <m/>
    <m/>
    <m/>
    <m/>
    <m/>
    <m/>
    <m/>
    <m/>
    <m/>
    <m/>
    <m/>
    <m/>
    <m/>
    <m/>
    <m/>
    <m/>
    <m/>
    <m/>
    <m/>
    <m/>
    <m/>
    <n v="0.2"/>
    <n v="0.28000000000000003"/>
    <n v="0.28000000000000003"/>
    <n v="0.28000000000000003"/>
    <n v="0.28000000000000003"/>
    <n v="0.46"/>
    <n v="0.76"/>
    <n v="0.79"/>
    <n v="0.79"/>
    <n v="1"/>
    <n v="1"/>
    <n v="1"/>
    <n v="1"/>
    <n v="1"/>
    <n v="1"/>
    <n v="1"/>
    <n v="1"/>
    <n v="1"/>
    <n v="1"/>
    <n v="1"/>
    <n v="1"/>
    <n v="1"/>
    <n v="1"/>
    <n v="1"/>
    <n v="1"/>
    <n v="1"/>
    <n v="1"/>
    <n v="1"/>
    <n v="1"/>
    <n v="1"/>
    <n v="1"/>
    <x v="0"/>
    <n v="1"/>
    <n v="1"/>
    <n v="1"/>
    <x v="0"/>
    <s v="si"/>
    <s v="si"/>
    <s v="si"/>
    <s v="si"/>
    <s v="si"/>
    <s v="si"/>
    <s v="si"/>
    <x v="0"/>
    <s v="si"/>
    <s v="si"/>
    <s v="si"/>
    <m/>
    <m/>
    <m/>
    <m/>
    <m/>
    <m/>
    <m/>
    <m/>
    <m/>
    <m/>
    <s v="ESTE PROCESO ES UNO SOLO, PERO CORRESPONDE A DOS SUBCOMPONENTES: DISTRIBUCIÓN Y SUBTRANSMISIÓN"/>
    <m/>
    <m/>
    <m/>
  </r>
  <r>
    <x v="15"/>
    <s v="FIRMAS CONSULTORAS"/>
    <x v="0"/>
    <s v="Proyectos de expansión y refuerzo en el Sistema Nacional de Distribución"/>
    <x v="0"/>
    <x v="7"/>
    <x v="0"/>
    <s v="LOS RÍOS"/>
    <x v="50"/>
    <n v="7"/>
    <x v="0"/>
    <s v="BID2-RSND-CNELLRS-FI-FC-001"/>
    <s v=" FISCALIZACIÓN PARA LAS SIGUIENTES SALIDAS: SUBESTACION PALENQUE (4), REPOTENCIACION ALIMENTADOR PALENQUE, SUBESTACIÓN VINCES, ALIMENTADORES S/E LA ERCILIA (EL GUINEO Y RCTO LA ERCILIA); VARIANTE LINEA TRIFASICA CATARAMA - PIJULLO - POTOSI; TRIFASEAMIENTO LINEA GUARE - SAN ANTONIO; LINEA TRIFASICA PARROQUIA CARACOL - PARROQUIA LA UNION; REPOTENCIACIÓN DE LA RED DE DISTRIBUCIÓN EN LA ZONA URBANA DEL CANTON VENTANAS; TRIFASEAMIENTO LINEA HCDA- BONITA - T - LOS ANGELES - LA TABAQUERA (2)"/>
    <s v="Fiscalización Guare-San Antonio"/>
    <s v="SBCC"/>
    <s v="ex-post"/>
    <s v="EJECUTADO BID"/>
    <s v="BID2-RSND-CNELLRS-FI-FC-001"/>
    <s v="TENAZCOMPANY S.A."/>
    <s v="ECUATORIANA"/>
    <s v="PERSONA JURÍDICA"/>
    <s v="0 992747617001"/>
    <s v="NO APLICA"/>
    <s v="NO APLICA"/>
    <s v="SR. HUMBERTO DELGADO ROJAS "/>
    <s v="(05) 2 730 089 Ext.110"/>
    <n v="10396.402100000001"/>
    <n v="0"/>
    <n v="0"/>
    <m/>
    <n v="0"/>
    <n v="0"/>
    <n v="0.12"/>
    <n v="0"/>
    <n v="0"/>
    <n v="0"/>
    <m/>
    <m/>
    <m/>
    <m/>
    <m/>
    <m/>
    <m/>
    <m/>
    <m/>
    <m/>
    <m/>
    <m/>
    <m/>
    <m/>
    <m/>
    <m/>
    <m/>
    <m/>
    <m/>
    <m/>
    <m/>
    <n v="0"/>
    <n v="0"/>
    <m/>
    <s v="NO APLICA"/>
    <s v="NO APLICA"/>
    <m/>
    <m/>
    <m/>
    <m/>
    <m/>
    <m/>
    <m/>
    <m/>
    <m/>
    <m/>
    <m/>
    <m/>
    <s v="NO APLICA"/>
    <d v="2015-12-23T00:00:00"/>
    <s v="NO APLICA"/>
    <d v="2016-01-15T00:00:00"/>
    <d v="2016-01-28T00:00:00"/>
    <s v="NO APLICA"/>
    <s v="NO APLICA"/>
    <s v="NO APLICA"/>
    <m/>
    <m/>
    <m/>
    <m/>
    <m/>
    <m/>
    <m/>
    <m/>
    <m/>
    <m/>
    <m/>
    <m/>
    <m/>
    <m/>
    <s v="NO APLICA"/>
    <s v="NO APLICA"/>
    <s v="NO APLICA"/>
    <d v="2016-08-31T00:00:00"/>
    <m/>
    <m/>
    <d v="2016-11-10T00:00:00"/>
    <m/>
    <m/>
    <m/>
    <m/>
    <m/>
    <m/>
    <m/>
    <m/>
    <m/>
    <m/>
    <m/>
    <m/>
    <m/>
    <m/>
    <m/>
    <m/>
    <m/>
    <m/>
    <m/>
    <m/>
    <m/>
    <m/>
    <m/>
    <m/>
    <m/>
    <n v="0"/>
    <m/>
    <m/>
    <m/>
    <m/>
    <m/>
    <m/>
    <m/>
    <s v="DATO PENDIENTE"/>
    <s v="DATO PENDIENTE"/>
    <d v="2016-09-01T00:00:00"/>
    <s v="DATO PENDIENTE"/>
    <m/>
    <m/>
    <m/>
    <m/>
    <m/>
    <m/>
    <m/>
    <m/>
    <m/>
    <m/>
    <m/>
    <m/>
    <m/>
    <m/>
    <m/>
    <m/>
    <m/>
    <m/>
    <m/>
    <m/>
    <m/>
    <m/>
    <m/>
    <m/>
    <m/>
    <n v="0.2"/>
    <n v="0.28000000000000003"/>
    <n v="0.28000000000000003"/>
    <n v="0.28000000000000003"/>
    <n v="0.28000000000000003"/>
    <n v="0.46"/>
    <n v="0.76"/>
    <n v="0.79"/>
    <n v="0.79"/>
    <n v="1"/>
    <n v="1"/>
    <n v="1"/>
    <n v="1"/>
    <n v="1"/>
    <n v="1"/>
    <n v="1"/>
    <n v="1"/>
    <n v="1"/>
    <n v="1"/>
    <n v="1"/>
    <n v="1"/>
    <n v="1"/>
    <n v="1"/>
    <n v="1"/>
    <n v="1"/>
    <n v="1"/>
    <n v="1"/>
    <n v="1"/>
    <n v="1"/>
    <n v="1"/>
    <n v="1"/>
    <x v="0"/>
    <n v="1"/>
    <n v="1"/>
    <n v="1"/>
    <x v="0"/>
    <s v="si"/>
    <s v="si"/>
    <s v="si"/>
    <s v="si"/>
    <s v="si"/>
    <s v="si"/>
    <s v="si"/>
    <x v="0"/>
    <s v="si"/>
    <s v="si"/>
    <s v="si"/>
    <m/>
    <m/>
    <m/>
    <m/>
    <m/>
    <m/>
    <m/>
    <m/>
    <m/>
    <m/>
    <s v="ESTE PROCESO ES UNO SOLO, PERO CORRESPONDE A DOS SUBCOMPONENTES: DISTRIBUCIÓN Y SUBTRANSMISIÓN"/>
    <m/>
    <m/>
    <m/>
  </r>
  <r>
    <x v="15"/>
    <s v="FIRMAS CONSULTORAS"/>
    <x v="0"/>
    <s v="Proyectos de expansión y refuerzo en el Sistema Nacional de Distribución"/>
    <x v="0"/>
    <x v="7"/>
    <x v="0"/>
    <s v="LOS RÍOS"/>
    <x v="51"/>
    <n v="8"/>
    <x v="0"/>
    <s v="BID2-RSND-CNELLRS-FI-FC-001"/>
    <s v=" FISCALIZACIÓN PARA LAS SIGUIENTES SALIDAS: SUBESTACION PALENQUE (4), REPOTENCIACION ALIMENTADOR PALENQUE, SUBESTACIÓN VINCES, ALIMENTADORES S/E LA ERCILIA (EL GUINEO Y RCTO LA ERCILIA); VARIANTE LINEA TRIFASICA CATARAMA - PIJULLO - POTOSI; TRIFASEAMIENTO LINEA GUARE - SAN ANTONIO; LINEA TRIFASICA PARROQUIA CARACOL - PARROQUIA LA UNION; REPOTENCIACIÓN DE LA RED DE DISTRIBUCIÓN EN LA ZONA URBANA DEL CANTON VENTANAS; TRIFASEAMIENTO LINEA HCDA- BONITA - T - LOS ANGELES - LA TABAQUERA (3)"/>
    <s v="Fiscalización Caracol-La Unión"/>
    <s v="SBCC"/>
    <s v="ex-post"/>
    <s v="EJECUTADO BID"/>
    <s v="BID2-RSND-CNELLRS-FI-FC-001"/>
    <s v="TENAZCOMPANY S.A."/>
    <s v="ECUATORIANA"/>
    <s v="PERSONA JURÍDICA"/>
    <s v="0 992747617001"/>
    <s v="NO APLICA"/>
    <s v="NO APLICA"/>
    <s v="SR. HUMBERTO DELGADO ROJAS "/>
    <s v="(05) 2 730 089 Ext.110"/>
    <n v="15774.067040480002"/>
    <n v="0"/>
    <n v="0"/>
    <m/>
    <n v="0"/>
    <n v="0"/>
    <n v="0.12"/>
    <n v="0"/>
    <n v="0"/>
    <n v="0"/>
    <m/>
    <m/>
    <m/>
    <m/>
    <m/>
    <m/>
    <m/>
    <m/>
    <m/>
    <m/>
    <m/>
    <m/>
    <m/>
    <m/>
    <m/>
    <m/>
    <m/>
    <m/>
    <m/>
    <m/>
    <m/>
    <n v="0"/>
    <n v="0"/>
    <m/>
    <s v="NO APLICA"/>
    <s v="NO APLICA"/>
    <m/>
    <m/>
    <m/>
    <m/>
    <m/>
    <m/>
    <m/>
    <m/>
    <m/>
    <m/>
    <m/>
    <m/>
    <s v="NO APLICA"/>
    <d v="2015-12-23T00:00:00"/>
    <s v="NO APLICA"/>
    <d v="2016-01-15T00:00:00"/>
    <d v="2016-01-28T00:00:00"/>
    <s v="NO APLICA"/>
    <s v="NO APLICA"/>
    <s v="NO APLICA"/>
    <m/>
    <m/>
    <m/>
    <m/>
    <m/>
    <m/>
    <m/>
    <m/>
    <m/>
    <m/>
    <m/>
    <m/>
    <m/>
    <m/>
    <s v="NO APLICA"/>
    <s v="NO APLICA"/>
    <s v="NO APLICA"/>
    <d v="2016-08-31T00:00:00"/>
    <m/>
    <m/>
    <d v="2016-11-10T00:00:00"/>
    <m/>
    <m/>
    <m/>
    <m/>
    <m/>
    <m/>
    <m/>
    <m/>
    <m/>
    <m/>
    <m/>
    <m/>
    <m/>
    <m/>
    <m/>
    <m/>
    <m/>
    <m/>
    <m/>
    <m/>
    <m/>
    <m/>
    <m/>
    <m/>
    <m/>
    <n v="0"/>
    <m/>
    <m/>
    <m/>
    <m/>
    <m/>
    <m/>
    <m/>
    <s v="DATO PENDIENTE"/>
    <s v="DATO PENDIENTE"/>
    <d v="2016-09-01T00:00:00"/>
    <s v="DATO PENDIENTE"/>
    <m/>
    <m/>
    <m/>
    <m/>
    <m/>
    <m/>
    <m/>
    <m/>
    <m/>
    <m/>
    <m/>
    <m/>
    <m/>
    <m/>
    <m/>
    <m/>
    <m/>
    <m/>
    <m/>
    <m/>
    <m/>
    <m/>
    <m/>
    <m/>
    <m/>
    <n v="0.2"/>
    <n v="0.28000000000000003"/>
    <n v="0.28000000000000003"/>
    <n v="0.28000000000000003"/>
    <n v="0.28000000000000003"/>
    <n v="0.46"/>
    <n v="0.76"/>
    <n v="0.79"/>
    <n v="0.79"/>
    <n v="0.85"/>
    <n v="0.94"/>
    <n v="0.94"/>
    <n v="0.95"/>
    <n v="0.95"/>
    <n v="0.95"/>
    <n v="0.95"/>
    <n v="1"/>
    <n v="1"/>
    <n v="1"/>
    <n v="1"/>
    <n v="1"/>
    <n v="1"/>
    <n v="1"/>
    <n v="1"/>
    <n v="1"/>
    <n v="1"/>
    <n v="1"/>
    <n v="1"/>
    <n v="1"/>
    <n v="1"/>
    <n v="1"/>
    <x v="0"/>
    <n v="1"/>
    <n v="1"/>
    <n v="1"/>
    <x v="0"/>
    <s v="si"/>
    <s v="si"/>
    <s v="si"/>
    <s v="si"/>
    <s v="si"/>
    <s v="si"/>
    <s v="si"/>
    <x v="0"/>
    <s v="si"/>
    <s v="si"/>
    <s v="si"/>
    <m/>
    <m/>
    <m/>
    <m/>
    <m/>
    <m/>
    <m/>
    <m/>
    <m/>
    <m/>
    <s v="ESTE PROCESO ES UNO SOLO, PERO CORRESPONDE A DOS SUBCOMPONENTES: DISTRIBUCIÓN Y SUBTRANSMISIÓN"/>
    <m/>
    <m/>
    <m/>
  </r>
  <r>
    <x v="15"/>
    <s v="FIRMAS CONSULTORAS"/>
    <x v="0"/>
    <s v="Proyectos de expansión y refuerzo en el Sistema Nacional de Distribución"/>
    <x v="0"/>
    <x v="7"/>
    <x v="0"/>
    <s v="LOS RÍOS"/>
    <x v="52"/>
    <n v="9"/>
    <x v="0"/>
    <s v="BID2-RSND-CNELLRS-FI-FC-001"/>
    <s v=" FISCALIZACIÓN PARA LAS SIGUIENTES SALIDAS: SUBESTACION PALENQUE (4), REPOTENCIACION ALIMENTADOR PALENQUE, SUBESTACIÓN VINCES, ALIMENTADORES S/E LA ERCILIA (EL GUINEO Y RCTO LA ERCILIA); VARIANTE LINEA TRIFASICA CATARAMA - PIJULLO - POTOSI; TRIFASEAMIENTO LINEA GUARE - SAN ANTONIO; LINEA TRIFASICA PARROQUIA CARACOL - PARROQUIA LA UNION; REPOTENCIACIÓN DE LA RED DE DISTRIBUCIÓN EN LA ZONA URBANA DEL CANTON VENTANAS; TRIFASEAMIENTO LINEA HCDA- BONITA - T - LOS ANGELES - LA TABAQUERA (4)"/>
    <s v="Fiscalización Ventanas"/>
    <s v="SBCC"/>
    <s v="ex-post"/>
    <s v="EJECUTADO BID"/>
    <s v="BID2-RSND-CNELLRS-FI-FC-001"/>
    <s v="TENAZCOMPANY S.A."/>
    <s v="ECUATORIANA"/>
    <s v="PERSONA JURÍDICA"/>
    <s v="0 992747617001"/>
    <s v="NO APLICA"/>
    <s v="NO APLICA"/>
    <s v="SR. HUMBERTO DELGADO ROJAS "/>
    <s v="(05) 2 730 089 Ext.110"/>
    <n v="7700.0000000000009"/>
    <n v="0"/>
    <n v="0"/>
    <m/>
    <n v="0"/>
    <n v="0"/>
    <n v="0.12"/>
    <n v="0"/>
    <n v="0"/>
    <n v="0"/>
    <m/>
    <m/>
    <m/>
    <m/>
    <m/>
    <m/>
    <m/>
    <m/>
    <m/>
    <m/>
    <m/>
    <m/>
    <m/>
    <m/>
    <m/>
    <m/>
    <m/>
    <m/>
    <m/>
    <m/>
    <m/>
    <n v="0"/>
    <n v="0"/>
    <m/>
    <s v="NO APLICA"/>
    <s v="NO APLICA"/>
    <m/>
    <m/>
    <m/>
    <m/>
    <m/>
    <m/>
    <m/>
    <m/>
    <m/>
    <m/>
    <m/>
    <m/>
    <s v="NO APLICA"/>
    <d v="2015-12-23T00:00:00"/>
    <s v="NO APLICA"/>
    <d v="2016-01-15T00:00:00"/>
    <d v="2016-01-28T00:00:00"/>
    <s v="NO APLICA"/>
    <s v="NO APLICA"/>
    <s v="NO APLICA"/>
    <m/>
    <m/>
    <m/>
    <m/>
    <m/>
    <m/>
    <m/>
    <m/>
    <m/>
    <m/>
    <m/>
    <m/>
    <m/>
    <m/>
    <s v="NO APLICA"/>
    <s v="NO APLICA"/>
    <s v="NO APLICA"/>
    <d v="2016-08-31T00:00:00"/>
    <m/>
    <m/>
    <d v="2016-11-10T00:00:00"/>
    <m/>
    <m/>
    <m/>
    <m/>
    <m/>
    <m/>
    <m/>
    <m/>
    <m/>
    <m/>
    <m/>
    <m/>
    <m/>
    <m/>
    <m/>
    <m/>
    <m/>
    <m/>
    <m/>
    <m/>
    <m/>
    <m/>
    <m/>
    <m/>
    <m/>
    <n v="0"/>
    <m/>
    <m/>
    <m/>
    <m/>
    <m/>
    <m/>
    <m/>
    <s v="DATO PENDIENTE"/>
    <s v="DATO PENDIENTE"/>
    <d v="2016-09-01T00:00:00"/>
    <s v="DATO PENDIENTE"/>
    <m/>
    <m/>
    <m/>
    <m/>
    <m/>
    <m/>
    <m/>
    <m/>
    <m/>
    <m/>
    <m/>
    <m/>
    <m/>
    <m/>
    <m/>
    <m/>
    <m/>
    <m/>
    <m/>
    <m/>
    <m/>
    <m/>
    <m/>
    <m/>
    <m/>
    <n v="0.2"/>
    <n v="0.28000000000000003"/>
    <n v="0.28000000000000003"/>
    <n v="0.28000000000000003"/>
    <n v="0.28000000000000003"/>
    <n v="0.46"/>
    <n v="0.76"/>
    <n v="0.79"/>
    <n v="0.79"/>
    <n v="0.85"/>
    <n v="0.94"/>
    <n v="0.94"/>
    <n v="0.95"/>
    <n v="0.95"/>
    <n v="0.95"/>
    <n v="0.95"/>
    <n v="1"/>
    <n v="1"/>
    <n v="1"/>
    <n v="1"/>
    <n v="1"/>
    <n v="1"/>
    <n v="1"/>
    <n v="1"/>
    <n v="1"/>
    <n v="1"/>
    <n v="1"/>
    <n v="1"/>
    <n v="1"/>
    <n v="1"/>
    <n v="1"/>
    <x v="0"/>
    <n v="1"/>
    <n v="1"/>
    <n v="1"/>
    <x v="0"/>
    <s v="si"/>
    <s v="si"/>
    <s v="si"/>
    <s v="si"/>
    <s v="si"/>
    <s v="si"/>
    <s v="si"/>
    <x v="0"/>
    <s v="si"/>
    <s v="si"/>
    <s v="si"/>
    <m/>
    <m/>
    <m/>
    <m/>
    <m/>
    <m/>
    <m/>
    <m/>
    <m/>
    <m/>
    <s v="ESTE PROCESO ES UNO SOLO, PERO CORRESPONDE A DOS SUBCOMPONENTES: DISTRIBUCIÓN Y SUBTRANSMISIÓN"/>
    <m/>
    <m/>
    <m/>
  </r>
  <r>
    <x v="15"/>
    <s v="FIRMAS CONSULTORAS"/>
    <x v="0"/>
    <s v="Proyectos de expansión y refuerzo en el Sistema Nacional de Distribución"/>
    <x v="0"/>
    <x v="7"/>
    <x v="0"/>
    <s v="LOS RÍOS"/>
    <x v="53"/>
    <n v="10"/>
    <x v="0"/>
    <s v="BID2-RSND-CNELLRS-FI-FC-001"/>
    <s v=" FISCALIZACIÓN PARA LAS SIGUIENTES SALIDAS: SUBESTACION PALENQUE (4), REPOTENCIACION ALIMENTADOR PALENQUE, SUBESTACIÓN VINCES, ALIMENTADORES S/E LA ERCILIA (EL GUINEO Y RCTO LA ERCILIA); VARIANTE LINEA TRIFASICA CATARAMA - PIJULLO - POTOSI; TRIFASEAMIENTO LINEA GUARE - SAN ANTONIO; LINEA TRIFASICA PARROQUIA CARACOL - PARROQUIA LA UNION; REPOTENCIACIÓN DE LA RED DE DISTRIBUCIÓN EN LA ZONA URBANA DEL CANTON VENTANAS; TRIFASEAMIENTO LINEA HCDA- BONITA - T - LOS ANGELES - LA TABAQUERA (5)"/>
    <s v="Fiscalización HCDA- BONITA - T - LOS ANGELES - LA TABAQUERA"/>
    <s v="SBCC"/>
    <s v="ex-post"/>
    <s v="EJECUTADO BID"/>
    <s v="BID2-RSND-CNELLRS-FI-FC-001"/>
    <s v="TENAZCOMPANY S.A."/>
    <s v="ECUATORIANA"/>
    <s v="PERSONA JURÍDICA"/>
    <s v="0 992747617001"/>
    <s v="NO APLICA"/>
    <s v="NO APLICA"/>
    <s v="SR. HUMBERTO DELGADO ROJAS "/>
    <s v="(05) 2 730 089 Ext.110"/>
    <n v="21723.008300000001"/>
    <n v="0"/>
    <n v="0"/>
    <m/>
    <n v="0"/>
    <n v="0"/>
    <n v="0.12"/>
    <n v="0"/>
    <n v="0"/>
    <n v="0"/>
    <m/>
    <m/>
    <m/>
    <m/>
    <m/>
    <m/>
    <m/>
    <m/>
    <m/>
    <m/>
    <m/>
    <m/>
    <m/>
    <m/>
    <m/>
    <m/>
    <m/>
    <m/>
    <m/>
    <m/>
    <m/>
    <n v="0"/>
    <n v="0"/>
    <m/>
    <s v="NO APLICA"/>
    <s v="NO APLICA"/>
    <m/>
    <m/>
    <m/>
    <m/>
    <m/>
    <m/>
    <m/>
    <m/>
    <m/>
    <m/>
    <m/>
    <m/>
    <s v="NO APLICA"/>
    <d v="2015-12-23T00:00:00"/>
    <s v="NO APLICA"/>
    <d v="2016-01-15T00:00:00"/>
    <d v="2016-01-28T00:00:00"/>
    <s v="NO APLICA"/>
    <s v="NO APLICA"/>
    <s v="NO APLICA"/>
    <m/>
    <m/>
    <m/>
    <m/>
    <m/>
    <m/>
    <m/>
    <m/>
    <m/>
    <m/>
    <m/>
    <m/>
    <m/>
    <m/>
    <s v="NO APLICA"/>
    <s v="NO APLICA"/>
    <s v="NO APLICA"/>
    <d v="2016-08-31T00:00:00"/>
    <m/>
    <m/>
    <d v="2016-11-10T00:00:00"/>
    <m/>
    <m/>
    <m/>
    <m/>
    <m/>
    <m/>
    <m/>
    <m/>
    <m/>
    <m/>
    <m/>
    <m/>
    <m/>
    <m/>
    <m/>
    <m/>
    <m/>
    <m/>
    <m/>
    <m/>
    <m/>
    <m/>
    <m/>
    <m/>
    <m/>
    <n v="0"/>
    <m/>
    <m/>
    <m/>
    <m/>
    <m/>
    <m/>
    <m/>
    <s v="DATO PENDIENTE"/>
    <s v="DATO PENDIENTE"/>
    <d v="2016-09-01T00:00:00"/>
    <s v="DATO PENDIENTE"/>
    <m/>
    <m/>
    <m/>
    <m/>
    <m/>
    <m/>
    <m/>
    <m/>
    <m/>
    <m/>
    <m/>
    <m/>
    <m/>
    <m/>
    <m/>
    <m/>
    <m/>
    <m/>
    <m/>
    <m/>
    <m/>
    <m/>
    <m/>
    <m/>
    <m/>
    <n v="0.2"/>
    <n v="0.28000000000000003"/>
    <n v="0.28000000000000003"/>
    <n v="0.28000000000000003"/>
    <n v="0.28000000000000003"/>
    <n v="0.46"/>
    <n v="0.76"/>
    <n v="0.79"/>
    <n v="0.79"/>
    <n v="0.85"/>
    <n v="0.94"/>
    <n v="0.94"/>
    <n v="0.95"/>
    <n v="0.95"/>
    <n v="0.95"/>
    <n v="0.95"/>
    <n v="1"/>
    <n v="1"/>
    <n v="1"/>
    <n v="1"/>
    <n v="1"/>
    <n v="1"/>
    <n v="1"/>
    <n v="1"/>
    <n v="1"/>
    <n v="1"/>
    <n v="1"/>
    <n v="1"/>
    <n v="1"/>
    <n v="1"/>
    <n v="1"/>
    <x v="0"/>
    <n v="1"/>
    <n v="1"/>
    <n v="1"/>
    <x v="0"/>
    <s v="si"/>
    <s v="si"/>
    <s v="si"/>
    <s v="si"/>
    <s v="si"/>
    <s v="si"/>
    <s v="si"/>
    <x v="0"/>
    <s v="si"/>
    <s v="si"/>
    <s v="si"/>
    <m/>
    <m/>
    <m/>
    <m/>
    <m/>
    <m/>
    <m/>
    <m/>
    <m/>
    <m/>
    <s v="ESTE PROCESO ES UNO SOLO, PERO CORRESPONDE A DOS SUBCOMPONENTES: DISTRIBUCIÓN Y SUBTRANSMISIÓN"/>
    <m/>
    <m/>
    <m/>
  </r>
  <r>
    <x v="15"/>
    <s v="FIRMAS CONSULTORAS"/>
    <x v="0"/>
    <s v="Proyectos de expansión y refuerzo en el Sistema Nacional de Distribución"/>
    <x v="3"/>
    <x v="7"/>
    <x v="0"/>
    <s v="LOS RÍOS"/>
    <x v="45"/>
    <n v="2"/>
    <x v="0"/>
    <s v="BID2-RSND-CNELLRS-FI-FC-001"/>
    <s v=" FISCALIZACIÓN PARA LAS SIGUIENTES SALIDAS: SUBESTACION PALENQUE (4), REPOTENCIACION ALIMENTADOR PALENQUE, SUBESTACIÓN VINCES, ALIMENTADORES S/E LA ERCILIA (EL GUINEO Y RCTO LA ERCILIA); VARIANTE LINEA TRIFASICA CATARAMA - PIJULLO - POTOSI; TRIFASEAMIENTO LINEA GUARE - SAN ANTONIO; LINEA TRIFASICA PARROQUIA CARACOL - PARROQUIA LA UNION; REPOTENCIACIÓN DE LA RED DE DISTRIBUCIÓN EN LA ZONA URBANA DEL CANTON VENTANAS; TRIFASEAMIENTO LINEA HCDA- BONITA - T - LOS ANGELES - LA TABAQUERA (6)"/>
    <s v="Fiscalización ampliaciones menores"/>
    <s v="SBCC"/>
    <s v="ex-post"/>
    <s v="EJECUTADO BID"/>
    <s v="BID2-RSND-CNELLRS-FI-FC-001"/>
    <s v="TENAZCOMPANY S.A."/>
    <s v="ECUATORIANA"/>
    <s v="PERSONA JURÍDICA"/>
    <s v="0 992747617001"/>
    <s v="NO APLICA"/>
    <s v="NO APLICA"/>
    <s v="SR. HUMBERTO DELGADO ROJAS "/>
    <s v="(05) 2 730 089 Ext.110"/>
    <n v="35490.105000000003"/>
    <m/>
    <m/>
    <m/>
    <n v="0"/>
    <n v="0"/>
    <n v="0.12"/>
    <n v="0"/>
    <n v="0"/>
    <n v="0"/>
    <m/>
    <m/>
    <m/>
    <m/>
    <m/>
    <m/>
    <m/>
    <m/>
    <m/>
    <m/>
    <m/>
    <m/>
    <m/>
    <m/>
    <m/>
    <m/>
    <m/>
    <m/>
    <m/>
    <m/>
    <m/>
    <n v="0"/>
    <n v="0"/>
    <m/>
    <s v="NO APLICA"/>
    <s v="NO APLICA"/>
    <m/>
    <m/>
    <m/>
    <m/>
    <m/>
    <m/>
    <m/>
    <m/>
    <m/>
    <m/>
    <m/>
    <m/>
    <s v="NO APLICA"/>
    <d v="2015-12-23T00:00:00"/>
    <s v="NO APLICA"/>
    <d v="2016-01-15T00:00:00"/>
    <d v="2016-01-28T00:00:00"/>
    <s v="NO APLICA"/>
    <s v="NO APLICA"/>
    <s v="NO APLICA"/>
    <m/>
    <m/>
    <m/>
    <m/>
    <m/>
    <m/>
    <m/>
    <m/>
    <m/>
    <m/>
    <m/>
    <m/>
    <m/>
    <m/>
    <s v="NO APLICA"/>
    <s v="NO APLICA"/>
    <s v="NO APLICA"/>
    <d v="2016-08-31T00:00:00"/>
    <m/>
    <m/>
    <d v="2016-11-10T00:00:00"/>
    <m/>
    <m/>
    <m/>
    <m/>
    <m/>
    <m/>
    <m/>
    <m/>
    <m/>
    <m/>
    <m/>
    <m/>
    <m/>
    <m/>
    <m/>
    <m/>
    <m/>
    <m/>
    <m/>
    <m/>
    <m/>
    <m/>
    <m/>
    <m/>
    <m/>
    <n v="0"/>
    <m/>
    <m/>
    <m/>
    <m/>
    <m/>
    <m/>
    <m/>
    <s v="DATO PENDIENTE"/>
    <s v="DATO PENDIENTE"/>
    <d v="2016-09-01T00:00:00"/>
    <s v="DATO PENDIENTE"/>
    <m/>
    <m/>
    <m/>
    <m/>
    <m/>
    <m/>
    <m/>
    <m/>
    <m/>
    <m/>
    <m/>
    <m/>
    <m/>
    <m/>
    <m/>
    <m/>
    <m/>
    <m/>
    <m/>
    <m/>
    <m/>
    <m/>
    <m/>
    <m/>
    <m/>
    <n v="0.2"/>
    <n v="0.28000000000000003"/>
    <n v="0.28000000000000003"/>
    <n v="0.28000000000000003"/>
    <n v="0.28000000000000003"/>
    <n v="0.46"/>
    <n v="0.76"/>
    <n v="0.79"/>
    <n v="0.79"/>
    <n v="0.85"/>
    <n v="0.94"/>
    <n v="0.94"/>
    <n v="0.95"/>
    <n v="0.95"/>
    <n v="0.95"/>
    <n v="1"/>
    <n v="1"/>
    <n v="1"/>
    <n v="1"/>
    <n v="1"/>
    <n v="1"/>
    <n v="1"/>
    <n v="1"/>
    <n v="1"/>
    <n v="1"/>
    <n v="1"/>
    <n v="1"/>
    <n v="1"/>
    <n v="1"/>
    <n v="1"/>
    <n v="1"/>
    <x v="0"/>
    <n v="1"/>
    <n v="1"/>
    <n v="1"/>
    <x v="0"/>
    <s v="si"/>
    <s v="si"/>
    <s v="si"/>
    <s v="si"/>
    <s v="si"/>
    <s v="si"/>
    <s v="si"/>
    <x v="0"/>
    <s v="si"/>
    <s v="si"/>
    <s v="si"/>
    <m/>
    <m/>
    <m/>
    <m/>
    <m/>
    <m/>
    <m/>
    <m/>
    <m/>
    <m/>
    <s v="ESTE PROCESO ES UNO SOLO, PERO CORRESPONDE A DOS SUBCOMPONENTES: DISTRIBUCIÓN Y SUBTRANSMISIÓN"/>
    <m/>
    <m/>
    <m/>
  </r>
  <r>
    <x v="15"/>
    <s v="FIRMAS CONSULTORAS"/>
    <x v="0"/>
    <s v="Proyectos de expansión y refuerzo en el Sistema Nacional de Distribución"/>
    <x v="3"/>
    <x v="7"/>
    <x v="0"/>
    <s v="LOS RÍOS"/>
    <x v="46"/>
    <n v="3"/>
    <x v="0"/>
    <s v="BID2-RSND-CNELLRS-FI-FC-001"/>
    <s v=" FISCALIZACIÓN PARA LAS SIGUIENTES SALIDAS: SUBESTACION PALENQUE (4), REPOTENCIACION ALIMENTADOR PALENQUE, SUBESTACIÓN VINCES, ALIMENTADORES S/E LA ERCILIA (EL GUINEO Y RCTO LA ERCILIA); VARIANTE LINEA TRIFASICA CATARAMA - PIJULLO - POTOSI; TRIFASEAMIENTO LINEA GUARE - SAN ANTONIO; LINEA TRIFASICA PARROQUIA CARACOL - PARROQUIA LA UNION; REPOTENCIACIÓN DE LA RED DE DISTRIBUCIÓN EN LA ZONA URBANA DEL CANTON VENTANAS; TRIFASEAMIENTO LINEA HCDA- BONITA - T - LOS ANGELES - LA TABAQUERA (7)"/>
    <s v="Fiscaización Palenque"/>
    <s v="SBCC"/>
    <s v="ex-post"/>
    <s v="EJECUTADO BID"/>
    <s v="BID2-RSND-CNELLRS-FI-FC-001"/>
    <s v="TENAZCOMPANY S.A."/>
    <s v="ECUATORIANA"/>
    <s v="PERSONA JURÍDICA"/>
    <s v="0 992747617001"/>
    <s v="NO APLICA"/>
    <s v="NO APLICA"/>
    <s v="SR. HUMBERTO DELGADO ROJAS "/>
    <s v="(05) 2 730 089 Ext.110"/>
    <n v="26078.306230143047"/>
    <n v="0"/>
    <n v="0"/>
    <m/>
    <n v="0"/>
    <n v="0"/>
    <n v="0.12"/>
    <n v="0"/>
    <n v="0"/>
    <n v="0"/>
    <m/>
    <m/>
    <m/>
    <m/>
    <m/>
    <m/>
    <m/>
    <m/>
    <m/>
    <m/>
    <m/>
    <m/>
    <m/>
    <m/>
    <m/>
    <m/>
    <m/>
    <m/>
    <m/>
    <m/>
    <m/>
    <n v="0"/>
    <n v="0"/>
    <m/>
    <s v="NO APLICA"/>
    <s v="NO APLICA"/>
    <m/>
    <m/>
    <m/>
    <m/>
    <m/>
    <m/>
    <m/>
    <m/>
    <m/>
    <m/>
    <m/>
    <m/>
    <s v="NO APLICA"/>
    <d v="2015-12-23T00:00:00"/>
    <s v="NO APLICA"/>
    <d v="2016-01-15T00:00:00"/>
    <d v="2016-01-28T00:00:00"/>
    <s v="NO APLICA"/>
    <s v="NO APLICA"/>
    <s v="NO APLICA"/>
    <m/>
    <m/>
    <m/>
    <m/>
    <m/>
    <m/>
    <m/>
    <m/>
    <m/>
    <m/>
    <m/>
    <m/>
    <m/>
    <m/>
    <s v="NO APLICA"/>
    <s v="NO APLICA"/>
    <s v="NO APLICA"/>
    <d v="2016-08-31T00:00:00"/>
    <m/>
    <m/>
    <d v="2016-11-10T00:00:00"/>
    <m/>
    <m/>
    <m/>
    <m/>
    <m/>
    <m/>
    <m/>
    <m/>
    <m/>
    <m/>
    <m/>
    <m/>
    <m/>
    <m/>
    <m/>
    <m/>
    <m/>
    <m/>
    <m/>
    <m/>
    <m/>
    <m/>
    <m/>
    <m/>
    <m/>
    <n v="0"/>
    <m/>
    <m/>
    <m/>
    <m/>
    <m/>
    <m/>
    <m/>
    <s v="DATO PENDIENTE"/>
    <s v="DATO PENDIENTE"/>
    <d v="2016-09-01T00:00:00"/>
    <s v="DATO PENDIENTE"/>
    <m/>
    <m/>
    <m/>
    <m/>
    <m/>
    <m/>
    <m/>
    <m/>
    <m/>
    <m/>
    <m/>
    <m/>
    <m/>
    <m/>
    <m/>
    <m/>
    <m/>
    <m/>
    <m/>
    <m/>
    <m/>
    <m/>
    <m/>
    <m/>
    <m/>
    <n v="0.2"/>
    <n v="0.28000000000000003"/>
    <n v="0.28000000000000003"/>
    <n v="0.28000000000000003"/>
    <n v="0.28000000000000003"/>
    <n v="0.46"/>
    <n v="0.76"/>
    <n v="0.79"/>
    <n v="0.79"/>
    <n v="0.85"/>
    <n v="0.94"/>
    <n v="0.94"/>
    <n v="0.95"/>
    <n v="0.95"/>
    <n v="0.95"/>
    <n v="1"/>
    <n v="1"/>
    <n v="1"/>
    <n v="1"/>
    <n v="1"/>
    <n v="1"/>
    <n v="1"/>
    <n v="1"/>
    <n v="1"/>
    <n v="1"/>
    <n v="1"/>
    <n v="1"/>
    <n v="1"/>
    <n v="1"/>
    <n v="1"/>
    <n v="1"/>
    <x v="0"/>
    <n v="1"/>
    <n v="1"/>
    <n v="1"/>
    <x v="0"/>
    <s v="si"/>
    <s v="si"/>
    <s v="si"/>
    <s v="si"/>
    <s v="si"/>
    <s v="si"/>
    <s v="si"/>
    <x v="0"/>
    <s v="si"/>
    <s v="si"/>
    <s v="si"/>
    <m/>
    <m/>
    <m/>
    <m/>
    <m/>
    <m/>
    <m/>
    <m/>
    <m/>
    <m/>
    <s v="ESTE PROCESO ES UNO SOLO, PERO CORRESPONDE A DOS SUBCOMPONENTES: DISTRIBUCIÓN Y SUBTRANSMISIÓN"/>
    <m/>
    <m/>
    <m/>
  </r>
  <r>
    <x v="15"/>
    <s v="FIRMAS CONSULTORAS"/>
    <x v="0"/>
    <s v="Proyectos de expansión y refuerzo en el Sistema Nacional de Distribución"/>
    <x v="3"/>
    <x v="7"/>
    <x v="0"/>
    <s v="LOS RÍOS"/>
    <x v="47"/>
    <n v="4"/>
    <x v="0"/>
    <s v="BID2-RSND-CNELLRS-FI-FC-001"/>
    <s v=" FISCALIZACIÓN PARA LAS SIGUIENTES SALIDAS: SUBESTACION PALENQUE (4), REPOTENCIACION ALIMENTADOR PALENQUE, SUBESTACIÓN VINCES, ALIMENTADORES S/E LA ERCILIA (EL GUINEO Y RCTO LA ERCILIA); VARIANTE LINEA TRIFASICA CATARAMA - PIJULLO - POTOSI; TRIFASEAMIENTO LINEA GUARE - SAN ANTONIO; LINEA TRIFASICA PARROQUIA CARACOL - PARROQUIA LA UNION; REPOTENCIACIÓN DE LA RED DE DISTRIBUCIÓN EN LA ZONA URBANA DEL CANTON VENTANAS; TRIFASEAMIENTO LINEA HCDA- BONITA - T - LOS ANGELES - LA TABAQUERA (8)"/>
    <s v="Fiscalización Vinces"/>
    <s v="SBCC"/>
    <s v="ex-post"/>
    <s v="EJECUTADO BID"/>
    <s v="BID2-RSND-CNELLRS-FI-FC-001"/>
    <s v="TENAZCOMPANY S.A."/>
    <s v="ECUATORIANA"/>
    <s v="PERSONA JURÍDICA"/>
    <s v="0 992747617001"/>
    <s v="NO APLICA"/>
    <s v="NO APLICA"/>
    <s v="SR. HUMBERTO DELGADO ROJAS "/>
    <s v="(05) 2 730 089 Ext.110"/>
    <n v="3830.0262000000007"/>
    <n v="0"/>
    <n v="0"/>
    <m/>
    <n v="0"/>
    <n v="0"/>
    <n v="0.12"/>
    <n v="0"/>
    <n v="0"/>
    <n v="0"/>
    <m/>
    <m/>
    <m/>
    <m/>
    <m/>
    <m/>
    <m/>
    <m/>
    <m/>
    <m/>
    <m/>
    <m/>
    <m/>
    <m/>
    <m/>
    <m/>
    <m/>
    <m/>
    <m/>
    <m/>
    <m/>
    <n v="0"/>
    <n v="0"/>
    <m/>
    <s v="NO APLICA"/>
    <s v="NO APLICA"/>
    <m/>
    <m/>
    <m/>
    <m/>
    <m/>
    <m/>
    <m/>
    <m/>
    <m/>
    <m/>
    <m/>
    <m/>
    <s v="NO APLICA"/>
    <d v="2015-12-23T00:00:00"/>
    <s v="NO APLICA"/>
    <d v="2016-01-15T00:00:00"/>
    <d v="2016-01-28T00:00:00"/>
    <s v="NO APLICA"/>
    <s v="NO APLICA"/>
    <s v="NO APLICA"/>
    <m/>
    <m/>
    <m/>
    <m/>
    <m/>
    <m/>
    <m/>
    <m/>
    <m/>
    <m/>
    <m/>
    <m/>
    <m/>
    <m/>
    <s v="NO APLICA"/>
    <s v="NO APLICA"/>
    <s v="NO APLICA"/>
    <d v="2016-08-31T00:00:00"/>
    <m/>
    <m/>
    <d v="2016-11-10T00:00:00"/>
    <m/>
    <m/>
    <m/>
    <m/>
    <m/>
    <m/>
    <m/>
    <m/>
    <m/>
    <m/>
    <m/>
    <m/>
    <m/>
    <m/>
    <m/>
    <m/>
    <m/>
    <m/>
    <m/>
    <m/>
    <m/>
    <m/>
    <m/>
    <m/>
    <m/>
    <n v="0"/>
    <m/>
    <m/>
    <m/>
    <m/>
    <m/>
    <m/>
    <m/>
    <s v="DATO PENDIENTE"/>
    <s v="DATO PENDIENTE"/>
    <d v="2016-09-01T00:00:00"/>
    <s v="DATO PENDIENTE"/>
    <m/>
    <m/>
    <m/>
    <m/>
    <m/>
    <m/>
    <m/>
    <m/>
    <m/>
    <m/>
    <m/>
    <m/>
    <m/>
    <m/>
    <m/>
    <m/>
    <m/>
    <m/>
    <m/>
    <m/>
    <m/>
    <m/>
    <m/>
    <m/>
    <m/>
    <n v="0.2"/>
    <n v="0.28000000000000003"/>
    <n v="0.28000000000000003"/>
    <n v="0.28000000000000003"/>
    <n v="0.28000000000000003"/>
    <n v="0.46"/>
    <n v="0.76"/>
    <n v="0.79"/>
    <n v="0.79"/>
    <n v="0.85"/>
    <n v="0.94"/>
    <n v="0.94"/>
    <n v="0.95"/>
    <n v="0.95"/>
    <n v="0.95"/>
    <n v="1"/>
    <n v="1"/>
    <n v="1"/>
    <n v="1"/>
    <n v="1"/>
    <n v="1"/>
    <n v="1"/>
    <n v="1"/>
    <n v="1"/>
    <n v="1"/>
    <n v="1"/>
    <n v="1"/>
    <n v="1"/>
    <n v="1"/>
    <n v="1"/>
    <n v="1"/>
    <x v="0"/>
    <n v="1"/>
    <n v="1"/>
    <n v="1"/>
    <x v="0"/>
    <s v="si"/>
    <s v="si"/>
    <s v="si"/>
    <s v="si"/>
    <s v="si"/>
    <s v="si"/>
    <s v="si"/>
    <x v="0"/>
    <s v="si"/>
    <s v="si"/>
    <s v="si"/>
    <m/>
    <m/>
    <m/>
    <m/>
    <m/>
    <m/>
    <m/>
    <m/>
    <m/>
    <m/>
    <s v="ESTE PROCESO ES UNO SOLO, PERO CORRESPONDE A DOS SUBCOMPONENTES: DISTRIBUCIÓN Y SUBTRANSMISIÓN"/>
    <m/>
    <m/>
    <m/>
  </r>
  <r>
    <x v="15"/>
    <s v="FIRMAS CONSULTORAS"/>
    <x v="0"/>
    <s v="Proyectos de expansión y refuerzo en el Sistema Nacional de Distribución"/>
    <x v="3"/>
    <x v="7"/>
    <x v="0"/>
    <s v="LOS RÍOS"/>
    <x v="48"/>
    <n v="5"/>
    <x v="0"/>
    <s v="BID2-RSND-CNELLRS-FI-FC-001"/>
    <s v=" FISCALIZACIÓN PARA LAS SIGUIENTES SALIDAS: SUBESTACION PALENQUE (4), REPOTENCIACION ALIMENTADOR PALENQUE, SUBESTACIÓN VINCES, ALIMENTADORES S/E LA ERCILIA (EL GUINEO Y RCTO LA ERCILIA); VARIANTE LINEA TRIFASICA CATARAMA - PIJULLO - POTOSI; TRIFASEAMIENTO LINEA GUARE - SAN ANTONIO; LINEA TRIFASICA PARROQUIA CARACOL - PARROQUIA LA UNION; REPOTENCIACIÓN DE LA RED DE DISTRIBUCIÓN EN LA ZONA URBANA DEL CANTON VENTANAS; TRIFASEAMIENTO LINEA HCDA- BONITA - T - LOS ANGELES - LA TABAQUERA (9)"/>
    <s v="Fiscalización Ercilia"/>
    <s v="SBCC"/>
    <s v="ex-post"/>
    <s v="EJECUTADO BID"/>
    <s v="BID2-RSND-CNELLRS-FI-FC-001"/>
    <s v="TENAZCOMPANY S.A."/>
    <s v="ECUATORIANA"/>
    <s v="PERSONA JURÍDICA"/>
    <s v="0 992747617001"/>
    <s v="NO APLICA"/>
    <s v="NO APLICA"/>
    <s v="SR. HUMBERTO DELGADO ROJAS "/>
    <s v="(05) 2 730 089 Ext.110"/>
    <n v="2097.5150000000003"/>
    <n v="0"/>
    <n v="0"/>
    <m/>
    <n v="0"/>
    <n v="0"/>
    <n v="0.12"/>
    <n v="0"/>
    <n v="0"/>
    <n v="0"/>
    <m/>
    <m/>
    <m/>
    <m/>
    <m/>
    <m/>
    <m/>
    <m/>
    <m/>
    <m/>
    <m/>
    <m/>
    <m/>
    <m/>
    <m/>
    <m/>
    <m/>
    <m/>
    <m/>
    <m/>
    <m/>
    <n v="0"/>
    <n v="0"/>
    <m/>
    <s v="NO APLICA"/>
    <s v="NO APLICA"/>
    <m/>
    <m/>
    <m/>
    <m/>
    <m/>
    <m/>
    <m/>
    <m/>
    <m/>
    <m/>
    <m/>
    <m/>
    <s v="NO APLICA"/>
    <d v="2015-12-23T00:00:00"/>
    <s v="NO APLICA"/>
    <d v="2016-01-15T00:00:00"/>
    <d v="2016-01-28T00:00:00"/>
    <s v="NO APLICA"/>
    <s v="NO APLICA"/>
    <s v="NO APLICA"/>
    <m/>
    <m/>
    <m/>
    <m/>
    <m/>
    <m/>
    <m/>
    <m/>
    <m/>
    <m/>
    <m/>
    <m/>
    <m/>
    <m/>
    <s v="NO APLICA"/>
    <s v="NO APLICA"/>
    <s v="NO APLICA"/>
    <d v="2016-08-31T00:00:00"/>
    <m/>
    <m/>
    <d v="2016-11-10T00:00:00"/>
    <m/>
    <m/>
    <m/>
    <m/>
    <m/>
    <m/>
    <m/>
    <m/>
    <m/>
    <m/>
    <m/>
    <m/>
    <m/>
    <m/>
    <m/>
    <m/>
    <m/>
    <m/>
    <m/>
    <m/>
    <m/>
    <m/>
    <m/>
    <m/>
    <m/>
    <n v="0"/>
    <m/>
    <m/>
    <m/>
    <m/>
    <m/>
    <m/>
    <m/>
    <s v="DATO PENDIENTE"/>
    <s v="DATO PENDIENTE"/>
    <d v="2016-09-01T00:00:00"/>
    <s v="DATO PENDIENTE"/>
    <m/>
    <m/>
    <m/>
    <m/>
    <m/>
    <m/>
    <m/>
    <m/>
    <m/>
    <m/>
    <m/>
    <m/>
    <m/>
    <m/>
    <m/>
    <m/>
    <m/>
    <m/>
    <m/>
    <m/>
    <m/>
    <m/>
    <m/>
    <m/>
    <m/>
    <n v="0.2"/>
    <n v="0.28000000000000003"/>
    <n v="0.28000000000000003"/>
    <n v="0.28000000000000003"/>
    <n v="0.28000000000000003"/>
    <n v="0.46"/>
    <n v="0.76"/>
    <n v="0.79"/>
    <n v="0.79"/>
    <n v="0.85"/>
    <n v="0.94"/>
    <n v="0.94"/>
    <n v="0.95"/>
    <n v="0.95"/>
    <n v="0.95"/>
    <n v="1"/>
    <n v="1"/>
    <n v="1"/>
    <n v="1"/>
    <n v="1"/>
    <n v="1"/>
    <n v="1"/>
    <n v="1"/>
    <n v="1"/>
    <n v="1"/>
    <n v="1"/>
    <n v="1"/>
    <n v="1"/>
    <n v="1"/>
    <n v="1"/>
    <n v="1"/>
    <x v="0"/>
    <n v="1"/>
    <n v="1"/>
    <n v="1"/>
    <x v="0"/>
    <s v="si"/>
    <s v="si"/>
    <s v="si"/>
    <s v="si"/>
    <s v="si"/>
    <s v="si"/>
    <s v="si"/>
    <x v="0"/>
    <s v="si"/>
    <s v="si"/>
    <s v="si"/>
    <m/>
    <m/>
    <m/>
    <m/>
    <m/>
    <m/>
    <m/>
    <m/>
    <m/>
    <m/>
    <s v="ESTE PROCESO ES UNO SOLO, PERO CORRESPONDE A DOS SUBCOMPONENTES: DISTRIBUCIÓN Y SUBTRANSMISIÓN"/>
    <m/>
    <m/>
    <m/>
  </r>
  <r>
    <x v="16"/>
    <s v="FIRMAS CONSULTORAS"/>
    <x v="0"/>
    <s v="Proyectos de expansión y refuerzo en el Sistema Nacional de Distribución"/>
    <x v="3"/>
    <x v="7"/>
    <x v="1"/>
    <s v="MANABI"/>
    <x v="55"/>
    <n v="1"/>
    <x v="0"/>
    <s v="BID2-RSND-CNELMAN-FI-FC-001"/>
    <s v=" FISCALIZACIÓN REPOTENCIACIÓN DE LA INFRAESTRUCTURA CIVIL Y ELÉCTRICA DE LA S/E CHONE, 2x10-12,5 MVA (69/13,8kV)"/>
    <m/>
    <s v="SBCC"/>
    <s v="ex-post"/>
    <s v="EJECUTADO EE"/>
    <m/>
    <m/>
    <m/>
    <m/>
    <m/>
    <s v="NO APLICA"/>
    <s v="NO APLICA"/>
    <m/>
    <m/>
    <m/>
    <n v="60614.22"/>
    <n v="0"/>
    <n v="60614.22"/>
    <n v="0"/>
    <n v="60614.22"/>
    <n v="0.12"/>
    <n v="7273.7064"/>
    <n v="0"/>
    <n v="67887.926400000011"/>
    <n v="0"/>
    <n v="60614.22"/>
    <m/>
    <m/>
    <n v="0"/>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m/>
    <m/>
    <m/>
    <n v="1"/>
    <n v="1"/>
    <n v="1"/>
    <n v="1"/>
    <n v="1"/>
    <n v="1"/>
    <n v="1"/>
    <n v="1"/>
    <n v="1"/>
    <n v="1"/>
    <n v="1"/>
    <n v="1"/>
    <n v="1"/>
    <n v="1"/>
    <n v="1"/>
    <n v="1"/>
    <n v="1"/>
    <n v="1"/>
    <n v="1"/>
    <x v="0"/>
    <n v="1"/>
    <n v="1"/>
    <n v="1"/>
    <x v="0"/>
    <s v="no"/>
    <s v="no"/>
    <s v="no"/>
    <s v="no"/>
    <s v="no"/>
    <s v="no"/>
    <s v="no"/>
    <x v="3"/>
    <s v="ee"/>
    <s v="ee"/>
    <s v="ee"/>
    <m/>
    <m/>
    <m/>
    <m/>
    <m/>
    <m/>
    <m/>
    <m/>
    <m/>
    <m/>
    <s v="PROCESO ELIMINADO REFORMA OFICIO Nro. CNEL-MAN-ADM-2016-0945-O de 25 de noviembre de 2016, ver Formulario de Control de Cambios No.1."/>
    <m/>
    <m/>
    <m/>
  </r>
  <r>
    <x v="21"/>
    <s v="CONTRATACIÓN DIRECTA"/>
    <x v="3"/>
    <s v="Adm Prog"/>
    <x v="7"/>
    <x v="8"/>
    <x v="0"/>
    <s v="NACIONAL"/>
    <x v="4"/>
    <m/>
    <x v="0"/>
    <s v="BID2-RSND-MEER-AF-DI-001"/>
    <s v="AUDITORÍA DE LOS ESTADOS FINANCIEROS DE LOS PROGRAMAS 3494/OC-EC y 3494/CH-EC FINANCIADOS POR EL BID. EJERCICIOS 2015-2016"/>
    <m/>
    <s v="DI"/>
    <s v="ex-ante"/>
    <s v="EJECUTADO BID"/>
    <s v="BID2-RSND-MEER-AF-DI-001"/>
    <s v="ERNST &amp; YOUNG ECUADOR E&amp;Y CÍA. LTDA."/>
    <s v="ECUATORIANA"/>
    <s v="PERSONA JURÍDICA"/>
    <n v="1791815378001"/>
    <s v="NO APLICA"/>
    <s v="NO APLICA"/>
    <s v="AB. SILVIA VARGAS"/>
    <m/>
    <m/>
    <n v="41112"/>
    <n v="0"/>
    <n v="41112"/>
    <n v="0"/>
    <n v="41112"/>
    <n v="0.12"/>
    <n v="4933.4399999999996"/>
    <n v="0"/>
    <n v="46045.440000000002"/>
    <n v="39056.400000000001"/>
    <n v="2055.5999999999985"/>
    <m/>
    <m/>
    <n v="41112"/>
    <m/>
    <n v="39056.400000000001"/>
    <n v="0.14000000000000001"/>
    <n v="5467.8960000000006"/>
    <n v="44524.295999999995"/>
    <m/>
    <m/>
    <m/>
    <m/>
    <m/>
    <m/>
    <m/>
    <m/>
    <m/>
    <m/>
    <m/>
    <m/>
    <n v="0"/>
    <s v="EL QUE CONSTA EN LA AF-200"/>
    <m/>
    <s v="NO APLICA"/>
    <s v="NO APLICA"/>
    <s v="NO APLICA"/>
    <s v="NO APLICA"/>
    <d v="2016-12-20T00:00:00"/>
    <s v="NO APLICA"/>
    <s v="NO APLICA"/>
    <d v="2016-12-21T00:00:00"/>
    <s v="NO APLICA"/>
    <d v="2016-12-27T00:00:00"/>
    <d v="2016-12-28T00:00:00"/>
    <s v="NO APLICA"/>
    <s v="NO APLICA"/>
    <m/>
    <d v="2017-01-31T00:00:00"/>
    <s v="NO APLICA"/>
    <s v="NO APLICA"/>
    <d v="2017-02-13T00:00:00"/>
    <s v="NO APLICA"/>
    <m/>
    <m/>
    <s v="NO APLICA"/>
    <m/>
    <m/>
    <m/>
    <m/>
    <m/>
    <m/>
    <m/>
    <m/>
    <m/>
    <m/>
    <m/>
    <m/>
    <m/>
    <m/>
    <s v="NO APLICA"/>
    <s v="NO APLICA"/>
    <d v="2017-03-30T00:00:00"/>
    <n v="15622.56"/>
    <s v="PAGO FINAL"/>
    <d v="2017-06-02T00:00:00"/>
    <n v="23433.84"/>
    <m/>
    <m/>
    <m/>
    <m/>
    <m/>
    <m/>
    <m/>
    <m/>
    <m/>
    <m/>
    <m/>
    <m/>
    <m/>
    <m/>
    <m/>
    <m/>
    <m/>
    <m/>
    <m/>
    <m/>
    <m/>
    <m/>
    <m/>
    <n v="23433.84"/>
    <m/>
    <m/>
    <m/>
    <m/>
    <m/>
    <m/>
    <m/>
    <m/>
    <s v="DATO PENDIENTE"/>
    <s v="DESDE LA NOTIFICACIÓN DE LA ENTREGA DEL ANTICIPO"/>
    <s v="DATO PENDIENTE"/>
    <m/>
    <m/>
    <m/>
    <m/>
    <m/>
    <m/>
    <m/>
    <m/>
    <m/>
    <m/>
    <m/>
    <m/>
    <m/>
    <m/>
    <m/>
    <m/>
    <m/>
    <m/>
    <m/>
    <m/>
    <m/>
    <m/>
    <m/>
    <d v="2017-04-15T00:00:00"/>
    <m/>
    <m/>
    <m/>
    <m/>
    <m/>
    <m/>
    <m/>
    <m/>
    <m/>
    <m/>
    <m/>
    <m/>
    <m/>
    <m/>
    <m/>
    <m/>
    <n v="1"/>
    <n v="1"/>
    <n v="1"/>
    <n v="1"/>
    <n v="1"/>
    <n v="1"/>
    <n v="1"/>
    <n v="1"/>
    <n v="1"/>
    <n v="1"/>
    <n v="1"/>
    <n v="1"/>
    <n v="1"/>
    <n v="1"/>
    <n v="1"/>
    <n v="1"/>
    <n v="1"/>
    <x v="0"/>
    <n v="1"/>
    <n v="1"/>
    <n v="1"/>
    <x v="0"/>
    <s v="no"/>
    <s v="no"/>
    <s v="no"/>
    <s v="no"/>
    <s v="no"/>
    <s v="no"/>
    <s v="no"/>
    <x v="0"/>
    <s v="si"/>
    <s v="si"/>
    <s v="si"/>
    <m/>
    <m/>
    <m/>
    <m/>
    <m/>
    <m/>
    <m/>
    <m/>
    <m/>
    <m/>
    <m/>
    <m/>
    <m/>
    <m/>
  </r>
  <r>
    <x v="21"/>
    <s v="CONTRATACIÓN DIRECTA"/>
    <x v="3"/>
    <s v="Adm Prog"/>
    <x v="7"/>
    <x v="8"/>
    <x v="0"/>
    <s v="NACIONAL"/>
    <x v="4"/>
    <m/>
    <x v="0"/>
    <s v="BID2-RSND-MEER-AF-DI-002"/>
    <s v="AUDITORÍA DE LOS ESTADOS FINANCIEROS DE LOS PROGRAMAS 3494/OC-EC y 3494/CH-EC FINANCIADOS POR EL BID. EJERCICIO 2017"/>
    <m/>
    <s v="DI"/>
    <s v="ex-ante"/>
    <s v="CONTRATADO"/>
    <s v="BID2-RSND-MEER-AF-DI-002"/>
    <s v="ERNST &amp; YOUNG ECUADOR E&amp;Y CÍA. LTDA."/>
    <s v="ECUATORIANA"/>
    <s v="PERSONA JURÍDICA"/>
    <n v="1791815378001"/>
    <s v="NO APLICA"/>
    <s v="NO APLICA"/>
    <s v="AB. SILVIA VARGAS"/>
    <m/>
    <m/>
    <n v="39200"/>
    <n v="0"/>
    <n v="39200"/>
    <n v="0"/>
    <n v="39200"/>
    <n v="0.12"/>
    <n v="4704"/>
    <n v="0"/>
    <n v="43904.000000000007"/>
    <m/>
    <m/>
    <m/>
    <m/>
    <n v="39200"/>
    <m/>
    <n v="39200"/>
    <n v="0.12"/>
    <n v="5488.0000000000009"/>
    <n v="44687.999999999993"/>
    <m/>
    <m/>
    <m/>
    <m/>
    <m/>
    <m/>
    <m/>
    <m/>
    <m/>
    <m/>
    <m/>
    <m/>
    <n v="0"/>
    <m/>
    <s v="NO APLICA"/>
    <s v="NO APLICA"/>
    <s v="NO APLICA"/>
    <s v="NO APLICA"/>
    <s v="NO APLICA"/>
    <m/>
    <m/>
    <m/>
    <m/>
    <m/>
    <m/>
    <m/>
    <s v="NO APLICA"/>
    <s v="NO APLICA"/>
    <s v="NO APLICA"/>
    <m/>
    <m/>
    <m/>
    <m/>
    <s v="NO APLICA"/>
    <m/>
    <m/>
    <m/>
    <m/>
    <m/>
    <m/>
    <m/>
    <m/>
    <m/>
    <m/>
    <m/>
    <m/>
    <m/>
    <m/>
    <m/>
    <m/>
    <m/>
    <m/>
    <m/>
    <m/>
    <m/>
    <m/>
    <m/>
    <m/>
    <m/>
    <m/>
    <m/>
    <m/>
    <m/>
    <m/>
    <m/>
    <m/>
    <m/>
    <m/>
    <m/>
    <m/>
    <m/>
    <m/>
    <m/>
    <m/>
    <m/>
    <m/>
    <m/>
    <m/>
    <m/>
    <m/>
    <m/>
    <m/>
    <n v="0"/>
    <m/>
    <m/>
    <m/>
    <m/>
    <m/>
    <m/>
    <m/>
    <m/>
    <m/>
    <m/>
    <m/>
    <m/>
    <m/>
    <m/>
    <m/>
    <m/>
    <m/>
    <m/>
    <m/>
    <m/>
    <m/>
    <m/>
    <m/>
    <m/>
    <m/>
    <m/>
    <m/>
    <m/>
    <m/>
    <m/>
    <m/>
    <m/>
    <m/>
    <m/>
    <m/>
    <m/>
    <m/>
    <m/>
    <m/>
    <m/>
    <m/>
    <m/>
    <m/>
    <m/>
    <m/>
    <m/>
    <m/>
    <m/>
    <n v="0"/>
    <n v="0"/>
    <n v="0"/>
    <n v="0"/>
    <n v="0"/>
    <n v="0"/>
    <n v="0"/>
    <n v="0"/>
    <n v="0"/>
    <n v="0"/>
    <n v="0"/>
    <n v="0"/>
    <n v="1"/>
    <n v="1"/>
    <n v="1"/>
    <n v="1"/>
    <n v="1"/>
    <n v="1"/>
    <n v="1"/>
    <x v="0"/>
    <n v="1"/>
    <n v="1"/>
    <n v="1"/>
    <x v="0"/>
    <s v="no"/>
    <s v="no"/>
    <s v="no"/>
    <s v="no"/>
    <s v="no"/>
    <s v="no"/>
    <s v="no"/>
    <x v="1"/>
    <s v="no"/>
    <s v="no"/>
    <s v="no"/>
    <m/>
    <m/>
    <m/>
    <m/>
    <s v="En liquidación"/>
    <m/>
    <m/>
    <m/>
    <m/>
    <m/>
    <m/>
    <m/>
    <m/>
    <m/>
  </r>
  <r>
    <x v="21"/>
    <s v="CONTRATACIÓN DIRECTA"/>
    <x v="3"/>
    <s v="Adm Prog"/>
    <x v="7"/>
    <x v="8"/>
    <x v="0"/>
    <s v="NACIONAL"/>
    <x v="4"/>
    <m/>
    <x v="0"/>
    <s v="BID2-RSND-MEER-AF-DI-003"/>
    <s v="AUDITORÍA DE LOS ESTADOS FINANCIEROS DE LOS PROGRAMAS 3494/OC-EC y 3494/CH-EC FINANCIADOS POR EL BID Y REVISIÓN EX-POST DE ADQUISICIONES EN FORMA INTEGRADA CON LOS PROCESOS DE DESEMBOLSOS. EJERCICIO 2018"/>
    <m/>
    <s v="DI"/>
    <s v="ex-ante"/>
    <s v="EN PROCESO CON PLIEGOS Y CERTIFICACIÓN"/>
    <s v="BID2-RSND-MEER-AF-DI-003"/>
    <s v="ERNST &amp; YOUNG ECUADOR E&amp;Y CÍA. LTDA."/>
    <s v="ECUATORIANA"/>
    <s v="PERSONA JURÍDICA"/>
    <n v="1791815378001"/>
    <s v="NO APLICA"/>
    <s v="NO APLICA"/>
    <s v="Ing. María Belén Quezada"/>
    <m/>
    <m/>
    <n v="29495"/>
    <n v="0"/>
    <n v="29495"/>
    <n v="0"/>
    <n v="26545.5"/>
    <n v="0.12"/>
    <n v="3539.4"/>
    <n v="0"/>
    <n v="29730.960000000003"/>
    <m/>
    <m/>
    <m/>
    <m/>
    <m/>
    <m/>
    <n v="26545.5"/>
    <n v="0.12"/>
    <n v="3185.46"/>
    <n v="29730.959999999999"/>
    <m/>
    <m/>
    <m/>
    <m/>
    <m/>
    <m/>
    <m/>
    <m/>
    <m/>
    <m/>
    <m/>
    <m/>
    <m/>
    <m/>
    <m/>
    <s v="NO APLICA"/>
    <s v="NO APLICA"/>
    <s v="NO APLICA"/>
    <s v="NO APLICA"/>
    <m/>
    <m/>
    <m/>
    <m/>
    <m/>
    <m/>
    <d v="2019-06-12T00:00:00"/>
    <s v="NO APLICA"/>
    <s v="NO APLICA"/>
    <m/>
    <d v="2019-06-12T00:00:00"/>
    <s v="NO APLICA"/>
    <s v="NO APLICA"/>
    <d v="2017-02-13T00:00:00"/>
    <s v="NO APLICA"/>
    <s v="NO APLICA"/>
    <s v="NO APLICA"/>
    <s v="NO APLICA"/>
    <m/>
    <m/>
    <m/>
    <m/>
    <m/>
    <m/>
    <m/>
    <m/>
    <m/>
    <m/>
    <m/>
    <m/>
    <m/>
    <s v="NO APLICA"/>
    <s v="NO APLICA"/>
    <s v="NO APLICA"/>
    <m/>
    <m/>
    <m/>
    <m/>
    <m/>
    <m/>
    <m/>
    <m/>
    <m/>
    <m/>
    <m/>
    <m/>
    <m/>
    <m/>
    <m/>
    <m/>
    <m/>
    <m/>
    <m/>
    <m/>
    <m/>
    <m/>
    <m/>
    <m/>
    <m/>
    <m/>
    <m/>
    <m/>
    <m/>
    <m/>
    <m/>
    <m/>
    <m/>
    <m/>
    <m/>
    <m/>
    <m/>
    <m/>
    <m/>
    <m/>
    <m/>
    <m/>
    <m/>
    <m/>
    <m/>
    <m/>
    <m/>
    <m/>
    <m/>
    <m/>
    <m/>
    <m/>
    <m/>
    <m/>
    <m/>
    <m/>
    <m/>
    <m/>
    <m/>
    <m/>
    <m/>
    <m/>
    <m/>
    <m/>
    <m/>
    <m/>
    <m/>
    <m/>
    <m/>
    <m/>
    <m/>
    <m/>
    <m/>
    <m/>
    <m/>
    <m/>
    <m/>
    <m/>
    <m/>
    <m/>
    <m/>
    <m/>
    <m/>
    <m/>
    <m/>
    <m/>
    <m/>
    <m/>
    <m/>
    <m/>
    <m/>
    <m/>
    <m/>
    <m/>
    <m/>
    <m/>
    <m/>
    <x v="2"/>
    <n v="0"/>
    <n v="0"/>
    <n v="0"/>
    <x v="1"/>
    <s v="no"/>
    <s v="no"/>
    <s v="no"/>
    <s v="no"/>
    <s v="no"/>
    <s v="no"/>
    <s v="no"/>
    <x v="1"/>
    <s v="no"/>
    <s v="no"/>
    <s v="no"/>
    <s v="Este contrato se entregaron el informe el 26-jun-2019."/>
    <m/>
    <m/>
    <m/>
    <s v="Pospuesto"/>
    <m/>
    <m/>
    <m/>
    <m/>
    <m/>
    <s v="PRESUPUESTO REFORMADO SEGÚN CONSTA EN LA CAN/CEC-341/2019 DE  29 de marzo de 2019, en respuesta al Oficio Nro.MERNNR-DEGTODEE-2019-0030-OF del 27 de marzo de 2019."/>
    <m/>
    <m/>
    <m/>
  </r>
  <r>
    <x v="21"/>
    <s v="CONTRATACIÓN DIRECTA"/>
    <x v="3"/>
    <s v="Adm Prog"/>
    <x v="7"/>
    <x v="8"/>
    <x v="0"/>
    <s v="NACIONAL"/>
    <x v="4"/>
    <m/>
    <x v="0"/>
    <s v="BID2-RSND-MEER-AF-DI-004"/>
    <s v="AUDITORÍA DE LOS ESTADOS FINANCIEROS DE LOS PROGRAMAS 3494/OC-EC y 3494/CH-EC FINANCIADOS POR EL BID Y REVISIÓN EX-POST DE ADQUISICIONES EN FORMA INTEGRADA CON LOS PROCESOS DE DESEMBOLSOS. EJERCICIO 2019"/>
    <m/>
    <s v="DI"/>
    <s v="ex-ante"/>
    <s v="EN PROCESO CON PLIEGOS Y CERTIFICACIÓN"/>
    <m/>
    <m/>
    <m/>
    <m/>
    <m/>
    <s v="NO APLICA"/>
    <s v="NO APLICA"/>
    <m/>
    <m/>
    <m/>
    <n v="40193"/>
    <n v="0"/>
    <n v="40193"/>
    <n v="0"/>
    <n v="40193"/>
    <n v="0.12"/>
    <n v="4823.16"/>
    <n v="0"/>
    <n v="45016.160000000003"/>
    <m/>
    <m/>
    <m/>
    <m/>
    <m/>
    <m/>
    <m/>
    <m/>
    <m/>
    <m/>
    <m/>
    <m/>
    <m/>
    <m/>
    <m/>
    <m/>
    <m/>
    <m/>
    <m/>
    <m/>
    <m/>
    <m/>
    <m/>
    <m/>
    <m/>
    <s v="NO APLICA"/>
    <s v="NO APLICA"/>
    <s v="NO APLICA"/>
    <s v="NO APLICA"/>
    <m/>
    <m/>
    <m/>
    <m/>
    <m/>
    <m/>
    <m/>
    <s v="NO APLICA"/>
    <s v="NO APLICA"/>
    <m/>
    <m/>
    <m/>
    <m/>
    <m/>
    <m/>
    <m/>
    <m/>
    <m/>
    <m/>
    <m/>
    <m/>
    <m/>
    <m/>
    <m/>
    <m/>
    <m/>
    <m/>
    <m/>
    <m/>
    <m/>
    <m/>
    <m/>
    <m/>
    <m/>
    <m/>
    <m/>
    <m/>
    <m/>
    <m/>
    <m/>
    <m/>
    <m/>
    <m/>
    <m/>
    <m/>
    <m/>
    <m/>
    <m/>
    <m/>
    <m/>
    <m/>
    <m/>
    <m/>
    <m/>
    <m/>
    <m/>
    <m/>
    <m/>
    <m/>
    <m/>
    <m/>
    <m/>
    <m/>
    <m/>
    <m/>
    <m/>
    <m/>
    <m/>
    <m/>
    <m/>
    <m/>
    <m/>
    <m/>
    <m/>
    <m/>
    <m/>
    <m/>
    <m/>
    <m/>
    <m/>
    <m/>
    <m/>
    <m/>
    <m/>
    <m/>
    <m/>
    <m/>
    <m/>
    <m/>
    <m/>
    <m/>
    <m/>
    <m/>
    <m/>
    <m/>
    <m/>
    <m/>
    <m/>
    <m/>
    <m/>
    <m/>
    <m/>
    <m/>
    <m/>
    <m/>
    <m/>
    <m/>
    <m/>
    <m/>
    <m/>
    <m/>
    <m/>
    <m/>
    <m/>
    <m/>
    <m/>
    <m/>
    <m/>
    <m/>
    <m/>
    <m/>
    <m/>
    <m/>
    <m/>
    <m/>
    <m/>
    <m/>
    <m/>
    <m/>
    <m/>
    <m/>
    <x v="1"/>
    <m/>
    <m/>
    <m/>
    <x v="5"/>
    <s v="no"/>
    <s v="no"/>
    <s v="no"/>
    <s v="no"/>
    <s v="no"/>
    <s v="no"/>
    <s v="no"/>
    <x v="1"/>
    <s v="no"/>
    <s v="no"/>
    <s v="no"/>
    <m/>
    <m/>
    <m/>
    <m/>
    <s v="Pospuesto"/>
    <m/>
    <m/>
    <m/>
    <m/>
    <m/>
    <m/>
    <m/>
    <m/>
    <m/>
  </r>
  <r>
    <x v="11"/>
    <s v="CONSULTORIA INDIVIDUAL"/>
    <x v="0"/>
    <s v="Proyectos de expansión y refuerzo en el Sistema Nacional de Distribución"/>
    <x v="3"/>
    <x v="7"/>
    <x v="1"/>
    <s v="BOLIVAR"/>
    <x v="17"/>
    <n v="1"/>
    <x v="0"/>
    <s v="BID2-RSND-CNELBOL-FI-CI-001"/>
    <s v=" FISCALIZACIÓN ELÉCTRICA CONSTRUCCIÓN DE LA LÍNEA DE SUBTRANSMISIÓN BABAHOYO-CALUMA"/>
    <m/>
    <s v="CCIN"/>
    <s v="ex-post"/>
    <s v="CONTRATADO"/>
    <s v="BID2-RSND-CNELBOL-FI-CI-001"/>
    <s v="ING. ANIBAL ROBERTO CÓRDOVA ALBÁN "/>
    <s v="ECUATORIANA"/>
    <s v="PERSONA NATURAL"/>
    <n v="1700807728001"/>
    <s v="NO APLICA"/>
    <s v="NO APLICA"/>
    <m/>
    <m/>
    <m/>
    <n v="49500"/>
    <n v="0"/>
    <n v="49500"/>
    <n v="0"/>
    <n v="49500"/>
    <n v="0.12"/>
    <n v="5940"/>
    <n v="0"/>
    <n v="55440.000000000007"/>
    <m/>
    <m/>
    <m/>
    <m/>
    <n v="49500"/>
    <m/>
    <n v="49000"/>
    <n v="0.14000000000000001"/>
    <n v="6860.0000000000009"/>
    <n v="55859.999999999993"/>
    <m/>
    <m/>
    <m/>
    <m/>
    <m/>
    <m/>
    <m/>
    <m/>
    <m/>
    <m/>
    <m/>
    <n v="500"/>
    <n v="500"/>
    <m/>
    <s v="NO APLICA"/>
    <s v="NO APLICA"/>
    <d v="2017-02-13T00:00:00"/>
    <d v="2017-02-17T00:00:00"/>
    <m/>
    <m/>
    <m/>
    <m/>
    <m/>
    <m/>
    <m/>
    <d v="2017-04-20T00:00:00"/>
    <m/>
    <m/>
    <s v="NO APLICA"/>
    <d v="2017-05-15T00:00:00"/>
    <m/>
    <s v="DATO PENDIENTE"/>
    <d v="2017-06-08T00:00:00"/>
    <s v="NO APLICA"/>
    <s v="NO APLICA"/>
    <s v="NO APLICA"/>
    <m/>
    <m/>
    <m/>
    <m/>
    <m/>
    <m/>
    <m/>
    <m/>
    <m/>
    <m/>
    <m/>
    <m/>
    <m/>
    <m/>
    <s v="NO APLICA"/>
    <s v="NO APLICA"/>
    <s v="NO APLICA"/>
    <m/>
    <m/>
    <m/>
    <m/>
    <m/>
    <m/>
    <m/>
    <m/>
    <m/>
    <m/>
    <m/>
    <m/>
    <m/>
    <m/>
    <m/>
    <m/>
    <m/>
    <m/>
    <m/>
    <m/>
    <m/>
    <m/>
    <m/>
    <m/>
    <m/>
    <m/>
    <m/>
    <m/>
    <m/>
    <n v="0"/>
    <m/>
    <m/>
    <m/>
    <m/>
    <m/>
    <m/>
    <m/>
    <n v="420"/>
    <s v="NOTIFICACIÓN DEL ADMINISTRADOR"/>
    <m/>
    <m/>
    <m/>
    <m/>
    <m/>
    <m/>
    <m/>
    <m/>
    <m/>
    <m/>
    <m/>
    <m/>
    <m/>
    <m/>
    <m/>
    <m/>
    <m/>
    <m/>
    <m/>
    <m/>
    <m/>
    <m/>
    <m/>
    <m/>
    <m/>
    <m/>
    <m/>
    <m/>
    <m/>
    <m/>
    <m/>
    <m/>
    <m/>
    <m/>
    <m/>
    <m/>
    <m/>
    <m/>
    <m/>
    <m/>
    <m/>
    <n v="0"/>
    <n v="0"/>
    <n v="0.3"/>
    <n v="0.59"/>
    <n v="0.66"/>
    <n v="0.75"/>
    <n v="0.94"/>
    <n v="0.94"/>
    <n v="0.94"/>
    <n v="0.94"/>
    <n v="0.98"/>
    <n v="0.98"/>
    <n v="0.98"/>
    <n v="0.98"/>
    <n v="0.98"/>
    <n v="0.98"/>
    <n v="0.98"/>
    <x v="0"/>
    <n v="1"/>
    <n v="1"/>
    <n v="1"/>
    <x v="0"/>
    <s v="no"/>
    <s v="no"/>
    <s v="no"/>
    <s v="no"/>
    <s v="no"/>
    <s v="no"/>
    <s v="no"/>
    <x v="1"/>
    <s v="no"/>
    <s v="no"/>
    <s v="no"/>
    <s v="En trámite de no objeción al BID, suscripción de contrato complementario (9,7 %) y espera de avales del MF"/>
    <m/>
    <m/>
    <m/>
    <m/>
    <m/>
    <s v="Obra concluida. Con problmeas en pago de indemnizaciones que impiden desbroce y energización de la línea."/>
    <m/>
    <m/>
    <m/>
    <s v="EL PROCESO DE BID2-RSND-CNELBOL-FI-FC-001 SE MODIFICO POR TRES CONSULTORIA INDIVIDUALES CONFORME LA SOLICITUD DE REFORMA DE CNELBOL CONTENIDA EN EL OFICIO Nro. CNEL-BOL-ADM-2016-0380-OF de 04.10.2016., VER FORMULARIO DE CONTROL DE CAMBIOS Y OFICIO DE RESPUESTA Nro.MEER-SDCE-2016-1286-OF del 12.11.2016"/>
    <m/>
    <s v="AUTORIZADO MEDIANTE OFICIO Nro. MINFIN-SRF-2017-0216-O DE 17 DE MARZO DE 2017"/>
    <m/>
  </r>
  <r>
    <x v="11"/>
    <s v="CONSULTORIA INDIVIDUAL"/>
    <x v="0"/>
    <s v="Proyectos de expansión y refuerzo en el Sistema Nacional de Distribución"/>
    <x v="3"/>
    <x v="7"/>
    <x v="1"/>
    <s v="BOLIVAR"/>
    <x v="17"/>
    <n v="1"/>
    <x v="0"/>
    <s v="BID2-RSND-CNELBOL-FI-CI-002"/>
    <s v=" FISCALIZACIÓN CIVIL CONSTRUCCIÓN DE LA LÍNEA DE SUBTRANSMISIÓN BABAHOYO-CALUMA"/>
    <m/>
    <s v="CCIN"/>
    <s v="ex-post"/>
    <s v="CONTRATADO"/>
    <s v="BID2-RSND-CNELBOL-FI-CI-002"/>
    <s v="ING. LUIS EDUARDO TAMA MENDOZA"/>
    <s v="ECUATORIANA"/>
    <s v="PERSONA NATURAL"/>
    <s v="0 95792990001"/>
    <s v="NO APLICA"/>
    <s v="NO APLICA"/>
    <m/>
    <m/>
    <m/>
    <n v="49500"/>
    <n v="0"/>
    <n v="49500"/>
    <n v="0"/>
    <n v="49500"/>
    <n v="0.12"/>
    <n v="5940"/>
    <n v="0"/>
    <n v="55440.000000000007"/>
    <m/>
    <m/>
    <m/>
    <m/>
    <n v="49500"/>
    <m/>
    <n v="49500"/>
    <n v="0.14000000000000001"/>
    <n v="6930.0000000000009"/>
    <n v="56429.999999999993"/>
    <m/>
    <m/>
    <m/>
    <m/>
    <m/>
    <m/>
    <m/>
    <m/>
    <m/>
    <m/>
    <m/>
    <n v="0"/>
    <n v="0"/>
    <m/>
    <s v="NO APLICA"/>
    <s v="NO APLICA"/>
    <d v="2017-02-13T00:00:00"/>
    <d v="2017-02-17T00:00:00"/>
    <m/>
    <m/>
    <m/>
    <m/>
    <m/>
    <m/>
    <m/>
    <d v="2017-04-20T00:00:00"/>
    <m/>
    <m/>
    <s v="NO APLICA"/>
    <d v="2017-05-15T00:00:00"/>
    <m/>
    <s v="DATO PENDIENTE"/>
    <d v="2017-05-19T00:00:00"/>
    <s v="NO APLICA"/>
    <s v="NO APLICA"/>
    <s v="NO APLICA"/>
    <m/>
    <m/>
    <m/>
    <m/>
    <m/>
    <m/>
    <m/>
    <m/>
    <m/>
    <m/>
    <m/>
    <m/>
    <m/>
    <m/>
    <s v="NO APLICA"/>
    <s v="NO APLICA"/>
    <s v="NO APLICA"/>
    <m/>
    <m/>
    <m/>
    <m/>
    <m/>
    <m/>
    <m/>
    <m/>
    <m/>
    <m/>
    <m/>
    <m/>
    <m/>
    <m/>
    <m/>
    <m/>
    <m/>
    <m/>
    <m/>
    <m/>
    <m/>
    <m/>
    <m/>
    <m/>
    <m/>
    <m/>
    <m/>
    <m/>
    <m/>
    <n v="0"/>
    <m/>
    <m/>
    <m/>
    <m/>
    <m/>
    <m/>
    <m/>
    <n v="420"/>
    <s v="NOTIFICACIÓN DEL ADMINISTRADOR"/>
    <m/>
    <m/>
    <m/>
    <m/>
    <m/>
    <m/>
    <m/>
    <m/>
    <m/>
    <m/>
    <m/>
    <m/>
    <m/>
    <m/>
    <m/>
    <m/>
    <m/>
    <m/>
    <m/>
    <m/>
    <m/>
    <m/>
    <m/>
    <m/>
    <m/>
    <m/>
    <m/>
    <m/>
    <m/>
    <m/>
    <m/>
    <m/>
    <m/>
    <m/>
    <m/>
    <m/>
    <m/>
    <m/>
    <m/>
    <m/>
    <m/>
    <n v="0"/>
    <n v="0"/>
    <n v="0.3"/>
    <n v="0.59"/>
    <n v="0.66"/>
    <n v="0.75"/>
    <n v="0.94"/>
    <n v="0.94"/>
    <n v="0.94"/>
    <n v="0.94"/>
    <n v="0.98"/>
    <n v="0.98"/>
    <n v="0.98"/>
    <n v="0.98"/>
    <n v="0.98"/>
    <n v="0.98"/>
    <n v="0.98"/>
    <x v="0"/>
    <n v="1"/>
    <n v="1"/>
    <n v="1"/>
    <x v="0"/>
    <s v="no"/>
    <s v="no"/>
    <s v="no"/>
    <s v="no"/>
    <s v="no"/>
    <s v="no"/>
    <s v="no"/>
    <x v="1"/>
    <s v="no"/>
    <s v="no"/>
    <s v="no"/>
    <s v="En trámite de no objeción al BID, suscripción de contrato complementario (9,7 %) y espera de avales del MF"/>
    <m/>
    <m/>
    <m/>
    <m/>
    <m/>
    <s v="Obra concluida. Con problmeas en pago de indemnizaciones que impiden desbroce y energización de la línea."/>
    <m/>
    <m/>
    <m/>
    <s v="EL PROCESO DE BID2-RSND-CNELBOL-FI-FC-001 SE MODIFICO POR TRES CONSULTORIA INDIVIDUALES CONFORME LA SOLICITUD DE REFORMA DE CNELBOL CONTENIDA EN EL OFICIO Nro. CNEL-BOL-ADM-2016-0380-OF de 04.10.2016., VER FORMULARIO DE CONTROL DE CAMBIOS Y OFICIO DE RESPUESTA Nro.MEER-SDCE-2016-1286-OF del 12.11.2016"/>
    <m/>
    <s v="AUTORIZADO MEDIANTE OFICIO Nro. MINFIN-SRF-2017-0216-O DE 17 DE MARZO DE 2017"/>
    <m/>
  </r>
  <r>
    <x v="0"/>
    <s v="CONSULTORIA INDIVIDUAL"/>
    <x v="0"/>
    <s v="Proyectos de expansión y refuerzo en el Sistema Nacional de Distribución"/>
    <x v="3"/>
    <x v="7"/>
    <x v="1"/>
    <s v="EL ORO"/>
    <x v="19"/>
    <n v="2"/>
    <x v="0"/>
    <s v="BID2-RSND-CNELEOR-FI-CI-006"/>
    <s v=" FISCALIZACIÓN DE LA OBRA ELECTRICA EN LA LÍNEA DE SUBTRANSMISIÓN EL CAMBIO-EL BOSQUE"/>
    <m/>
    <s v="CCIN"/>
    <s v="ex-post"/>
    <s v="EJECUTADO BID"/>
    <s v="BID2-RSND-CNELEOR-FI-CI-006"/>
    <s v="ING. JORGE LUIS SARANGO VERA"/>
    <s v="ECUATORIANA"/>
    <s v="PERSONA NATURAL"/>
    <s v="0 705067536001"/>
    <s v="NO APLICA"/>
    <s v="NO APLICA"/>
    <s v="ING. JIMMY HINDAR QUEZADA GUARNIZO"/>
    <m/>
    <m/>
    <n v="50000"/>
    <n v="0"/>
    <n v="50000"/>
    <n v="0"/>
    <n v="50000"/>
    <n v="0.12"/>
    <n v="6000"/>
    <n v="0"/>
    <n v="56000.000000000007"/>
    <n v="50000"/>
    <n v="0"/>
    <m/>
    <m/>
    <n v="50000"/>
    <m/>
    <n v="50000"/>
    <m/>
    <m/>
    <m/>
    <m/>
    <m/>
    <m/>
    <m/>
    <m/>
    <m/>
    <m/>
    <m/>
    <m/>
    <m/>
    <m/>
    <n v="0"/>
    <n v="0"/>
    <m/>
    <s v="NO APLICA"/>
    <s v="NO APLICA"/>
    <m/>
    <m/>
    <m/>
    <m/>
    <m/>
    <m/>
    <m/>
    <m/>
    <m/>
    <m/>
    <m/>
    <m/>
    <s v="NO APLICA"/>
    <m/>
    <m/>
    <m/>
    <d v="2015-12-31T00:00:00"/>
    <s v="NO APLICA"/>
    <s v="NO APLICA"/>
    <s v="NO APLICA"/>
    <m/>
    <m/>
    <m/>
    <m/>
    <m/>
    <m/>
    <m/>
    <m/>
    <m/>
    <m/>
    <m/>
    <m/>
    <m/>
    <m/>
    <s v="NO APLICA"/>
    <s v="NO APLICA"/>
    <s v="NO APLICA"/>
    <s v="NO APLICA"/>
    <m/>
    <s v="Pago 1"/>
    <d v="2017-03-07T00:00:00"/>
    <n v="8333.33"/>
    <s v="PLANILLA 2"/>
    <d v="2017-05-10T00:00:00"/>
    <n v="8333.33"/>
    <s v="PAGO 1/6 PLANILLA 1"/>
    <d v="2017-05-09T00:00:00"/>
    <n v="6316.66"/>
    <m/>
    <m/>
    <m/>
    <m/>
    <m/>
    <m/>
    <m/>
    <m/>
    <m/>
    <m/>
    <m/>
    <m/>
    <m/>
    <m/>
    <m/>
    <m/>
    <m/>
    <m/>
    <n v="22983.32"/>
    <m/>
    <m/>
    <m/>
    <m/>
    <m/>
    <m/>
    <m/>
    <n v="365"/>
    <s v="NOTIFICACIÓN DEL ADMINISTRADOR"/>
    <s v="DATO PENDIENTE"/>
    <s v="DATO PENDIENTE"/>
    <m/>
    <m/>
    <m/>
    <m/>
    <m/>
    <m/>
    <m/>
    <m/>
    <m/>
    <m/>
    <m/>
    <m/>
    <m/>
    <m/>
    <m/>
    <m/>
    <m/>
    <m/>
    <m/>
    <m/>
    <m/>
    <m/>
    <m/>
    <m/>
    <m/>
    <m/>
    <m/>
    <m/>
    <m/>
    <m/>
    <m/>
    <m/>
    <m/>
    <m/>
    <n v="0.05"/>
    <n v="0.1"/>
    <n v="0.15"/>
    <n v="0.15"/>
    <n v="0.15"/>
    <n v="0.15"/>
    <n v="0.75"/>
    <n v="0.75"/>
    <n v="1"/>
    <n v="1"/>
    <n v="1"/>
    <n v="1"/>
    <n v="1"/>
    <n v="1"/>
    <n v="1"/>
    <n v="1"/>
    <n v="1"/>
    <n v="1"/>
    <n v="1"/>
    <n v="1"/>
    <n v="1"/>
    <n v="1"/>
    <x v="0"/>
    <n v="1"/>
    <n v="1"/>
    <n v="1"/>
    <x v="0"/>
    <s v="si"/>
    <s v="si"/>
    <s v="si"/>
    <s v="si"/>
    <s v="si"/>
    <s v="si"/>
    <s v="si"/>
    <x v="0"/>
    <s v="si"/>
    <s v="si"/>
    <s v="si"/>
    <m/>
    <m/>
    <m/>
    <m/>
    <m/>
    <m/>
    <m/>
    <m/>
    <m/>
    <m/>
    <m/>
    <m/>
    <m/>
    <m/>
  </r>
  <r>
    <x v="0"/>
    <s v="CONSULTORIA INDIVIDUAL"/>
    <x v="0"/>
    <s v="Proyectos de expansión y refuerzo en el Sistema Nacional de Distribución"/>
    <x v="3"/>
    <x v="7"/>
    <x v="1"/>
    <s v="EL ORO"/>
    <x v="19"/>
    <n v="2"/>
    <x v="0"/>
    <s v="BID2-RSND-CNELEOR-FI-CI-007"/>
    <s v=" FISCALIZACIÓN DE LA OBRA CIVIL EN LA LÍNEA DE SUBTRANSMISIÓN EL CAMBIO-EL BOSQUE"/>
    <m/>
    <s v="CCIN"/>
    <s v="ex-post"/>
    <s v="EJECUTADO BID"/>
    <s v="BID2-RSND-CNELEOR-FI-CI-007"/>
    <s v="ING. WILLIAM EDUARDO YANGE PEÑALOZA"/>
    <s v="ECUATORIANA"/>
    <s v="PERSONA NATURAL"/>
    <s v="0 704526334001"/>
    <s v="NO APLICA"/>
    <s v="NO APLICA"/>
    <s v="ING. JIMMY HINDAR QUEZADA GUARNIZO"/>
    <s v="DATO PENDIENTE"/>
    <m/>
    <n v="18950"/>
    <n v="0"/>
    <n v="18950"/>
    <n v="0"/>
    <n v="18950"/>
    <n v="0.12"/>
    <n v="2274"/>
    <n v="0"/>
    <n v="21224.000000000004"/>
    <n v="18950"/>
    <n v="0"/>
    <m/>
    <m/>
    <n v="18950"/>
    <m/>
    <n v="18950"/>
    <m/>
    <m/>
    <m/>
    <m/>
    <m/>
    <m/>
    <m/>
    <m/>
    <m/>
    <m/>
    <m/>
    <m/>
    <m/>
    <m/>
    <n v="0"/>
    <n v="0"/>
    <m/>
    <s v="NO APLICA"/>
    <s v="NO APLICA"/>
    <m/>
    <m/>
    <m/>
    <m/>
    <m/>
    <m/>
    <m/>
    <m/>
    <m/>
    <m/>
    <m/>
    <m/>
    <s v="NO APLICA"/>
    <m/>
    <m/>
    <m/>
    <d v="2016-01-08T00:00:00"/>
    <s v="NO APLICA"/>
    <s v="NO APLICA"/>
    <s v="NO APLICA"/>
    <m/>
    <m/>
    <m/>
    <m/>
    <m/>
    <m/>
    <m/>
    <m/>
    <m/>
    <m/>
    <m/>
    <m/>
    <m/>
    <m/>
    <s v="NO APLICA"/>
    <s v="NO APLICA"/>
    <s v="NO APLICA"/>
    <s v="NO APLICA"/>
    <m/>
    <m/>
    <m/>
    <m/>
    <m/>
    <m/>
    <m/>
    <m/>
    <m/>
    <m/>
    <m/>
    <m/>
    <m/>
    <m/>
    <m/>
    <m/>
    <m/>
    <m/>
    <m/>
    <m/>
    <m/>
    <m/>
    <m/>
    <m/>
    <m/>
    <m/>
    <m/>
    <m/>
    <n v="0"/>
    <m/>
    <m/>
    <m/>
    <m/>
    <m/>
    <m/>
    <m/>
    <n v="365"/>
    <s v="NOTIFICACIÓN DEL ADMINISTRADOR"/>
    <s v="DATO PENDIENTE"/>
    <s v="DATO PENDIENTE"/>
    <m/>
    <m/>
    <m/>
    <m/>
    <m/>
    <m/>
    <m/>
    <m/>
    <m/>
    <m/>
    <m/>
    <m/>
    <m/>
    <m/>
    <m/>
    <m/>
    <m/>
    <m/>
    <m/>
    <m/>
    <m/>
    <m/>
    <m/>
    <m/>
    <m/>
    <m/>
    <m/>
    <m/>
    <m/>
    <m/>
    <m/>
    <m/>
    <m/>
    <m/>
    <n v="0.05"/>
    <n v="0.1"/>
    <n v="0.15"/>
    <n v="0.15"/>
    <n v="0.15"/>
    <n v="0.15"/>
    <n v="0.75"/>
    <n v="0.75"/>
    <n v="1"/>
    <n v="1"/>
    <n v="1"/>
    <n v="1"/>
    <n v="1"/>
    <n v="1"/>
    <n v="1"/>
    <n v="1"/>
    <n v="1"/>
    <n v="1"/>
    <n v="1"/>
    <n v="1"/>
    <n v="1"/>
    <n v="1"/>
    <x v="0"/>
    <n v="1"/>
    <n v="1"/>
    <n v="1"/>
    <x v="0"/>
    <s v="no"/>
    <s v="no"/>
    <s v="si"/>
    <s v="si"/>
    <s v="si"/>
    <s v="si"/>
    <s v="si"/>
    <x v="0"/>
    <s v="si"/>
    <s v="si"/>
    <s v="si"/>
    <m/>
    <m/>
    <m/>
    <m/>
    <m/>
    <m/>
    <m/>
    <m/>
    <m/>
    <m/>
    <m/>
    <m/>
    <m/>
    <m/>
  </r>
  <r>
    <x v="0"/>
    <s v="CONSULTORIA INDIVIDUAL"/>
    <x v="0"/>
    <s v=" Proyectos de expansión y refuerzo en el Sistema Nacional de Distribución"/>
    <x v="3"/>
    <x v="7"/>
    <x v="1"/>
    <s v="EL ORO"/>
    <x v="20"/>
    <n v="3"/>
    <x v="0"/>
    <s v="BID2-RSND-CNELEOR-FI-CI-004"/>
    <s v=" FISCALIZACIÓN DE LA CONSTRUCCIÓN DE LA OBRA ELECTRICA DE LA SUBESTACIÓN EL BOSQUE"/>
    <m/>
    <s v="CCIN"/>
    <s v="ex-post"/>
    <s v="CONTRATADO"/>
    <s v="BID2-RSND-CNELEOR-FI-CI-004"/>
    <s v="ING. ERNESTO DARIO TENESACA AGUILAR"/>
    <s v="ECUATORIANA"/>
    <s v="PERSONA NATURAL"/>
    <s v="0 702417528001"/>
    <s v="NO APLICA"/>
    <s v="NO APLICA"/>
    <s v="ING. EDWIN ROLANDO CASTILLO ABAD"/>
    <m/>
    <m/>
    <n v="50000"/>
    <n v="0"/>
    <n v="50000"/>
    <n v="0"/>
    <n v="50000"/>
    <n v="0.12"/>
    <n v="6000"/>
    <n v="0"/>
    <n v="56000.000000000007"/>
    <m/>
    <m/>
    <m/>
    <m/>
    <n v="50000"/>
    <m/>
    <n v="50000"/>
    <n v="0.14000000000000001"/>
    <n v="7000.0000000000009"/>
    <n v="56999.999999999993"/>
    <m/>
    <m/>
    <m/>
    <m/>
    <m/>
    <m/>
    <m/>
    <m/>
    <m/>
    <m/>
    <m/>
    <n v="0"/>
    <n v="0"/>
    <m/>
    <s v="NO APLICA"/>
    <s v="NO APLICA"/>
    <m/>
    <m/>
    <m/>
    <m/>
    <m/>
    <m/>
    <m/>
    <m/>
    <m/>
    <m/>
    <m/>
    <m/>
    <s v="NO APLICA"/>
    <m/>
    <m/>
    <m/>
    <d v="2015-12-24T00:00:00"/>
    <s v="NO APLICA"/>
    <s v="NO APLICA"/>
    <s v="NO APLICA"/>
    <m/>
    <m/>
    <m/>
    <m/>
    <m/>
    <m/>
    <m/>
    <m/>
    <m/>
    <m/>
    <m/>
    <m/>
    <m/>
    <m/>
    <s v="NO APLICA"/>
    <s v="NO APLICA"/>
    <s v="NO APLICA"/>
    <s v="NO APLICA"/>
    <n v="0"/>
    <s v="Pago 1/5 - planilla 1  20%"/>
    <d v="2016-11-16T00:00:00"/>
    <n v="10000"/>
    <s v="Pago 2/5 - planilla 2  20%"/>
    <d v="2016-12-01T00:00:00"/>
    <n v="10000"/>
    <s v="Pago 3/5 - planilla 2  40%"/>
    <d v="2017-03-06T00:00:00"/>
    <n v="10000"/>
    <m/>
    <m/>
    <m/>
    <m/>
    <m/>
    <m/>
    <m/>
    <m/>
    <m/>
    <m/>
    <m/>
    <m/>
    <m/>
    <m/>
    <m/>
    <m/>
    <m/>
    <m/>
    <n v="30000"/>
    <m/>
    <m/>
    <m/>
    <m/>
    <m/>
    <m/>
    <m/>
    <n v="300"/>
    <s v="NOTIFICACIÓN DEL ADMINISTRADOR"/>
    <s v="DATO PENDIENTE"/>
    <s v="DATO PENDIENTE"/>
    <m/>
    <m/>
    <m/>
    <m/>
    <m/>
    <m/>
    <m/>
    <m/>
    <m/>
    <m/>
    <m/>
    <m/>
    <m/>
    <m/>
    <m/>
    <m/>
    <m/>
    <m/>
    <m/>
    <m/>
    <m/>
    <m/>
    <m/>
    <m/>
    <m/>
    <m/>
    <m/>
    <m/>
    <m/>
    <m/>
    <m/>
    <n v="0.1"/>
    <n v="0.1"/>
    <n v="0.1"/>
    <n v="0.15"/>
    <n v="0.25"/>
    <n v="0.3"/>
    <n v="0.3"/>
    <n v="0.75"/>
    <n v="0.75"/>
    <n v="0.75"/>
    <n v="0.75"/>
    <n v="0.75"/>
    <n v="0.75"/>
    <n v="0.75"/>
    <n v="0.9"/>
    <n v="0.9"/>
    <n v="0.9"/>
    <n v="0.9"/>
    <n v="0.9"/>
    <n v="0.9"/>
    <n v="0.9"/>
    <n v="0.9"/>
    <n v="0.9"/>
    <n v="0.9"/>
    <n v="0.9"/>
    <x v="0"/>
    <n v="1"/>
    <n v="1"/>
    <n v="1"/>
    <x v="0"/>
    <s v="no"/>
    <s v="no"/>
    <s v="no"/>
    <s v="no"/>
    <s v="no"/>
    <s v="no"/>
    <s v="no"/>
    <x v="1"/>
    <s v="no"/>
    <s v="no"/>
    <s v="no"/>
    <s v="En espera de avales para suscripción de contrato complementario"/>
    <m/>
    <s v="En espera de avales del MEF"/>
    <m/>
    <s v="Firmado complementario, solicitado pago de anticipo de complemtnario"/>
    <m/>
    <s v="Subestación inaugurada. Falta liquidar"/>
    <m/>
    <m/>
    <m/>
    <m/>
    <m/>
    <m/>
    <m/>
  </r>
  <r>
    <x v="0"/>
    <s v="CONSULTORIA INDIVIDUAL"/>
    <x v="0"/>
    <s v=" Proyectos de expansión y refuerzo en el Sistema Nacional de Distribución"/>
    <x v="3"/>
    <x v="7"/>
    <x v="1"/>
    <s v="EL ORO"/>
    <x v="20"/>
    <n v="3"/>
    <x v="0"/>
    <s v="BID2-RSND-CNELEOR-FI-CI-005"/>
    <s v=" FISCALIZACIÓN DE LA CONSTRUCCIÓN DE LA OBRA CIVIL DE LA SUBESTACIÓN EL BOSQUE"/>
    <m/>
    <s v="CCIN"/>
    <s v="ex-post"/>
    <s v="CONTRATADO"/>
    <s v="BID2-RSND-CNELEOR-FI-CI-005"/>
    <s v="ING. SUSY MARITZA TAMAYO YAGUAL"/>
    <s v="ECUATORIANA"/>
    <s v="PERSONA NATURAL"/>
    <s v="0 702410333001"/>
    <s v="NO APLICA"/>
    <s v="NO APLICA"/>
    <s v="ING. EDWIN ROLANDO CASTILLO ABAD"/>
    <m/>
    <m/>
    <n v="15000"/>
    <n v="0"/>
    <n v="15000"/>
    <n v="0"/>
    <n v="15000"/>
    <n v="0.12"/>
    <n v="1800"/>
    <n v="0"/>
    <n v="16800"/>
    <m/>
    <n v="0"/>
    <m/>
    <m/>
    <n v="15000"/>
    <m/>
    <n v="15000"/>
    <n v="0.14000000000000001"/>
    <n v="2100"/>
    <n v="17100"/>
    <m/>
    <m/>
    <m/>
    <m/>
    <m/>
    <m/>
    <m/>
    <m/>
    <m/>
    <m/>
    <m/>
    <n v="0"/>
    <n v="0"/>
    <m/>
    <s v="NO APLICA"/>
    <s v="NO APLICA"/>
    <m/>
    <m/>
    <m/>
    <m/>
    <m/>
    <m/>
    <m/>
    <m/>
    <m/>
    <m/>
    <m/>
    <m/>
    <s v="NO APLICA"/>
    <m/>
    <m/>
    <m/>
    <d v="2015-12-24T00:00:00"/>
    <s v="NO APLICA"/>
    <s v="NO APLICA"/>
    <s v="NO APLICA"/>
    <m/>
    <m/>
    <m/>
    <m/>
    <m/>
    <m/>
    <m/>
    <m/>
    <m/>
    <m/>
    <m/>
    <m/>
    <m/>
    <m/>
    <s v="NO APLICA"/>
    <s v="NO APLICA"/>
    <s v="NO APLICA"/>
    <s v="NO APLICA"/>
    <m/>
    <s v="Pago 1/5 - Planilla 1      20,00%"/>
    <d v="2016-09-28T00:00:00"/>
    <n v="3000"/>
    <s v="Pago 2/5 - Planilla 2      20,00%"/>
    <d v="2016-11-25T00:00:00"/>
    <n v="3000"/>
    <s v="Pago 3/5 - Planilla 2      60,00%"/>
    <d v="2017-03-06T00:00:00"/>
    <n v="3000"/>
    <m/>
    <m/>
    <m/>
    <m/>
    <m/>
    <m/>
    <m/>
    <m/>
    <m/>
    <m/>
    <m/>
    <m/>
    <m/>
    <m/>
    <m/>
    <m/>
    <m/>
    <m/>
    <n v="9000"/>
    <m/>
    <m/>
    <m/>
    <m/>
    <m/>
    <m/>
    <m/>
    <n v="300"/>
    <s v="NOTIFICACIÓN DEL ADMINISTRADOR"/>
    <s v="DATO PENDIENTE"/>
    <s v="DATO PENDIENTE"/>
    <m/>
    <m/>
    <m/>
    <m/>
    <m/>
    <m/>
    <m/>
    <m/>
    <m/>
    <m/>
    <m/>
    <m/>
    <m/>
    <m/>
    <m/>
    <m/>
    <m/>
    <m/>
    <m/>
    <m/>
    <m/>
    <m/>
    <m/>
    <m/>
    <m/>
    <m/>
    <m/>
    <m/>
    <m/>
    <m/>
    <m/>
    <n v="0.1"/>
    <n v="0.1"/>
    <n v="0.1"/>
    <n v="0.15"/>
    <n v="0.25"/>
    <n v="0.3"/>
    <n v="0.3"/>
    <n v="0.75"/>
    <n v="0.75"/>
    <n v="0.75"/>
    <n v="0.75"/>
    <n v="0.75"/>
    <n v="0.75"/>
    <n v="0.75"/>
    <n v="0.9"/>
    <n v="0.9"/>
    <n v="0.9"/>
    <n v="0.9"/>
    <n v="0.9"/>
    <n v="0.9"/>
    <n v="0.9"/>
    <n v="0.9"/>
    <n v="0.9"/>
    <n v="0.9"/>
    <n v="0.9"/>
    <x v="0"/>
    <n v="1"/>
    <n v="1"/>
    <n v="1"/>
    <x v="0"/>
    <s v="no"/>
    <s v="no"/>
    <s v="no"/>
    <s v="no"/>
    <s v="no"/>
    <s v="no"/>
    <s v="no"/>
    <x v="1"/>
    <s v="no"/>
    <s v="no"/>
    <s v="no"/>
    <s v="En espera de avales para suscripción de contrato complementario"/>
    <m/>
    <s v="En espera de avales del MEF"/>
    <m/>
    <s v="Firmado complementario, solicitado pago de anticipo de complemtnario"/>
    <m/>
    <s v="Subestación inaugurada. Falta liquidar"/>
    <m/>
    <m/>
    <m/>
    <m/>
    <m/>
    <m/>
    <m/>
  </r>
  <r>
    <x v="0"/>
    <s v="CONSULTORIA INDIVIDUAL"/>
    <x v="1"/>
    <s v="Mejoramiento de la eficiencia y fiabilidad de la red"/>
    <x v="6"/>
    <x v="7"/>
    <x v="0"/>
    <s v="EL ORO"/>
    <x v="21"/>
    <n v="4"/>
    <x v="0"/>
    <s v="BID2-RSND-CNELEOR-FI-CI-002"/>
    <s v=" FISCALIZACIÓN ADECUACIÓN DE INFRAESTRUCTURA DE SUBESTACIONES Y CENTRO DE CONTROL PARA SISTEMA SCADA"/>
    <m/>
    <s v="CCIN"/>
    <s v="ex-post"/>
    <s v="EJECUTADO BID"/>
    <s v="BID2-RSND-CNELEOR-FI-CI-002"/>
    <s v="ING. JAVIER IVÁN CONCHA ILLESCAS"/>
    <s v="ECUATORIANA"/>
    <s v="PERSONA NATURAL"/>
    <s v="0 702121120001"/>
    <s v="NO APLICA"/>
    <s v="NO APLICA"/>
    <s v="ING. FERNANDO PÉREZ AYALA"/>
    <m/>
    <m/>
    <n v="19250"/>
    <n v="0"/>
    <n v="19250.000000000004"/>
    <n v="0"/>
    <n v="19250.000000000004"/>
    <n v="0.12"/>
    <n v="2310.0000000000005"/>
    <n v="0"/>
    <n v="21560.000000000007"/>
    <n v="19250"/>
    <n v="0"/>
    <m/>
    <m/>
    <n v="19250"/>
    <m/>
    <n v="19250"/>
    <m/>
    <m/>
    <m/>
    <m/>
    <m/>
    <m/>
    <m/>
    <m/>
    <m/>
    <m/>
    <m/>
    <m/>
    <m/>
    <m/>
    <n v="0"/>
    <n v="0"/>
    <m/>
    <s v="NO APLICA"/>
    <s v="NO APLICA"/>
    <m/>
    <m/>
    <m/>
    <m/>
    <m/>
    <m/>
    <m/>
    <m/>
    <m/>
    <m/>
    <m/>
    <m/>
    <s v="NO APLICA"/>
    <m/>
    <m/>
    <m/>
    <d v="2015-12-24T00:00:00"/>
    <s v="NO APLICA"/>
    <s v="NO APLICA"/>
    <s v="NO APLICA"/>
    <m/>
    <m/>
    <m/>
    <m/>
    <m/>
    <m/>
    <m/>
    <m/>
    <m/>
    <m/>
    <m/>
    <m/>
    <m/>
    <m/>
    <s v="NO APLICA"/>
    <s v="NO APLICA"/>
    <s v="NO APLICA"/>
    <s v="NO APLICA"/>
    <m/>
    <m/>
    <d v="2016-10-19T00:00:00"/>
    <n v="19250"/>
    <m/>
    <m/>
    <m/>
    <m/>
    <m/>
    <m/>
    <m/>
    <m/>
    <m/>
    <m/>
    <m/>
    <m/>
    <m/>
    <m/>
    <m/>
    <m/>
    <m/>
    <m/>
    <m/>
    <m/>
    <m/>
    <m/>
    <m/>
    <m/>
    <n v="19250"/>
    <m/>
    <m/>
    <m/>
    <m/>
    <m/>
    <m/>
    <m/>
    <n v="120"/>
    <s v="NOTIFICACIÓN DEL ADMINISTRADOR"/>
    <s v="DATO PENDIENTE"/>
    <s v="DATO PENDIENTE"/>
    <m/>
    <m/>
    <m/>
    <m/>
    <m/>
    <m/>
    <m/>
    <m/>
    <m/>
    <m/>
    <m/>
    <m/>
    <m/>
    <m/>
    <m/>
    <m/>
    <m/>
    <m/>
    <m/>
    <m/>
    <m/>
    <m/>
    <m/>
    <m/>
    <m/>
    <m/>
    <m/>
    <n v="0.5"/>
    <n v="0.5"/>
    <n v="0.75"/>
    <n v="0.9"/>
    <n v="1"/>
    <n v="1"/>
    <n v="1"/>
    <n v="1"/>
    <n v="1"/>
    <n v="1"/>
    <n v="1"/>
    <n v="1"/>
    <n v="1"/>
    <n v="1"/>
    <n v="1"/>
    <n v="1"/>
    <n v="1"/>
    <n v="1"/>
    <n v="1"/>
    <n v="1"/>
    <n v="1"/>
    <n v="1"/>
    <n v="1"/>
    <n v="1"/>
    <n v="1"/>
    <n v="1"/>
    <n v="1"/>
    <n v="1"/>
    <n v="1"/>
    <x v="0"/>
    <n v="1"/>
    <n v="1"/>
    <n v="1"/>
    <x v="0"/>
    <s v="si"/>
    <s v="si"/>
    <s v="si"/>
    <s v="si"/>
    <s v="si"/>
    <s v="si"/>
    <s v="si"/>
    <x v="0"/>
    <s v="si"/>
    <s v="si"/>
    <s v="si"/>
    <m/>
    <m/>
    <m/>
    <m/>
    <m/>
    <m/>
    <m/>
    <m/>
    <m/>
    <m/>
    <m/>
    <m/>
    <m/>
    <m/>
  </r>
  <r>
    <x v="0"/>
    <s v="CONSULTORIA INDIVIDUAL"/>
    <x v="0"/>
    <s v=" Proyectos de expansión y refuerzo en el Sistema Nacional de Distribución"/>
    <x v="3"/>
    <x v="7"/>
    <x v="1"/>
    <s v="EL ORO"/>
    <x v="22"/>
    <n v="5"/>
    <x v="0"/>
    <s v="BID2-RSND-CNELEOR-FI-CI-003"/>
    <s v="FISCALIZACIÓN REPOTENCIACIÓN DE LA SUBESTACIÓN EL CAMBIO"/>
    <m/>
    <s v="CCIN"/>
    <s v="ex-post"/>
    <s v="EJECUTADO BID"/>
    <s v="BID2-RSND-CNELEOR-FI-CI-003"/>
    <s v="ING. JOHNNY PÁUL NOVILLO VICUÑA"/>
    <s v="ECUATORIANA"/>
    <s v="PERSONA NATURAL"/>
    <s v="0 702947409001"/>
    <s v="NO APLICA"/>
    <s v="NO APLICA"/>
    <s v="ING. MAURICIO MONTALVO"/>
    <m/>
    <m/>
    <n v="50000"/>
    <n v="0"/>
    <n v="50000"/>
    <n v="0"/>
    <n v="50000"/>
    <n v="0.12"/>
    <n v="6000"/>
    <n v="0"/>
    <n v="56000.000000000007"/>
    <n v="50000"/>
    <n v="0"/>
    <m/>
    <m/>
    <n v="50000"/>
    <m/>
    <n v="50000"/>
    <m/>
    <m/>
    <m/>
    <m/>
    <m/>
    <m/>
    <m/>
    <m/>
    <m/>
    <m/>
    <m/>
    <m/>
    <m/>
    <m/>
    <n v="0"/>
    <n v="0"/>
    <m/>
    <s v="NO APLICA"/>
    <s v="NO APLICA"/>
    <m/>
    <m/>
    <m/>
    <m/>
    <m/>
    <m/>
    <m/>
    <m/>
    <m/>
    <m/>
    <m/>
    <m/>
    <s v="NO APLICA"/>
    <m/>
    <m/>
    <m/>
    <d v="2015-12-24T00:00:00"/>
    <s v="NO APLICA"/>
    <s v="NO APLICA"/>
    <s v="NO APLICA"/>
    <m/>
    <m/>
    <m/>
    <m/>
    <m/>
    <m/>
    <m/>
    <m/>
    <m/>
    <m/>
    <m/>
    <m/>
    <m/>
    <m/>
    <s v="NO APLICA"/>
    <s v="NO APLICA"/>
    <s v="NO APLICA"/>
    <s v="NO APLICA"/>
    <m/>
    <s v="Pago 1/2 - Planilla 1     60,00%"/>
    <d v="2016-08-31T00:00:00"/>
    <n v="30000"/>
    <s v="Pago 2/2 - Planilla 2 - 40,00%"/>
    <d v="2017-04-17T00:00:00"/>
    <n v="20000"/>
    <m/>
    <m/>
    <m/>
    <m/>
    <m/>
    <m/>
    <m/>
    <m/>
    <m/>
    <m/>
    <m/>
    <m/>
    <m/>
    <m/>
    <m/>
    <m/>
    <m/>
    <m/>
    <m/>
    <m/>
    <m/>
    <n v="50000"/>
    <m/>
    <m/>
    <m/>
    <m/>
    <m/>
    <m/>
    <m/>
    <n v="300"/>
    <s v="NOTIFICACIÓN DEL ADMINISTRADOR"/>
    <s v="DATO PENDIENTE"/>
    <s v="DATO PENDIENTE"/>
    <m/>
    <m/>
    <m/>
    <m/>
    <m/>
    <m/>
    <m/>
    <m/>
    <m/>
    <m/>
    <m/>
    <m/>
    <m/>
    <m/>
    <m/>
    <m/>
    <m/>
    <m/>
    <m/>
    <m/>
    <m/>
    <m/>
    <m/>
    <m/>
    <m/>
    <m/>
    <m/>
    <m/>
    <m/>
    <m/>
    <n v="0.57999999999999996"/>
    <n v="0.75"/>
    <n v="0.75"/>
    <n v="0.75"/>
    <n v="0.95"/>
    <n v="0.95"/>
    <n v="0.95"/>
    <n v="1"/>
    <n v="1"/>
    <n v="1"/>
    <n v="1"/>
    <n v="1"/>
    <n v="1"/>
    <n v="1"/>
    <n v="1"/>
    <n v="1"/>
    <n v="1"/>
    <n v="1"/>
    <n v="1"/>
    <n v="1"/>
    <n v="1"/>
    <n v="1"/>
    <n v="1"/>
    <n v="1"/>
    <n v="1"/>
    <n v="1"/>
    <x v="0"/>
    <n v="1"/>
    <n v="1"/>
    <n v="1"/>
    <x v="0"/>
    <s v="si"/>
    <s v="si"/>
    <s v="si"/>
    <s v="si"/>
    <s v="si"/>
    <s v="si"/>
    <s v="si"/>
    <x v="0"/>
    <s v="si"/>
    <s v="si"/>
    <s v="si"/>
    <m/>
    <m/>
    <m/>
    <m/>
    <m/>
    <m/>
    <m/>
    <m/>
    <m/>
    <m/>
    <m/>
    <m/>
    <m/>
    <m/>
  </r>
  <r>
    <x v="0"/>
    <s v="CONSULTORIA INDIVIDUAL"/>
    <x v="0"/>
    <s v=" Proyectos de expansión y refuerzo en el Sistema Nacional de Distribución"/>
    <x v="0"/>
    <x v="7"/>
    <x v="0"/>
    <s v="GUAYAS"/>
    <x v="23"/>
    <n v="6"/>
    <x v="0"/>
    <s v="BID2-RSND-CNELEOR-FI-CI-001"/>
    <s v="FISCALIZACIÓN REFORZAMIENTO DE RED DE MEDIA TENSIÓN EN LA PARROQUIA TENGUEL"/>
    <m/>
    <s v="CCIN"/>
    <s v="ex-post"/>
    <s v="EJECUTADO BID"/>
    <s v="BID2-RSND-CNELEOR-FI-CI-001"/>
    <s v="ING. JOSE FERNANDO FAJARDO CADME"/>
    <s v="ECUATORIANA"/>
    <s v="PERSONA NATURAL"/>
    <n v="1102611959001"/>
    <s v="NO APLICA"/>
    <s v="NO APLICA"/>
    <s v="ING. EDWIN ROLANDO CASTILLO ABAD"/>
    <m/>
    <m/>
    <n v="10751.82"/>
    <n v="0"/>
    <n v="10751.824542056076"/>
    <n v="0"/>
    <n v="10751.824542056076"/>
    <n v="0.12"/>
    <n v="1290.218945046729"/>
    <n v="0"/>
    <n v="12042.043487102806"/>
    <n v="10751.82"/>
    <n v="0"/>
    <m/>
    <m/>
    <n v="10751.824542056076"/>
    <m/>
    <n v="10751.824542056076"/>
    <m/>
    <m/>
    <m/>
    <m/>
    <m/>
    <m/>
    <m/>
    <m/>
    <m/>
    <m/>
    <m/>
    <m/>
    <m/>
    <m/>
    <n v="-4.5420560763886897E-3"/>
    <n v="-4.5420560763886897E-3"/>
    <m/>
    <s v="NO APLICA"/>
    <s v="NO APLICA"/>
    <m/>
    <m/>
    <m/>
    <m/>
    <m/>
    <m/>
    <m/>
    <m/>
    <m/>
    <m/>
    <m/>
    <m/>
    <s v="NO APLICA"/>
    <m/>
    <m/>
    <m/>
    <d v="2015-12-31T00:00:00"/>
    <s v="NO APLICA"/>
    <s v="NO APLICA"/>
    <s v="NO APLICA"/>
    <m/>
    <m/>
    <m/>
    <m/>
    <m/>
    <m/>
    <m/>
    <m/>
    <m/>
    <m/>
    <m/>
    <m/>
    <m/>
    <m/>
    <s v="NO APLICA"/>
    <s v="NO APLICA"/>
    <s v="NO APLICA"/>
    <s v="NO APLICA"/>
    <m/>
    <m/>
    <d v="2016-08-31T00:00:00"/>
    <n v="7167.88"/>
    <m/>
    <d v="2016-11-25T00:00:00"/>
    <n v="3583.94"/>
    <m/>
    <m/>
    <m/>
    <m/>
    <m/>
    <m/>
    <m/>
    <m/>
    <m/>
    <m/>
    <m/>
    <m/>
    <m/>
    <m/>
    <m/>
    <m/>
    <m/>
    <m/>
    <m/>
    <m/>
    <m/>
    <n v="10751.82"/>
    <m/>
    <m/>
    <m/>
    <m/>
    <m/>
    <m/>
    <m/>
    <n v="180"/>
    <s v="NOTIFICACIÓN DEL ADMINISTRADOR"/>
    <s v="DATO PENDIENTE"/>
    <s v="DATO PENDIENTE"/>
    <m/>
    <m/>
    <m/>
    <m/>
    <m/>
    <m/>
    <m/>
    <m/>
    <m/>
    <m/>
    <m/>
    <m/>
    <m/>
    <m/>
    <m/>
    <m/>
    <m/>
    <m/>
    <m/>
    <m/>
    <m/>
    <m/>
    <m/>
    <m/>
    <m/>
    <m/>
    <m/>
    <n v="0.5"/>
    <n v="0.5"/>
    <n v="0.75"/>
    <n v="0.8"/>
    <n v="0.95"/>
    <n v="0.95"/>
    <n v="1"/>
    <n v="1"/>
    <n v="1"/>
    <n v="1"/>
    <n v="1"/>
    <n v="1"/>
    <n v="1"/>
    <n v="1"/>
    <n v="1"/>
    <n v="1"/>
    <n v="1"/>
    <n v="1"/>
    <n v="1"/>
    <n v="1"/>
    <n v="1"/>
    <n v="1"/>
    <n v="1"/>
    <n v="1"/>
    <n v="1"/>
    <n v="1"/>
    <n v="1"/>
    <n v="1"/>
    <n v="1"/>
    <x v="0"/>
    <n v="1"/>
    <n v="1"/>
    <n v="1"/>
    <x v="0"/>
    <s v="si"/>
    <s v="si"/>
    <s v="si"/>
    <s v="si"/>
    <s v="si"/>
    <s v="si"/>
    <s v="si"/>
    <x v="0"/>
    <s v="si"/>
    <s v="si"/>
    <s v="si"/>
    <m/>
    <m/>
    <m/>
    <m/>
    <m/>
    <m/>
    <m/>
    <m/>
    <m/>
    <m/>
    <m/>
    <m/>
    <m/>
    <m/>
  </r>
  <r>
    <x v="14"/>
    <s v="CONSULTORIA INDIVIDUAL"/>
    <x v="0"/>
    <s v=" Proyectos de expansión y refuerzo en el Sistema Nacional de Distribución"/>
    <x v="3"/>
    <x v="7"/>
    <x v="1"/>
    <s v="GUAYAS"/>
    <x v="43"/>
    <n v="1"/>
    <x v="0"/>
    <s v="BID2-RSND-CNELGLR-FI-CI-005"/>
    <s v="FISCALIZACIÓN DE OBRAS ELÉCTRICAS EN LA CONSTRUCCIÓN DE LA LINEA DE SUBTRANSMISIÓN A 69 KV PASCUALES – MANGLERO"/>
    <m/>
    <s v="CCIN"/>
    <s v="ex-post"/>
    <s v="EJECUTADO EE"/>
    <m/>
    <m/>
    <m/>
    <m/>
    <m/>
    <s v="NO APLICA"/>
    <s v="NO APLICA"/>
    <m/>
    <m/>
    <m/>
    <n v="0"/>
    <n v="0"/>
    <m/>
    <n v="0"/>
    <n v="0"/>
    <n v="0.12"/>
    <n v="0"/>
    <n v="0"/>
    <n v="0"/>
    <m/>
    <m/>
    <m/>
    <m/>
    <m/>
    <m/>
    <m/>
    <m/>
    <m/>
    <m/>
    <m/>
    <m/>
    <m/>
    <m/>
    <m/>
    <m/>
    <m/>
    <m/>
    <m/>
    <m/>
    <m/>
    <m/>
    <m/>
    <m/>
    <m/>
    <s v="NO APLICA"/>
    <m/>
    <m/>
    <m/>
    <m/>
    <m/>
    <m/>
    <m/>
    <m/>
    <m/>
    <m/>
    <m/>
    <m/>
    <m/>
    <m/>
    <m/>
    <m/>
    <m/>
    <s v="NO APLICA"/>
    <s v="NO APLICA"/>
    <s v="NO APLICA"/>
    <m/>
    <m/>
    <m/>
    <m/>
    <m/>
    <m/>
    <m/>
    <m/>
    <m/>
    <m/>
    <m/>
    <m/>
    <m/>
    <m/>
    <s v="NO APLICA"/>
    <s v="NO APLICA"/>
    <s v="NO APLICA"/>
    <m/>
    <m/>
    <m/>
    <m/>
    <m/>
    <m/>
    <m/>
    <m/>
    <m/>
    <m/>
    <m/>
    <m/>
    <m/>
    <m/>
    <m/>
    <m/>
    <m/>
    <m/>
    <m/>
    <m/>
    <m/>
    <m/>
    <m/>
    <m/>
    <m/>
    <m/>
    <m/>
    <m/>
    <m/>
    <m/>
    <m/>
    <m/>
    <m/>
    <m/>
    <m/>
    <m/>
    <m/>
    <m/>
    <m/>
    <m/>
    <m/>
    <m/>
    <m/>
    <m/>
    <m/>
    <m/>
    <m/>
    <m/>
    <m/>
    <m/>
    <m/>
    <m/>
    <m/>
    <m/>
    <m/>
    <m/>
    <m/>
    <m/>
    <m/>
    <m/>
    <m/>
    <m/>
    <m/>
    <m/>
    <m/>
    <m/>
    <m/>
    <m/>
    <m/>
    <m/>
    <m/>
    <m/>
    <m/>
    <m/>
    <m/>
    <m/>
    <m/>
    <m/>
    <m/>
    <m/>
    <m/>
    <m/>
    <n v="0"/>
    <n v="0.13"/>
    <n v="0.13"/>
    <n v="0.13"/>
    <n v="0.13"/>
    <n v="0.13"/>
    <n v="0.57999999999999996"/>
    <n v="0.61399999999999999"/>
    <n v="0.6431"/>
    <n v="0.71"/>
    <n v="0.71"/>
    <n v="0.71"/>
    <n v="0.71"/>
    <n v="0.71"/>
    <n v="0.71"/>
    <x v="7"/>
    <n v="0.77"/>
    <n v="0.84"/>
    <n v="0.84"/>
    <x v="6"/>
    <s v="no"/>
    <s v="no"/>
    <s v="no"/>
    <s v="no"/>
    <s v="no"/>
    <s v="no"/>
    <s v="no"/>
    <x v="1"/>
    <s v="no"/>
    <s v="no"/>
    <s v="no"/>
    <m/>
    <m/>
    <m/>
    <m/>
    <m/>
    <m/>
    <m/>
    <m/>
    <m/>
    <m/>
    <m/>
    <m/>
    <s v="REFORMA: Solicitud: OFICIO Nro. CNEL-GLR-ADM-2017-0490-O del 14 de septiembre de 2017. Respuesta: Oficio Nro. MEER-SDCE-2017-1185 Del 06 de octubre del 2017"/>
    <m/>
  </r>
  <r>
    <x v="14"/>
    <s v="CONSULTORIA INDIVIDUAL"/>
    <x v="0"/>
    <s v=" Proyectos de expansión y refuerzo en el Sistema Nacional de Distribución"/>
    <x v="3"/>
    <x v="7"/>
    <x v="1"/>
    <s v="GUAYAS"/>
    <x v="43"/>
    <n v="1"/>
    <x v="0"/>
    <s v="BID2-RSND-CNELGLR-FI-CI-006"/>
    <s v="FISCALIZACIÓN DE OBRAS CIVILES EN LA CONSTRUCCIÓN DE LA LINEA DE SUBTRANSMISIÓN A 69 KV PASCUALES – MANGLERO"/>
    <m/>
    <s v="CCIN"/>
    <s v="ex-post"/>
    <s v="EJECUTADO EE"/>
    <m/>
    <m/>
    <m/>
    <m/>
    <m/>
    <s v="NO APLICA"/>
    <s v="NO APLICA"/>
    <m/>
    <m/>
    <m/>
    <n v="0"/>
    <n v="0"/>
    <m/>
    <n v="0"/>
    <n v="0"/>
    <n v="0.12"/>
    <n v="0"/>
    <n v="0"/>
    <n v="0"/>
    <m/>
    <m/>
    <m/>
    <m/>
    <m/>
    <m/>
    <m/>
    <m/>
    <m/>
    <m/>
    <m/>
    <m/>
    <m/>
    <m/>
    <m/>
    <m/>
    <m/>
    <m/>
    <m/>
    <m/>
    <m/>
    <m/>
    <m/>
    <m/>
    <m/>
    <s v="NO APLICA"/>
    <m/>
    <m/>
    <m/>
    <m/>
    <m/>
    <m/>
    <m/>
    <m/>
    <m/>
    <m/>
    <m/>
    <m/>
    <m/>
    <m/>
    <m/>
    <m/>
    <m/>
    <s v="NO APLICA"/>
    <s v="NO APLICA"/>
    <s v="NO APLICA"/>
    <m/>
    <m/>
    <m/>
    <m/>
    <m/>
    <m/>
    <m/>
    <m/>
    <m/>
    <m/>
    <m/>
    <m/>
    <m/>
    <m/>
    <s v="NO APLICA"/>
    <s v="NO APLICA"/>
    <s v="NO APLICA"/>
    <m/>
    <m/>
    <m/>
    <m/>
    <m/>
    <m/>
    <m/>
    <m/>
    <m/>
    <m/>
    <m/>
    <m/>
    <m/>
    <m/>
    <m/>
    <m/>
    <m/>
    <m/>
    <m/>
    <m/>
    <m/>
    <m/>
    <m/>
    <m/>
    <m/>
    <m/>
    <m/>
    <m/>
    <m/>
    <m/>
    <m/>
    <m/>
    <m/>
    <m/>
    <m/>
    <m/>
    <m/>
    <m/>
    <m/>
    <m/>
    <m/>
    <m/>
    <m/>
    <m/>
    <m/>
    <m/>
    <m/>
    <m/>
    <m/>
    <m/>
    <m/>
    <m/>
    <m/>
    <m/>
    <m/>
    <m/>
    <m/>
    <m/>
    <m/>
    <m/>
    <m/>
    <m/>
    <m/>
    <m/>
    <m/>
    <m/>
    <m/>
    <m/>
    <m/>
    <m/>
    <m/>
    <m/>
    <m/>
    <m/>
    <m/>
    <m/>
    <m/>
    <m/>
    <m/>
    <m/>
    <m/>
    <m/>
    <n v="0"/>
    <n v="0.13"/>
    <n v="0.13"/>
    <n v="0.13"/>
    <n v="0.13"/>
    <n v="0.13"/>
    <n v="0.57999999999999996"/>
    <n v="0.61399999999999999"/>
    <n v="0.6431"/>
    <n v="0.71"/>
    <n v="0.71"/>
    <n v="0.71"/>
    <n v="0.71"/>
    <n v="0.71"/>
    <n v="0.71"/>
    <x v="7"/>
    <n v="0.77"/>
    <n v="0.84"/>
    <n v="0.84"/>
    <x v="6"/>
    <s v="no"/>
    <s v="no"/>
    <s v="no"/>
    <s v="no"/>
    <s v="no"/>
    <s v="no"/>
    <s v="no"/>
    <x v="1"/>
    <s v="no"/>
    <s v="no"/>
    <s v="no"/>
    <m/>
    <m/>
    <m/>
    <m/>
    <m/>
    <m/>
    <m/>
    <m/>
    <m/>
    <m/>
    <m/>
    <m/>
    <s v="REFORMA: Solicitud: OFICIO Nro. CNEL-GLR-ADM-2017-0490-O del 14 de septiembre de 2017. Respuesta: Oficio Nro. MEER-SDCE-2017-1185 Del 06 de octubre del 2017"/>
    <m/>
  </r>
  <r>
    <x v="14"/>
    <s v="CONSULTORIA INDIVIDUAL"/>
    <x v="0"/>
    <s v=" Proyectos de expansión y refuerzo en el Sistema Nacional de Distribución"/>
    <x v="3"/>
    <x v="7"/>
    <x v="1"/>
    <s v="GUAYAS"/>
    <x v="43"/>
    <n v="1"/>
    <x v="0"/>
    <s v="BID2-RSND-CNELGLR-FI-CI-003"/>
    <s v="FISCALIZADOR AMBIENTAL Y DE SEGURIDAD INDUSTRIAL EN LA CONSTRUCCIÓN DE LA LINEA DE SUBTRANSMISIÓN A 69 KV PASCUALES – MANGLERO"/>
    <m/>
    <s v="CCIN"/>
    <s v="ex-post"/>
    <s v="CONTRATADO"/>
    <s v="No.039-2017"/>
    <s v="ING. NOE FERNANDO PROAÑO PEREZ"/>
    <s v="ECUATORIANA"/>
    <s v="PERSONA NATURAL"/>
    <s v="0 923430532001"/>
    <s v="NO APLICA"/>
    <s v="NO APLICA"/>
    <m/>
    <m/>
    <m/>
    <n v="29172"/>
    <n v="0"/>
    <n v="29172"/>
    <n v="0"/>
    <n v="29172"/>
    <n v="0.12"/>
    <n v="3500.64"/>
    <n v="0"/>
    <n v="32672.640000000003"/>
    <m/>
    <m/>
    <m/>
    <m/>
    <n v="29172"/>
    <m/>
    <n v="29172"/>
    <m/>
    <m/>
    <m/>
    <m/>
    <m/>
    <m/>
    <m/>
    <m/>
    <m/>
    <m/>
    <m/>
    <m/>
    <m/>
    <m/>
    <n v="0"/>
    <n v="0"/>
    <m/>
    <s v="NO APLICA"/>
    <s v="NO APLICA"/>
    <d v="2017-03-27T00:00:00"/>
    <d v="2017-04-17T00:00:00"/>
    <d v="2017-04-19T00:00:00"/>
    <d v="2017-04-20T00:00:00"/>
    <m/>
    <m/>
    <d v="2017-04-27T00:00:00"/>
    <m/>
    <d v="2017-05-02T00:00:00"/>
    <d v="2017-05-09T00:00:00"/>
    <m/>
    <m/>
    <s v="NO APLICA"/>
    <d v="2017-06-13T00:00:00"/>
    <m/>
    <m/>
    <d v="2017-06-29T00:00:00"/>
    <s v="NO APLICA"/>
    <s v="NO APLICA"/>
    <s v="NO APLICA"/>
    <m/>
    <m/>
    <m/>
    <m/>
    <m/>
    <m/>
    <m/>
    <m/>
    <m/>
    <m/>
    <m/>
    <m/>
    <m/>
    <m/>
    <s v="NO APLICA"/>
    <s v="NO APLICA"/>
    <s v="NO APLICA"/>
    <m/>
    <m/>
    <m/>
    <m/>
    <m/>
    <m/>
    <m/>
    <m/>
    <m/>
    <m/>
    <m/>
    <m/>
    <m/>
    <m/>
    <m/>
    <m/>
    <m/>
    <m/>
    <m/>
    <m/>
    <m/>
    <m/>
    <m/>
    <m/>
    <m/>
    <m/>
    <m/>
    <m/>
    <m/>
    <n v="0"/>
    <m/>
    <m/>
    <m/>
    <m/>
    <m/>
    <m/>
    <m/>
    <n v="330"/>
    <s v="A PARTIR DE LA SUSCRIPCIÓN DEL CONTRATO"/>
    <m/>
    <m/>
    <m/>
    <m/>
    <m/>
    <m/>
    <m/>
    <m/>
    <m/>
    <m/>
    <m/>
    <m/>
    <m/>
    <m/>
    <m/>
    <m/>
    <m/>
    <m/>
    <m/>
    <m/>
    <m/>
    <m/>
    <m/>
    <m/>
    <m/>
    <m/>
    <m/>
    <m/>
    <m/>
    <m/>
    <m/>
    <m/>
    <m/>
    <m/>
    <m/>
    <m/>
    <m/>
    <m/>
    <m/>
    <m/>
    <n v="0"/>
    <n v="0"/>
    <n v="0"/>
    <n v="0"/>
    <n v="0.13"/>
    <n v="0.13"/>
    <n v="0.13"/>
    <n v="0.13"/>
    <n v="0.13"/>
    <n v="0.57999999999999996"/>
    <n v="0.61399999999999999"/>
    <n v="0.6431"/>
    <n v="0.71"/>
    <n v="0.73"/>
    <n v="0.73"/>
    <n v="0.73"/>
    <n v="0.75"/>
    <n v="0.76"/>
    <x v="4"/>
    <n v="0.77"/>
    <n v="0.84"/>
    <n v="0.84"/>
    <x v="6"/>
    <s v="no"/>
    <s v="no"/>
    <s v="no"/>
    <s v="no"/>
    <s v="no"/>
    <s v="no"/>
    <s v="no"/>
    <x v="1"/>
    <s v="no"/>
    <s v="no"/>
    <s v="no"/>
    <m/>
    <m/>
    <m/>
    <m/>
    <m/>
    <s v="Con problemas en:_x000a_Derechos de pasos de predios privados Daule_x000a_Replanteo de estructuras en el Sector La Joya por cruce de paso a desnivel_x000a_Nuevos rubros por paso por detrás de Villa Italia, se requiere relleno u otro modo de ingreso de estructuras_x000a__x000a_"/>
    <m/>
    <m/>
    <m/>
    <m/>
    <s v="EL PROCESO DE BID2-RSND-CNELGLR-FI-FC-001 SE MODIFICO POR CUATRO CONSULTORIAS INDIVIDUALES CONFORME LA SOLICITUD DE REFORMA DE CNELGLR CONTENIDA EN EL OFICIO Nro. CNEL-GLR-ADM-2016-0527-OF de 08.11.2016., CORREO ELECTRÓNICO REMITIO POR EL ING. ORLANDO ZUÑIGA EN DONDE SE ESPECIFICAN VALORES, REMITIDO EL 23.11.2016, Y ALCANCE CONTENIDO EN EL OFICIO Nro. CNEL-GLR-ADM-2016-0620-OF de 20.12.2016 FORMULARIO DE CONTROL DE CAMBIOS, SOLICITUD No.2 "/>
    <m/>
    <s v="AUTORIZADO MEDIANTE OFICIO Nro. MINFIN-SRF-2017-0216-O DE 17 DE MARZO DE 2017"/>
    <m/>
  </r>
  <r>
    <x v="14"/>
    <s v="CONSULTORIA INDIVIDUAL"/>
    <x v="0"/>
    <s v=" Proyectos de expansión y refuerzo en el Sistema Nacional de Distribución"/>
    <x v="3"/>
    <x v="9"/>
    <x v="1"/>
    <s v="GUAYAS"/>
    <x v="43"/>
    <n v="1"/>
    <x v="0"/>
    <s v="BID2-RSND-CNELGLR-SP-CI-007"/>
    <s v="SUPERVISOR DE LA CONSTRUCCIÓN DE LA LINEA DE SUBTRANSMISIÓN A 69 KV PASCUALES – MANGLERO"/>
    <m/>
    <s v="CCIN"/>
    <s v="ex-post"/>
    <s v="EJECUTADO EE"/>
    <m/>
    <m/>
    <m/>
    <m/>
    <m/>
    <s v="NO APLICA"/>
    <s v="NO APLICA"/>
    <m/>
    <m/>
    <m/>
    <n v="0"/>
    <n v="0"/>
    <m/>
    <n v="0"/>
    <n v="0"/>
    <n v="0.12"/>
    <n v="0"/>
    <n v="0"/>
    <n v="0"/>
    <m/>
    <m/>
    <m/>
    <m/>
    <m/>
    <m/>
    <m/>
    <m/>
    <m/>
    <m/>
    <m/>
    <m/>
    <m/>
    <m/>
    <m/>
    <m/>
    <m/>
    <m/>
    <m/>
    <m/>
    <m/>
    <m/>
    <m/>
    <m/>
    <m/>
    <s v="NO APLICA"/>
    <m/>
    <m/>
    <m/>
    <m/>
    <m/>
    <m/>
    <m/>
    <m/>
    <m/>
    <m/>
    <m/>
    <m/>
    <m/>
    <m/>
    <m/>
    <m/>
    <m/>
    <s v="NO APLICA"/>
    <s v="NO APLICA"/>
    <s v="NO APLICA"/>
    <m/>
    <m/>
    <m/>
    <m/>
    <m/>
    <m/>
    <m/>
    <m/>
    <m/>
    <m/>
    <m/>
    <m/>
    <m/>
    <m/>
    <s v="NO APLICA"/>
    <s v="NO APLICA"/>
    <s v="NO APLICA"/>
    <m/>
    <m/>
    <m/>
    <m/>
    <m/>
    <m/>
    <m/>
    <m/>
    <m/>
    <m/>
    <m/>
    <m/>
    <m/>
    <m/>
    <m/>
    <m/>
    <m/>
    <m/>
    <m/>
    <m/>
    <m/>
    <m/>
    <m/>
    <m/>
    <m/>
    <m/>
    <m/>
    <m/>
    <m/>
    <m/>
    <m/>
    <m/>
    <m/>
    <m/>
    <m/>
    <m/>
    <m/>
    <m/>
    <m/>
    <m/>
    <m/>
    <m/>
    <m/>
    <m/>
    <m/>
    <m/>
    <m/>
    <m/>
    <m/>
    <m/>
    <m/>
    <m/>
    <m/>
    <m/>
    <m/>
    <m/>
    <m/>
    <m/>
    <m/>
    <m/>
    <m/>
    <m/>
    <m/>
    <m/>
    <m/>
    <m/>
    <m/>
    <m/>
    <m/>
    <m/>
    <m/>
    <m/>
    <m/>
    <m/>
    <m/>
    <m/>
    <m/>
    <m/>
    <m/>
    <m/>
    <m/>
    <m/>
    <n v="0"/>
    <n v="0.13"/>
    <n v="0.13"/>
    <n v="0.13"/>
    <n v="0.13"/>
    <n v="0.13"/>
    <n v="0.57999999999999996"/>
    <n v="0.61399999999999999"/>
    <n v="0.61399999999999999"/>
    <n v="0.71"/>
    <n v="0.71"/>
    <n v="0.71"/>
    <n v="0.71"/>
    <n v="0.71"/>
    <n v="0.71"/>
    <x v="7"/>
    <n v="0.77"/>
    <n v="0.84"/>
    <n v="0.84"/>
    <x v="6"/>
    <s v="no"/>
    <s v="no"/>
    <s v="no"/>
    <s v="no"/>
    <s v="no"/>
    <s v="no"/>
    <s v="no"/>
    <x v="1"/>
    <s v="no"/>
    <s v="no"/>
    <s v="no"/>
    <m/>
    <m/>
    <m/>
    <m/>
    <m/>
    <m/>
    <m/>
    <m/>
    <m/>
    <m/>
    <m/>
    <m/>
    <s v="REFORMA: Solicitud: OFICIO Nro. CNEL-GLR-ADM-2017-0490-O del 14 de septiembre de 2017. Respuesta: Oficio Nro. MEER-SDCE-2017-1185 Del 06 de octubre del 2017"/>
    <m/>
  </r>
  <r>
    <x v="12"/>
    <s v="CONSULTORIA INDIVIDUAL"/>
    <x v="0"/>
    <s v="Proyectos de expansión y refuerzo en el Sistema Nacional de Distribución"/>
    <x v="0"/>
    <x v="7"/>
    <x v="0"/>
    <s v="ESMERALDAS"/>
    <x v="26"/>
    <n v="2"/>
    <x v="0"/>
    <s v="BID2-RSND-CNELESM-FI-CI-002"/>
    <s v="FISCALIZACIÓN CONSTRUCCIÓN ALIMENTADOR LA SEXTA"/>
    <m/>
    <s v="CCIN"/>
    <s v="ex-post"/>
    <s v="EJECUTADO EE"/>
    <m/>
    <m/>
    <m/>
    <m/>
    <m/>
    <s v="NO APLICA"/>
    <s v="NO APLICA"/>
    <m/>
    <m/>
    <m/>
    <n v="13273.33"/>
    <n v="0"/>
    <n v="13273.33"/>
    <n v="0"/>
    <n v="13273.33"/>
    <n v="0.12"/>
    <n v="1592.7995999999998"/>
    <n v="0"/>
    <n v="14866.129600000002"/>
    <n v="0"/>
    <n v="13273.33"/>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n v="1"/>
    <n v="1"/>
    <n v="1"/>
    <n v="1"/>
    <n v="1"/>
    <n v="1"/>
    <n v="1"/>
    <n v="1"/>
    <n v="1"/>
    <n v="1"/>
    <n v="1"/>
    <n v="1"/>
    <n v="1"/>
    <n v="1"/>
    <n v="1"/>
    <n v="1"/>
    <n v="1"/>
    <n v="1"/>
    <n v="1"/>
    <n v="1"/>
    <n v="1"/>
    <n v="1"/>
    <x v="0"/>
    <n v="1"/>
    <n v="1"/>
    <n v="1"/>
    <x v="0"/>
    <s v="no"/>
    <s v="no"/>
    <s v="no"/>
    <s v="no"/>
    <s v="no"/>
    <s v="no"/>
    <s v="no"/>
    <x v="3"/>
    <s v="ee"/>
    <s v="ee"/>
    <s v="ee"/>
    <m/>
    <m/>
    <m/>
    <m/>
    <m/>
    <m/>
    <m/>
    <m/>
    <m/>
    <m/>
    <s v="ESTA FISCALIZACIÓN SE HARÁ CON ADMINISTRACIÓN PROPIA"/>
    <m/>
    <m/>
    <m/>
  </r>
  <r>
    <x v="12"/>
    <s v="CONSULTORIA INDIVIDUAL"/>
    <x v="0"/>
    <s v="Proyectos de expansión y refuerzo en el Sistema Nacional de Distribución"/>
    <x v="0"/>
    <x v="7"/>
    <x v="0"/>
    <s v="ESMERALDAS"/>
    <x v="27"/>
    <n v="3"/>
    <x v="0"/>
    <s v="BID2-RSND-CNELESM-FI-CI-003"/>
    <s v="FISCALIZACIÓN CONSTRUCCIÓN ALIMENTADOR PLAYA ATACAMES"/>
    <m/>
    <s v="CCIN"/>
    <s v="ex-post"/>
    <s v="EJECUTADO EE"/>
    <m/>
    <m/>
    <m/>
    <m/>
    <m/>
    <s v="NO APLICA"/>
    <s v="NO APLICA"/>
    <m/>
    <m/>
    <m/>
    <n v="13273.33"/>
    <n v="0"/>
    <n v="13273.33"/>
    <n v="0"/>
    <n v="13273.33"/>
    <n v="0.12"/>
    <n v="1592.7995999999998"/>
    <n v="0"/>
    <n v="14866.129600000002"/>
    <n v="0"/>
    <n v="13273.33"/>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m/>
    <m/>
    <m/>
    <n v="1"/>
    <n v="1"/>
    <n v="1"/>
    <n v="1"/>
    <n v="1"/>
    <n v="1"/>
    <n v="1"/>
    <n v="1"/>
    <n v="1"/>
    <n v="1"/>
    <n v="1"/>
    <n v="1"/>
    <n v="1"/>
    <n v="1"/>
    <n v="1"/>
    <n v="1"/>
    <n v="1"/>
    <n v="1"/>
    <n v="1"/>
    <x v="0"/>
    <n v="1"/>
    <n v="1"/>
    <n v="1"/>
    <x v="0"/>
    <s v="no"/>
    <s v="no"/>
    <s v="no"/>
    <s v="no"/>
    <s v="no"/>
    <s v="no"/>
    <s v="no"/>
    <x v="3"/>
    <s v="ee"/>
    <s v="ee"/>
    <s v="ee"/>
    <m/>
    <m/>
    <m/>
    <m/>
    <m/>
    <m/>
    <m/>
    <m/>
    <m/>
    <m/>
    <s v="ESTA FISCALIZACIÓN SE HARÁ CON ADMINISTRACIÓN PROPIA"/>
    <m/>
    <m/>
    <m/>
  </r>
  <r>
    <x v="12"/>
    <s v="CONSULTORIA INDIVIDUAL"/>
    <x v="1"/>
    <s v="Mejoramiento de la eficiencia y fiabilidad de la red"/>
    <x v="6"/>
    <x v="7"/>
    <x v="0"/>
    <s v="ESMERALDAS"/>
    <x v="28"/>
    <n v="4"/>
    <x v="0"/>
    <s v="BID2-RSND-CNELESM-FI-CI-004"/>
    <s v=" FISCALIZACIÓN HABILITACIÓN E INTEGRACIÓN DE SISTEMA DE MEDICIÓN DE SUBESTACIONES Y ALIMENTADORES AL CENTRO DE CONTROL"/>
    <m/>
    <s v="CCIN"/>
    <s v="ex-post"/>
    <s v="EJECUTADO EE"/>
    <m/>
    <m/>
    <m/>
    <m/>
    <m/>
    <s v="NO APLICA"/>
    <s v="NO APLICA"/>
    <m/>
    <m/>
    <m/>
    <n v="13273.33"/>
    <n v="0"/>
    <n v="13273.333333333299"/>
    <n v="0"/>
    <n v="13273.333333333299"/>
    <n v="0.12"/>
    <n v="1592.7999999999959"/>
    <n v="0"/>
    <n v="14866.133333333297"/>
    <n v="0"/>
    <n v="13273.33"/>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n v="1"/>
    <n v="1"/>
    <n v="1"/>
    <n v="1"/>
    <n v="1"/>
    <n v="1"/>
    <n v="1"/>
    <n v="1"/>
    <n v="1"/>
    <n v="1"/>
    <n v="1"/>
    <n v="1"/>
    <n v="1"/>
    <n v="1"/>
    <n v="1"/>
    <n v="1"/>
    <n v="1"/>
    <n v="1"/>
    <n v="1"/>
    <n v="1"/>
    <n v="1"/>
    <n v="1"/>
    <x v="0"/>
    <n v="1"/>
    <n v="1"/>
    <n v="1"/>
    <x v="0"/>
    <s v="no"/>
    <s v="no"/>
    <s v="no"/>
    <s v="no"/>
    <s v="no"/>
    <s v="no"/>
    <s v="no"/>
    <x v="3"/>
    <s v="ee"/>
    <s v="ee"/>
    <s v="ee"/>
    <m/>
    <m/>
    <m/>
    <m/>
    <m/>
    <m/>
    <m/>
    <m/>
    <m/>
    <m/>
    <s v="ESTA FISCALIZACIÓN SE HARÁ CON ADMINISTRACIÓN PROPIA"/>
    <m/>
    <m/>
    <m/>
  </r>
  <r>
    <x v="12"/>
    <s v="CONSULTORIA INDIVIDUAL"/>
    <x v="1"/>
    <s v="Mejoramiento de la eficiencia y fiabilidad de la red"/>
    <x v="2"/>
    <x v="7"/>
    <x v="0"/>
    <s v="ESMERALDAS"/>
    <x v="29"/>
    <n v="5"/>
    <x v="0"/>
    <s v="BID2-RSND-CNELESM-FI-CI-005"/>
    <s v="FISCALIZACIÓN READECUACIONES DE OBRAS CIVILES Y COMUNICACIONES EN SUBESTACIONES Y CENTRO DE CONTROL PARA IMPLEMENTACIÓN DE SISTEMA SCADA"/>
    <m/>
    <s v="CCIN"/>
    <s v="ex-post"/>
    <s v="EJECUTADO EE"/>
    <m/>
    <m/>
    <m/>
    <m/>
    <m/>
    <s v="NO APLICA"/>
    <s v="NO APLICA"/>
    <m/>
    <m/>
    <m/>
    <n v="13273.09"/>
    <n v="0"/>
    <n v="13273.09"/>
    <n v="0"/>
    <n v="13273.09"/>
    <n v="0.12"/>
    <n v="1592.7708"/>
    <n v="0"/>
    <n v="14865.860800000002"/>
    <n v="0"/>
    <n v="13273.09"/>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n v="1"/>
    <n v="1"/>
    <n v="1"/>
    <n v="1"/>
    <n v="1"/>
    <n v="1"/>
    <n v="1"/>
    <n v="1"/>
    <n v="1"/>
    <n v="1"/>
    <n v="1"/>
    <n v="1"/>
    <n v="1"/>
    <n v="1"/>
    <n v="1"/>
    <n v="1"/>
    <n v="1"/>
    <n v="1"/>
    <n v="1"/>
    <n v="1"/>
    <n v="1"/>
    <n v="1"/>
    <x v="0"/>
    <n v="1"/>
    <n v="1"/>
    <n v="1"/>
    <x v="0"/>
    <s v="no"/>
    <s v="no"/>
    <s v="no"/>
    <s v="no"/>
    <s v="no"/>
    <s v="no"/>
    <s v="no"/>
    <x v="3"/>
    <s v="ee"/>
    <s v="ee"/>
    <s v="ee"/>
    <m/>
    <m/>
    <m/>
    <m/>
    <m/>
    <m/>
    <m/>
    <m/>
    <m/>
    <m/>
    <s v="ESTA FISCALIZACIÓN SE HARÁ CON ADMINISTRACIÓN PROPIA"/>
    <m/>
    <m/>
    <m/>
  </r>
  <r>
    <x v="12"/>
    <s v="CONSULTORIA INDIVIDUAL"/>
    <x v="0"/>
    <s v="Proyectos de expansión y refuerzo en el Sistema Nacional de Distribución"/>
    <x v="3"/>
    <x v="7"/>
    <x v="1"/>
    <s v="ESMERALDAS"/>
    <x v="25"/>
    <n v="1"/>
    <x v="0"/>
    <s v="BID2-RSND-CNELESM-FI-CI-006"/>
    <s v="FISCALIZACIÓN GENERAL OBRAS ELÉCTRICAS PARA LA CONSTRUCCIÓN DEL SISTEMA DE SUBTRANSMISIÓN PRADERA"/>
    <m/>
    <s v="CCIN"/>
    <s v="ex-post"/>
    <s v="EJECUTADO BID"/>
    <s v="No.092-2017"/>
    <s v="ING. JORGE ARMANDO ESTRADA MENDEZ"/>
    <s v="ECUATORIANA"/>
    <s v="PERSONA NATURAL"/>
    <s v="0 801973736001"/>
    <s v="NO APLICA"/>
    <s v="NO APLICA"/>
    <m/>
    <m/>
    <m/>
    <n v="123420"/>
    <n v="0"/>
    <n v="40500"/>
    <n v="0"/>
    <n v="40500"/>
    <n v="0.12"/>
    <n v="4860"/>
    <n v="0"/>
    <n v="45360.000000000007"/>
    <n v="93000"/>
    <n v="30420"/>
    <m/>
    <m/>
    <n v="40500"/>
    <m/>
    <n v="40500"/>
    <n v="0.12"/>
    <n v="4860"/>
    <n v="45360.000000000007"/>
    <m/>
    <m/>
    <m/>
    <m/>
    <m/>
    <m/>
    <m/>
    <m/>
    <m/>
    <m/>
    <m/>
    <m/>
    <m/>
    <m/>
    <m/>
    <s v="NO APLICA"/>
    <m/>
    <m/>
    <m/>
    <d v="2017-08-31T00:00:00"/>
    <m/>
    <m/>
    <d v="2017-09-11T00:00:00"/>
    <m/>
    <m/>
    <m/>
    <m/>
    <m/>
    <m/>
    <d v="2017-10-04T00:00:00"/>
    <m/>
    <m/>
    <d v="2017-11-21T00:00:00"/>
    <s v="NO APLICA"/>
    <s v="NO APLICA"/>
    <s v="NO APLICA"/>
    <m/>
    <m/>
    <m/>
    <m/>
    <m/>
    <m/>
    <m/>
    <m/>
    <m/>
    <m/>
    <d v="2017-10-04T00:00:00"/>
    <m/>
    <m/>
    <m/>
    <s v="NO APLICA"/>
    <s v="NO APLICA"/>
    <s v="NO APLICA"/>
    <d v="2017-12-27T00:00:00"/>
    <n v="20250"/>
    <s v="Pago 1/3 - Anticipo; 50%"/>
    <d v="2018-01-15T00:00:00"/>
    <n v="18225"/>
    <s v="Pago 2/3 - Anticipo; 25%"/>
    <m/>
    <m/>
    <m/>
    <m/>
    <m/>
    <m/>
    <m/>
    <m/>
    <m/>
    <m/>
    <m/>
    <m/>
    <m/>
    <m/>
    <m/>
    <m/>
    <m/>
    <m/>
    <m/>
    <m/>
    <m/>
    <m/>
    <m/>
    <n v="38475"/>
    <m/>
    <m/>
    <m/>
    <m/>
    <m/>
    <m/>
    <m/>
    <n v="240"/>
    <s v="A PARTIR DE LA SUSCRIPCIÓN  DEL CONTRATO"/>
    <d v="2017-11-22T00:00:00"/>
    <d v="2018-07-20T00:00:00"/>
    <m/>
    <m/>
    <m/>
    <m/>
    <m/>
    <m/>
    <m/>
    <m/>
    <m/>
    <m/>
    <m/>
    <m/>
    <m/>
    <m/>
    <m/>
    <m/>
    <m/>
    <m/>
    <m/>
    <m/>
    <m/>
    <m/>
    <m/>
    <m/>
    <m/>
    <m/>
    <m/>
    <m/>
    <m/>
    <m/>
    <m/>
    <m/>
    <m/>
    <m/>
    <m/>
    <m/>
    <m/>
    <m/>
    <m/>
    <n v="0"/>
    <n v="0"/>
    <n v="0"/>
    <n v="0"/>
    <n v="0"/>
    <n v="0"/>
    <n v="0.99"/>
    <n v="0.99"/>
    <n v="0.99"/>
    <n v="0.99"/>
    <n v="0.99"/>
    <n v="0.99"/>
    <n v="0.99"/>
    <n v="1"/>
    <n v="1"/>
    <n v="1"/>
    <n v="1"/>
    <x v="0"/>
    <n v="1"/>
    <n v="1"/>
    <n v="1"/>
    <x v="0"/>
    <s v="no"/>
    <s v="no"/>
    <s v="no"/>
    <s v="no"/>
    <s v="no"/>
    <s v="no"/>
    <s v="si"/>
    <x v="0"/>
    <s v="si"/>
    <s v="si"/>
    <s v="si"/>
    <s v="En trámites de pago, planllas finales. _x000a_En espera de avales para suscripción de contrato complementario"/>
    <s v="En trámites de pago, planllas finales. _x000a_En espera de avales para suscripción de contrato complementario"/>
    <m/>
    <m/>
    <s v="En etapa final de pago, financiero."/>
    <m/>
    <s v="En las fiscalizaciones FI-CI-007;FI-CI-007 y FI-CI-008, que son proyectos nuevos a 2017, no se definieron valores individuales en el PINV. Sin embargo fueron contratadas individualmente. En tal virtud los valores liquidados se sumaron en un solo item para poder obtener los saldos."/>
    <m/>
    <m/>
    <m/>
    <s v="Reforma según Oficio Nro.CNEL.ESM-ADM-2017-0255-O del 23 de mayo de 2017"/>
    <m/>
    <m/>
    <m/>
  </r>
  <r>
    <x v="12"/>
    <s v="CONSULTORIA INDIVIDUAL"/>
    <x v="0"/>
    <s v="Proyectos de expansión y refuerzo en el Sistema Nacional de Distribución"/>
    <x v="3"/>
    <x v="7"/>
    <x v="1"/>
    <s v="ESMERALDAS"/>
    <x v="25"/>
    <n v="1"/>
    <x v="0"/>
    <s v="BID2-RSND-CNELESM-FI-CI-007"/>
    <s v=" FISCALIZACIÓN OBRAS ELECTROMECÁNICAS Y PROTECCIONES PARA LA CONSTRUCCIÓN DEL SISTEMA DE SUBTRANSMISIÓN PRADERA"/>
    <m/>
    <s v="CCIN"/>
    <s v="ex-post"/>
    <s v="EJECUTADO BID"/>
    <s v="No.093-2017"/>
    <s v="ING. WILMER RENÉ CALVA IÑAHUAZO"/>
    <s v="ECUATORIANA"/>
    <s v="PERSONA NATURAL"/>
    <s v="0 802529552001"/>
    <s v="NO APLICA"/>
    <s v="NO APLICA"/>
    <m/>
    <m/>
    <m/>
    <n v="0"/>
    <n v="0"/>
    <n v="31500"/>
    <n v="0"/>
    <n v="31500"/>
    <n v="0.12"/>
    <n v="3780"/>
    <n v="0"/>
    <n v="35280"/>
    <m/>
    <m/>
    <m/>
    <m/>
    <n v="31500"/>
    <m/>
    <n v="31500"/>
    <n v="0.12"/>
    <n v="3780"/>
    <n v="35280"/>
    <m/>
    <m/>
    <m/>
    <m/>
    <m/>
    <m/>
    <m/>
    <m/>
    <m/>
    <m/>
    <m/>
    <m/>
    <m/>
    <m/>
    <m/>
    <s v="NO APLICA"/>
    <m/>
    <m/>
    <m/>
    <d v="2017-08-31T00:00:00"/>
    <m/>
    <m/>
    <d v="2017-09-11T00:00:00"/>
    <m/>
    <m/>
    <m/>
    <m/>
    <m/>
    <m/>
    <d v="2017-10-04T00:00:00"/>
    <m/>
    <m/>
    <d v="2017-11-21T00:00:00"/>
    <s v="NO APLICA"/>
    <s v="NO APLICA"/>
    <s v="NO APLICA"/>
    <m/>
    <m/>
    <m/>
    <m/>
    <m/>
    <m/>
    <m/>
    <m/>
    <m/>
    <m/>
    <d v="2017-10-04T00:00:00"/>
    <m/>
    <m/>
    <d v="2017-11-21T00:00:00"/>
    <s v="NO APLICA"/>
    <s v="NO APLICA"/>
    <s v="NO APLICA"/>
    <d v="2017-12-19T00:00:00"/>
    <n v="15750"/>
    <s v="Pago 1/4 - Anticipo; 50%"/>
    <d v="2018-01-15T00:00:00"/>
    <n v="11025"/>
    <s v="Pago 2/4 - Planilla; 25%"/>
    <d v="2018-02-07T00:00:00"/>
    <n v="3150"/>
    <s v="Pago 3/4 - Planilla; 25%"/>
    <m/>
    <m/>
    <m/>
    <m/>
    <m/>
    <m/>
    <m/>
    <m/>
    <m/>
    <m/>
    <m/>
    <m/>
    <m/>
    <m/>
    <m/>
    <m/>
    <m/>
    <m/>
    <m/>
    <m/>
    <n v="29925"/>
    <m/>
    <m/>
    <m/>
    <m/>
    <m/>
    <m/>
    <m/>
    <n v="240"/>
    <s v="A PARTIR DE LA SUSCRIPCIÓN  DEL CONTRATO"/>
    <d v="2017-11-22T00:00:00"/>
    <d v="2018-07-20T00:00:00"/>
    <m/>
    <m/>
    <m/>
    <m/>
    <m/>
    <m/>
    <m/>
    <m/>
    <m/>
    <m/>
    <m/>
    <m/>
    <m/>
    <m/>
    <m/>
    <m/>
    <m/>
    <m/>
    <m/>
    <m/>
    <m/>
    <m/>
    <m/>
    <m/>
    <m/>
    <m/>
    <m/>
    <m/>
    <m/>
    <m/>
    <m/>
    <m/>
    <m/>
    <m/>
    <m/>
    <m/>
    <m/>
    <m/>
    <m/>
    <n v="0"/>
    <n v="0"/>
    <n v="0"/>
    <n v="0"/>
    <n v="0"/>
    <n v="0"/>
    <n v="0"/>
    <n v="0"/>
    <n v="0"/>
    <n v="0"/>
    <n v="0"/>
    <n v="0.99"/>
    <n v="0.99"/>
    <n v="1"/>
    <n v="1"/>
    <n v="1"/>
    <n v="1"/>
    <x v="0"/>
    <n v="1"/>
    <n v="1"/>
    <n v="1"/>
    <x v="0"/>
    <s v="no"/>
    <s v="no"/>
    <s v="no"/>
    <s v="no"/>
    <s v="no"/>
    <s v="no"/>
    <s v="si"/>
    <x v="0"/>
    <s v="si"/>
    <s v="si"/>
    <s v="si"/>
    <m/>
    <m/>
    <m/>
    <m/>
    <s v="En etapa final de pago, financiero."/>
    <m/>
    <s v="En las fiscalizaciones FI-CI-007;FI-CI-007 y FI-CI-008, que son proyectos nuevos a 2017, no se definieron valores individuales en el PINV. Sin embargo fueron contratadas individualmente. En tal virtud los valores liquidados se sumaron en un solo item para poder obtener los saldos."/>
    <m/>
    <m/>
    <m/>
    <s v="Reforma según Oficio Nro.CNEL.ESM-ADM-2017-0255-O del 23 de mayo de 2017"/>
    <m/>
    <m/>
    <m/>
  </r>
  <r>
    <x v="12"/>
    <s v="CONSULTORIA INDIVIDUAL"/>
    <x v="0"/>
    <s v="Proyectos de expansión y refuerzo en el Sistema Nacional de Distribución"/>
    <x v="3"/>
    <x v="7"/>
    <x v="1"/>
    <s v="ESMERALDAS"/>
    <x v="25"/>
    <n v="1"/>
    <x v="0"/>
    <s v="BID2-RSND-CNELESM-FI-CI-008"/>
    <s v=" FISCALIZACIÓN OBRAS CIVILES PARA LA CONSTRUCCIÓN DEL SISTEMA DE SUBTRANSMISIÓN PRADERA"/>
    <m/>
    <s v="CCIN"/>
    <s v="ex-post"/>
    <s v="EJECUTADO BID"/>
    <s v="No.091-2017"/>
    <s v="ING. LUIS GERARDO GILER SOLORZANO"/>
    <s v="ECUATORIANA"/>
    <s v="PERSONA NATURAL"/>
    <n v="1309830485001"/>
    <s v="NO APLICA"/>
    <s v="NO APLICA"/>
    <m/>
    <m/>
    <m/>
    <n v="0"/>
    <n v="0"/>
    <n v="21000"/>
    <n v="0"/>
    <n v="21000"/>
    <n v="0.12"/>
    <n v="2520"/>
    <n v="0"/>
    <n v="23520.000000000004"/>
    <m/>
    <m/>
    <m/>
    <m/>
    <n v="21000"/>
    <m/>
    <n v="21000"/>
    <n v="0.12"/>
    <n v="2520"/>
    <n v="23520.000000000004"/>
    <m/>
    <m/>
    <m/>
    <m/>
    <m/>
    <m/>
    <m/>
    <m/>
    <m/>
    <m/>
    <m/>
    <m/>
    <m/>
    <m/>
    <m/>
    <s v="NO APLICA"/>
    <m/>
    <m/>
    <m/>
    <d v="2017-08-31T00:00:00"/>
    <m/>
    <m/>
    <d v="2017-09-11T00:00:00"/>
    <m/>
    <m/>
    <m/>
    <m/>
    <m/>
    <m/>
    <d v="2017-10-04T00:00:00"/>
    <m/>
    <m/>
    <d v="2017-10-15T00:00:00"/>
    <s v="NO APLICA"/>
    <s v="NO APLICA"/>
    <s v="NO APLICA"/>
    <m/>
    <m/>
    <m/>
    <m/>
    <m/>
    <m/>
    <m/>
    <m/>
    <m/>
    <m/>
    <d v="2017-10-04T00:00:00"/>
    <m/>
    <m/>
    <m/>
    <s v="NO APLICA"/>
    <s v="NO APLICA"/>
    <s v="NO APLICA"/>
    <d v="2017-11-21T00:00:00"/>
    <n v="10500"/>
    <s v="Pago 1/4 - Anticipo; 50%"/>
    <d v="2018-01-16T00:00:00"/>
    <n v="4200"/>
    <s v="Pago 2/4 -Planilla1;40%"/>
    <m/>
    <m/>
    <m/>
    <m/>
    <m/>
    <m/>
    <m/>
    <m/>
    <m/>
    <m/>
    <m/>
    <m/>
    <m/>
    <m/>
    <m/>
    <m/>
    <m/>
    <m/>
    <m/>
    <m/>
    <m/>
    <m/>
    <m/>
    <n v="14700"/>
    <m/>
    <m/>
    <m/>
    <m/>
    <m/>
    <m/>
    <m/>
    <n v="180"/>
    <s v="A PARTIR DE LA SUSCRIPCIÓN  DEL CONTRATO"/>
    <d v="2017-10-16T00:00:00"/>
    <d v="2018-04-14T00:00:00"/>
    <m/>
    <m/>
    <m/>
    <m/>
    <m/>
    <m/>
    <m/>
    <m/>
    <m/>
    <m/>
    <m/>
    <m/>
    <m/>
    <m/>
    <m/>
    <m/>
    <m/>
    <m/>
    <m/>
    <m/>
    <m/>
    <m/>
    <m/>
    <m/>
    <m/>
    <m/>
    <m/>
    <m/>
    <m/>
    <m/>
    <m/>
    <m/>
    <m/>
    <m/>
    <m/>
    <m/>
    <m/>
    <m/>
    <m/>
    <n v="0"/>
    <n v="0"/>
    <n v="0"/>
    <n v="0"/>
    <n v="0"/>
    <n v="0"/>
    <n v="0"/>
    <n v="0"/>
    <n v="0"/>
    <n v="0"/>
    <n v="0"/>
    <n v="0.99"/>
    <n v="0.99"/>
    <n v="1"/>
    <n v="1"/>
    <n v="1"/>
    <n v="1"/>
    <x v="0"/>
    <n v="1"/>
    <n v="1"/>
    <n v="1"/>
    <x v="0"/>
    <s v="no"/>
    <s v="no"/>
    <s v="no"/>
    <s v="no"/>
    <s v="no"/>
    <s v="si"/>
    <s v="si"/>
    <x v="0"/>
    <s v="si"/>
    <s v="si"/>
    <s v="si"/>
    <m/>
    <m/>
    <m/>
    <m/>
    <s v="En etapa final de pago, financiero."/>
    <s v="liquidado"/>
    <s v="En las fiscalizaciones FI-CI-007;FI-CI-007 y FI-CI-008, que son proyectos nuevos a 2017, no se definieron valores individuales en el PINV. Sin embargo fueron contratadas individualmente. En tal virtud los valores liquidados se sumaron en un solo item para poder obtener los saldos."/>
    <m/>
    <m/>
    <m/>
    <s v="Reforma según Oficio Nro.CNEL.ESM-ADM-2017-0255-O del 23 de mayo de 2017"/>
    <m/>
    <m/>
    <m/>
  </r>
  <r>
    <x v="12"/>
    <s v="CONSULTORIA INDIVIDUAL"/>
    <x v="0"/>
    <s v="Proyectos de expansión y refuerzo en el Sistema Nacional de Distribución"/>
    <x v="3"/>
    <x v="7"/>
    <x v="0"/>
    <s v="ESMERALDAS"/>
    <x v="30"/>
    <n v="6"/>
    <x v="0"/>
    <s v="BID2-RSND-CNELESM-FI-CI-001"/>
    <s v="FISCALIZACIÓN REPOTENCIACIÓN DE SALIDAS SUBTERRÁNEAS DE LOS ALIMENTADORES PRIMARIOS DE LAS SUBESTACIONES DE LA UNIDAD DE NEGOCIO ESMERALDAS"/>
    <m/>
    <s v="CCIN"/>
    <s v="ex-post"/>
    <s v="EJECUTADO EE"/>
    <m/>
    <m/>
    <m/>
    <m/>
    <m/>
    <s v="NO APLICA"/>
    <s v="NO APLICA"/>
    <m/>
    <m/>
    <m/>
    <n v="14593.33"/>
    <n v="0"/>
    <n v="14593.33"/>
    <n v="0"/>
    <n v="14593.33"/>
    <n v="0.12"/>
    <n v="1751.1995999999999"/>
    <n v="0"/>
    <n v="16344.529600000002"/>
    <n v="0"/>
    <n v="14593.33"/>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n v="1"/>
    <n v="1"/>
    <n v="1"/>
    <n v="1"/>
    <n v="1"/>
    <n v="1"/>
    <n v="1"/>
    <n v="1"/>
    <n v="1"/>
    <n v="1"/>
    <n v="1"/>
    <n v="1"/>
    <n v="1"/>
    <n v="1"/>
    <n v="1"/>
    <n v="1"/>
    <n v="1"/>
    <n v="1"/>
    <n v="1"/>
    <n v="1"/>
    <n v="1"/>
    <n v="1"/>
    <x v="0"/>
    <n v="1"/>
    <n v="1"/>
    <n v="1"/>
    <x v="0"/>
    <s v="no"/>
    <s v="no"/>
    <s v="no"/>
    <s v="no"/>
    <s v="no"/>
    <s v="no"/>
    <s v="no"/>
    <x v="3"/>
    <s v="ee"/>
    <s v="ee"/>
    <s v="ee"/>
    <m/>
    <m/>
    <m/>
    <m/>
    <m/>
    <m/>
    <m/>
    <m/>
    <m/>
    <m/>
    <s v="ESTA FISCALIZACIÓN SE HARÁ CON ADMINISTRACIÓN PROPIA"/>
    <m/>
    <m/>
    <m/>
  </r>
  <r>
    <x v="13"/>
    <s v="CONSULTORIA INDIVIDUAL"/>
    <x v="0"/>
    <s v="Proyectos de expansión y refuerzo en el Sistema Nacional de Distribución"/>
    <x v="3"/>
    <x v="7"/>
    <x v="1"/>
    <s v="GUAYAS"/>
    <x v="31"/>
    <n v="1"/>
    <x v="0"/>
    <s v="BID2-RSND-CNELGY-FI-CI-001"/>
    <s v=" FISCALIZACIÓN DE LOS TRABAJOS ELÉCTRICOS DE LA CONSTRUCCIÓN DE LA SUBESTACIÓN HUANCAVILCA Y CONSTRUCCIÓN DEL TAP A 69KV PARA ENERGIZAR  A LA SUBESTACIÓN HUANCAVILCA"/>
    <s v="Subestación Huancavilca"/>
    <s v="CCIN"/>
    <s v="ex-post"/>
    <s v="EJECUTADO BID"/>
    <s v="BID2-RSND-CNELGY-FI-CI-001"/>
    <s v="ING. WALDIR HANNES GAVELA MADRUÑERO"/>
    <s v="ECUATORIANA"/>
    <s v="PERSONA NATURAL"/>
    <s v="0 913264263001"/>
    <s v="NO APLICA"/>
    <s v="NO APLICA"/>
    <s v="ING. HÉCTOR ABADIE RODRÍGUEZ"/>
    <s v="DATO PENDIENTE"/>
    <n v="17502.787066072306"/>
    <n v="18000"/>
    <n v="17502.79"/>
    <n v="18000"/>
    <n v="0"/>
    <n v="18000"/>
    <n v="0.12"/>
    <n v="2160"/>
    <n v="0"/>
    <n v="20160.000000000004"/>
    <n v="18000"/>
    <n v="0"/>
    <m/>
    <m/>
    <n v="18000"/>
    <m/>
    <n v="18000"/>
    <m/>
    <m/>
    <m/>
    <m/>
    <m/>
    <m/>
    <m/>
    <m/>
    <m/>
    <m/>
    <m/>
    <m/>
    <m/>
    <m/>
    <n v="0"/>
    <n v="0"/>
    <m/>
    <s v="NO APLICA"/>
    <s v="NO APLICA"/>
    <m/>
    <m/>
    <m/>
    <m/>
    <m/>
    <m/>
    <m/>
    <m/>
    <m/>
    <m/>
    <m/>
    <m/>
    <s v="NO APLICA"/>
    <d v="2016-01-15T00:00:00"/>
    <s v="NO APLICA"/>
    <s v="DATO PENDIENTE"/>
    <d v="2016-01-26T00:00:00"/>
    <s v="NO APLICA"/>
    <s v="NO APLICA"/>
    <s v="NO APLICA"/>
    <m/>
    <m/>
    <m/>
    <m/>
    <m/>
    <m/>
    <m/>
    <m/>
    <m/>
    <m/>
    <m/>
    <m/>
    <m/>
    <m/>
    <s v="NO APLICA"/>
    <s v="NO APLICA"/>
    <s v="NO APLICA"/>
    <m/>
    <m/>
    <s v="PAGO 1/5 - PLANILLA 1  22.50%"/>
    <d v="2017-01-09T00:00:00"/>
    <n v="5065.2"/>
    <s v="PAGO 2/5 - PLANILLA 2  36.60%"/>
    <d v="2017-03-03T00:00:00"/>
    <n v="6588"/>
    <s v="PAGO 3/5 - PLANILLA 3  25.26%"/>
    <d v="2017-03-21T00:00:00"/>
    <n v="4546.8"/>
    <m/>
    <m/>
    <m/>
    <m/>
    <m/>
    <m/>
    <m/>
    <m/>
    <m/>
    <m/>
    <m/>
    <m/>
    <m/>
    <m/>
    <m/>
    <m/>
    <m/>
    <m/>
    <n v="16200"/>
    <m/>
    <m/>
    <m/>
    <m/>
    <m/>
    <m/>
    <m/>
    <n v="270"/>
    <s v="NOTIFICACIÓN DEL ADMINISTRADOR"/>
    <d v="2016-09-29T00:00:00"/>
    <d v="2017-06-26T00:00:00"/>
    <m/>
    <m/>
    <m/>
    <m/>
    <m/>
    <m/>
    <m/>
    <m/>
    <m/>
    <m/>
    <m/>
    <m/>
    <m/>
    <m/>
    <m/>
    <m/>
    <m/>
    <m/>
    <m/>
    <m/>
    <m/>
    <m/>
    <m/>
    <m/>
    <m/>
    <m/>
    <m/>
    <m/>
    <m/>
    <m/>
    <m/>
    <m/>
    <m/>
    <m/>
    <s v="16.94%"/>
    <s v="39.34%"/>
    <s v="66.87%"/>
    <n v="0.9"/>
    <n v="0.9"/>
    <n v="0.98499999999999999"/>
    <n v="1"/>
    <n v="1"/>
    <n v="1"/>
    <n v="1"/>
    <n v="1"/>
    <n v="1"/>
    <n v="1"/>
    <n v="1"/>
    <n v="1"/>
    <n v="1"/>
    <n v="1"/>
    <n v="1"/>
    <n v="1"/>
    <n v="1"/>
    <n v="1"/>
    <n v="1"/>
    <x v="0"/>
    <n v="1"/>
    <n v="1"/>
    <n v="1"/>
    <x v="0"/>
    <s v="si"/>
    <s v="si"/>
    <s v="si"/>
    <s v="si"/>
    <s v="si"/>
    <s v="si"/>
    <s v="si"/>
    <x v="0"/>
    <s v="si"/>
    <s v="si"/>
    <s v="si"/>
    <m/>
    <m/>
    <m/>
    <m/>
    <m/>
    <m/>
    <m/>
    <m/>
    <m/>
    <m/>
    <m/>
    <m/>
    <m/>
    <m/>
  </r>
  <r>
    <x v="13"/>
    <s v="CONSULTORIA INDIVIDUAL"/>
    <x v="0"/>
    <s v="Proyectos de expansión y refuerzo en el Sistema Nacional de Distribución"/>
    <x v="3"/>
    <x v="7"/>
    <x v="1"/>
    <s v="GUAYAS"/>
    <x v="32"/>
    <n v="2"/>
    <x v="0"/>
    <s v="BID2-RSND-CNELGY-FI-CI-001"/>
    <m/>
    <s v="Derivación o TAP para alimentar SE Huancavilca"/>
    <s v="CCIN"/>
    <s v="ex-post"/>
    <s v="EJECUTADO BID"/>
    <s v="BID2-RSND-CNELGY-FI-CI-001"/>
    <s v="ING. WALDIR HANNES GAVELA MADRUÑERO"/>
    <s v="ECUATORIANA"/>
    <s v="PERSONA NATURAL"/>
    <s v="0 913264263001"/>
    <s v="NO APLICA"/>
    <s v="NO APLICA"/>
    <s v="ING. HÉCTOR ABADIE RODRÍGUEZ"/>
    <s v="DATO PENDIENTE"/>
    <n v="497.21"/>
    <n v="0"/>
    <n v="497.21"/>
    <m/>
    <n v="0"/>
    <n v="0"/>
    <n v="0.12"/>
    <n v="0"/>
    <n v="0"/>
    <n v="0"/>
    <m/>
    <m/>
    <m/>
    <m/>
    <m/>
    <m/>
    <m/>
    <m/>
    <m/>
    <m/>
    <m/>
    <m/>
    <m/>
    <m/>
    <m/>
    <m/>
    <m/>
    <m/>
    <m/>
    <m/>
    <m/>
    <n v="0"/>
    <n v="0"/>
    <m/>
    <s v="NO APLICA"/>
    <s v="NO APLICA"/>
    <m/>
    <m/>
    <m/>
    <m/>
    <m/>
    <m/>
    <m/>
    <m/>
    <m/>
    <m/>
    <m/>
    <m/>
    <s v="NO APLICA"/>
    <d v="2016-01-15T00:00:00"/>
    <s v="NO APLICA"/>
    <s v="DATO PENDIENTE"/>
    <d v="2016-01-26T00:00:00"/>
    <s v="NO APLICA"/>
    <s v="NO APLICA"/>
    <s v="NO APLICA"/>
    <m/>
    <m/>
    <m/>
    <m/>
    <m/>
    <m/>
    <m/>
    <m/>
    <m/>
    <m/>
    <m/>
    <m/>
    <m/>
    <m/>
    <s v="NO APLICA"/>
    <s v="NO APLICA"/>
    <s v="NO APLICA"/>
    <m/>
    <m/>
    <m/>
    <m/>
    <m/>
    <m/>
    <m/>
    <m/>
    <m/>
    <m/>
    <m/>
    <m/>
    <m/>
    <m/>
    <m/>
    <m/>
    <m/>
    <m/>
    <m/>
    <m/>
    <m/>
    <m/>
    <m/>
    <m/>
    <m/>
    <m/>
    <m/>
    <m/>
    <m/>
    <n v="0"/>
    <m/>
    <m/>
    <m/>
    <m/>
    <m/>
    <m/>
    <m/>
    <n v="270"/>
    <s v="NOTIFICACIÓN DEL ADMINISTRADOR"/>
    <d v="2016-09-29T00:00:00"/>
    <d v="2017-06-26T00:00:00"/>
    <m/>
    <m/>
    <m/>
    <m/>
    <m/>
    <m/>
    <m/>
    <m/>
    <m/>
    <m/>
    <m/>
    <m/>
    <m/>
    <m/>
    <m/>
    <m/>
    <m/>
    <m/>
    <m/>
    <m/>
    <m/>
    <m/>
    <m/>
    <m/>
    <m/>
    <m/>
    <m/>
    <m/>
    <m/>
    <m/>
    <m/>
    <m/>
    <m/>
    <m/>
    <s v="16.94%"/>
    <s v="39.34%"/>
    <s v="66.87%"/>
    <n v="0.9"/>
    <n v="0.9"/>
    <n v="0.98499999999999999"/>
    <n v="1"/>
    <n v="1"/>
    <n v="1"/>
    <n v="1"/>
    <n v="1"/>
    <n v="1"/>
    <n v="1"/>
    <n v="1"/>
    <n v="1"/>
    <n v="1"/>
    <n v="1"/>
    <n v="1"/>
    <n v="1"/>
    <n v="1"/>
    <n v="1"/>
    <n v="1"/>
    <x v="0"/>
    <n v="1"/>
    <n v="1"/>
    <n v="1"/>
    <x v="0"/>
    <s v="si"/>
    <s v="si"/>
    <s v="si"/>
    <s v="si"/>
    <s v="si"/>
    <s v="si"/>
    <s v="si"/>
    <x v="0"/>
    <s v="si"/>
    <s v="si"/>
    <s v="si"/>
    <m/>
    <m/>
    <m/>
    <m/>
    <m/>
    <m/>
    <m/>
    <m/>
    <m/>
    <m/>
    <m/>
    <m/>
    <m/>
    <m/>
  </r>
  <r>
    <x v="13"/>
    <s v="CONSULTORIA INDIVIDUAL"/>
    <x v="0"/>
    <s v="Proyectos de expansión y refuerzo en el Sistema Nacional de Distribución"/>
    <x v="3"/>
    <x v="7"/>
    <x v="1"/>
    <s v="GUAYAS"/>
    <x v="31"/>
    <n v="1"/>
    <x v="0"/>
    <s v="BID2-RSND-CNELGY-FI-CI-011"/>
    <s v="FISCALIZACIÓN DE LOS TRABAJOS CIVILES DE LA  CONSTRUCCIÓN DE LA SUBESTACIÓN HUANCAVILCA"/>
    <m/>
    <s v="CCIN"/>
    <s v="ex-post"/>
    <s v="EJECUTADO BID"/>
    <s v="BID2-RSND-CNELGY-FI-CI-011"/>
    <s v="ING. ANDRES GUILLERMO MERIZALDE ANDRADE"/>
    <s v="ECUATORIANA"/>
    <s v="PERSONA NATURAL"/>
    <s v="0 915438295001"/>
    <s v="NO APLICA"/>
    <s v="NO APLICA"/>
    <s v="ING. HÉCTOR ABADIE RODRÍGUEZ"/>
    <s v="DATO PENDIENTE"/>
    <m/>
    <n v="18000"/>
    <n v="0"/>
    <n v="18000"/>
    <n v="0"/>
    <n v="18000"/>
    <n v="0.12"/>
    <n v="2160"/>
    <n v="0"/>
    <n v="20160.000000000004"/>
    <n v="17900"/>
    <n v="100"/>
    <m/>
    <m/>
    <n v="18000"/>
    <m/>
    <n v="17900"/>
    <n v="0.14000000000000001"/>
    <m/>
    <n v="20406"/>
    <m/>
    <m/>
    <m/>
    <m/>
    <m/>
    <m/>
    <m/>
    <m/>
    <m/>
    <m/>
    <m/>
    <n v="100"/>
    <n v="100"/>
    <m/>
    <s v="NO APLICA"/>
    <s v="NO APLICA"/>
    <m/>
    <m/>
    <m/>
    <m/>
    <m/>
    <m/>
    <m/>
    <m/>
    <m/>
    <m/>
    <m/>
    <m/>
    <s v="NO APLICA"/>
    <d v="2016-09-30T00:00:00"/>
    <s v="NO APLICA"/>
    <s v="DATO PENDIENTE"/>
    <d v="2016-10-14T00:00:00"/>
    <s v="NO APLICA"/>
    <s v="NO APLICA"/>
    <s v="NO APLICA"/>
    <m/>
    <m/>
    <m/>
    <m/>
    <m/>
    <m/>
    <m/>
    <m/>
    <m/>
    <m/>
    <m/>
    <m/>
    <m/>
    <m/>
    <s v="NO APLICA"/>
    <s v="NO APLICA"/>
    <s v="NO APLICA"/>
    <s v="NO APLICA"/>
    <m/>
    <s v="PAGO 1/6 - PLANILLA 1  28.14%"/>
    <d v="2016-12-28T00:00:00"/>
    <n v="5037.0600000000004"/>
    <s v="PAGO 2/6 - PLANILLA 2  36.60%"/>
    <d v="2017-03-03T00:00:00"/>
    <n v="6551.4"/>
    <s v="PAGO 3/6 - PLANILLA 3  25.26%"/>
    <d v="2017-03-21T00:00:00"/>
    <n v="4521.54"/>
    <m/>
    <m/>
    <m/>
    <m/>
    <m/>
    <m/>
    <m/>
    <m/>
    <m/>
    <m/>
    <m/>
    <m/>
    <m/>
    <m/>
    <m/>
    <m/>
    <m/>
    <m/>
    <n v="16110"/>
    <m/>
    <m/>
    <m/>
    <m/>
    <m/>
    <m/>
    <m/>
    <n v="270"/>
    <s v="NOTIFICACIÓN DEL ADMINISTRADOR"/>
    <d v="2016-10-15T00:00:00"/>
    <d v="2017-07-12T00:00:00"/>
    <m/>
    <m/>
    <m/>
    <m/>
    <m/>
    <m/>
    <m/>
    <m/>
    <m/>
    <m/>
    <m/>
    <m/>
    <m/>
    <m/>
    <m/>
    <m/>
    <m/>
    <m/>
    <m/>
    <m/>
    <m/>
    <m/>
    <m/>
    <m/>
    <m/>
    <m/>
    <m/>
    <m/>
    <m/>
    <m/>
    <m/>
    <m/>
    <m/>
    <m/>
    <s v="15.10%"/>
    <s v="15.10%"/>
    <s v="80.96%"/>
    <n v="0.97"/>
    <n v="0.97"/>
    <n v="0.98499999999999999"/>
    <n v="1"/>
    <n v="1"/>
    <n v="1"/>
    <n v="1"/>
    <n v="1"/>
    <n v="1"/>
    <n v="1"/>
    <n v="1"/>
    <n v="1"/>
    <n v="1"/>
    <n v="1"/>
    <n v="1"/>
    <n v="1"/>
    <n v="1"/>
    <n v="1"/>
    <n v="1"/>
    <x v="0"/>
    <n v="1"/>
    <n v="1"/>
    <n v="1"/>
    <x v="0"/>
    <s v="si"/>
    <s v="si"/>
    <s v="si"/>
    <s v="si"/>
    <s v="si"/>
    <s v="si"/>
    <s v="si"/>
    <x v="0"/>
    <s v="si"/>
    <s v="si"/>
    <s v="si"/>
    <m/>
    <m/>
    <m/>
    <m/>
    <m/>
    <m/>
    <m/>
    <m/>
    <m/>
    <m/>
    <m/>
    <m/>
    <m/>
    <m/>
  </r>
  <r>
    <x v="13"/>
    <s v="CONSULTORIA INDIVIDUAL"/>
    <x v="0"/>
    <s v="Proyectos de expansión y refuerzo en el Sistema Nacional de Distribución"/>
    <x v="3"/>
    <x v="7"/>
    <x v="1"/>
    <s v="GUAYAS"/>
    <x v="35"/>
    <n v="5"/>
    <x v="0"/>
    <s v="BID2-RSND-CNELGY-FI-CI-013"/>
    <s v="FISCALIZACIÓN DE LOS TRABAJOS ELÉCTRICOS DE LA CONSTRUCCIÓN DE LA SUBESTACIÓN GUASMO 3 Y DE LA CONSTRUCCIÓN DEL TAP A 69KV PARA ENERGIZAR  A LA SUBESTACIÓN GUASMO 3"/>
    <s v="Subestación Guasmo 3"/>
    <s v="CCIN"/>
    <s v="ex-post"/>
    <s v="EJECUTADO BID"/>
    <s v="BID2-RSND-CNELGY-FI-CI-013"/>
    <s v="ING. OTTO FRANCO ROMERO"/>
    <s v="ECUATORIANA"/>
    <s v="PERSONA NATURAL"/>
    <s v="0 901164269001"/>
    <s v="NO APLICA"/>
    <s v="NO APLICA"/>
    <s v="DATO PENDIENTE"/>
    <s v="DATO PENDIENTE"/>
    <n v="17890.90612941112"/>
    <n v="18000"/>
    <n v="17890.90612941112"/>
    <n v="18000"/>
    <n v="0"/>
    <n v="18000"/>
    <n v="0.12"/>
    <n v="2160"/>
    <n v="0"/>
    <n v="20160.000000000004"/>
    <n v="17900"/>
    <n v="100"/>
    <m/>
    <m/>
    <n v="18000"/>
    <m/>
    <n v="17900"/>
    <n v="0.14000000000000001"/>
    <m/>
    <n v="20406"/>
    <m/>
    <m/>
    <m/>
    <m/>
    <m/>
    <m/>
    <m/>
    <m/>
    <m/>
    <m/>
    <m/>
    <n v="100"/>
    <n v="100"/>
    <m/>
    <s v="NO APLICA"/>
    <s v="NO APLICA"/>
    <m/>
    <m/>
    <m/>
    <m/>
    <m/>
    <m/>
    <m/>
    <m/>
    <m/>
    <m/>
    <m/>
    <m/>
    <s v="NO APLICA"/>
    <d v="2016-09-13T00:00:00"/>
    <s v="NO APLICA"/>
    <m/>
    <d v="2016-10-04T00:00:00"/>
    <s v="NO APLICA"/>
    <s v="NO APLICA"/>
    <s v="NO APLICA"/>
    <m/>
    <m/>
    <m/>
    <m/>
    <m/>
    <m/>
    <m/>
    <m/>
    <m/>
    <m/>
    <m/>
    <m/>
    <m/>
    <m/>
    <s v="NO APLICA"/>
    <s v="NO APLICA"/>
    <s v="NO APLICA"/>
    <m/>
    <m/>
    <s v="PAGO 1/6 - PLANILLA 1  24.19%"/>
    <d v="2016-12-29T00:00:00"/>
    <n v="3897.01"/>
    <s v="PAGO 2/6 - PLANILLA 28,51%"/>
    <d v="2017-02-16T00:00:00"/>
    <n v="5103.6499999999996"/>
    <s v="PAGO 3/6 - PLANILLA 39,717%"/>
    <d v="2017-05-17T00:00:00"/>
    <n v="7109.34"/>
    <m/>
    <m/>
    <m/>
    <m/>
    <m/>
    <m/>
    <m/>
    <m/>
    <m/>
    <m/>
    <m/>
    <m/>
    <m/>
    <m/>
    <m/>
    <m/>
    <m/>
    <m/>
    <n v="16110"/>
    <m/>
    <m/>
    <m/>
    <m/>
    <m/>
    <m/>
    <m/>
    <n v="270"/>
    <s v="NOTIFICACIÓN DEL ADMINISTRADOR"/>
    <d v="2016-10-07T00:00:00"/>
    <d v="2017-07-04T00:00:00"/>
    <m/>
    <m/>
    <m/>
    <m/>
    <m/>
    <m/>
    <m/>
    <m/>
    <m/>
    <m/>
    <m/>
    <m/>
    <m/>
    <m/>
    <m/>
    <m/>
    <m/>
    <m/>
    <m/>
    <m/>
    <m/>
    <m/>
    <m/>
    <m/>
    <m/>
    <m/>
    <m/>
    <m/>
    <m/>
    <m/>
    <m/>
    <m/>
    <m/>
    <m/>
    <m/>
    <m/>
    <n v="0"/>
    <n v="0.50900000000000001"/>
    <n v="0.9"/>
    <n v="0.98499999999999999"/>
    <n v="0.98499999999999999"/>
    <n v="1"/>
    <n v="1"/>
    <n v="1"/>
    <n v="1"/>
    <n v="1"/>
    <n v="1"/>
    <n v="1"/>
    <n v="1"/>
    <n v="1"/>
    <n v="1"/>
    <n v="1"/>
    <n v="1"/>
    <n v="1"/>
    <n v="1"/>
    <n v="1"/>
    <x v="0"/>
    <n v="1"/>
    <n v="1"/>
    <n v="1"/>
    <x v="0"/>
    <s v="si"/>
    <s v="si"/>
    <s v="si"/>
    <s v="si"/>
    <s v="si"/>
    <s v="si"/>
    <s v="si"/>
    <x v="0"/>
    <s v="si"/>
    <s v="si"/>
    <s v="si"/>
    <m/>
    <m/>
    <m/>
    <m/>
    <m/>
    <m/>
    <m/>
    <m/>
    <m/>
    <m/>
    <m/>
    <m/>
    <m/>
    <m/>
  </r>
  <r>
    <x v="13"/>
    <s v="CONSULTORIA INDIVIDUAL"/>
    <x v="0"/>
    <s v="Proyectos de expansión y refuerzo en el Sistema Nacional de Distribución"/>
    <x v="3"/>
    <x v="7"/>
    <x v="1"/>
    <s v="GUAYAS"/>
    <x v="36"/>
    <n v="6"/>
    <x v="0"/>
    <s v="BID2-RSND-CNELGY-FI-CI-013"/>
    <m/>
    <s v="Derivación o TAP para alimentar a SE Guasmo 3"/>
    <s v="CCIN"/>
    <s v="ex-post"/>
    <s v="EJECUTADO BID"/>
    <s v="BID2-RSND-CNELGY-FI-CI-013"/>
    <s v="ING. OTTO FRANCO ROMERO"/>
    <s v="ECUATORIANA"/>
    <s v="PERSONA NATURAL"/>
    <s v="0 901164269001"/>
    <s v="NO APLICA"/>
    <s v="NO APLICA"/>
    <s v="DATO PENDIENTE"/>
    <s v="DATO PENDIENTE"/>
    <n v="109.09392623553198"/>
    <n v="0"/>
    <n v="109.09392623553198"/>
    <m/>
    <n v="0"/>
    <n v="0"/>
    <n v="0.12"/>
    <n v="0"/>
    <n v="0"/>
    <n v="0"/>
    <m/>
    <m/>
    <m/>
    <m/>
    <m/>
    <m/>
    <m/>
    <m/>
    <m/>
    <m/>
    <m/>
    <m/>
    <m/>
    <m/>
    <m/>
    <m/>
    <m/>
    <m/>
    <m/>
    <m/>
    <m/>
    <n v="0"/>
    <n v="0"/>
    <m/>
    <s v="NO APLICA"/>
    <s v="NO APLICA"/>
    <m/>
    <m/>
    <m/>
    <m/>
    <m/>
    <m/>
    <m/>
    <m/>
    <m/>
    <m/>
    <m/>
    <m/>
    <s v="NO APLICA"/>
    <d v="2016-09-13T00:00:00"/>
    <s v="NO APLICA"/>
    <m/>
    <d v="2016-10-04T00:00:00"/>
    <s v="NO APLICA"/>
    <s v="NO APLICA"/>
    <s v="NO APLICA"/>
    <m/>
    <m/>
    <m/>
    <m/>
    <m/>
    <m/>
    <m/>
    <m/>
    <m/>
    <m/>
    <m/>
    <m/>
    <m/>
    <m/>
    <s v="NO APLICA"/>
    <s v="NO APLICA"/>
    <s v="NO APLICA"/>
    <m/>
    <m/>
    <m/>
    <m/>
    <m/>
    <m/>
    <m/>
    <m/>
    <m/>
    <m/>
    <m/>
    <m/>
    <m/>
    <m/>
    <m/>
    <m/>
    <m/>
    <m/>
    <m/>
    <m/>
    <m/>
    <m/>
    <m/>
    <m/>
    <m/>
    <m/>
    <m/>
    <m/>
    <m/>
    <n v="0"/>
    <m/>
    <m/>
    <m/>
    <m/>
    <m/>
    <m/>
    <m/>
    <n v="270"/>
    <s v="NOTIFICACIÓN DEL ADMINISTRADOR"/>
    <d v="2016-10-07T00:00:00"/>
    <d v="2017-07-04T00:00:00"/>
    <m/>
    <m/>
    <m/>
    <m/>
    <m/>
    <m/>
    <m/>
    <m/>
    <m/>
    <m/>
    <m/>
    <m/>
    <m/>
    <m/>
    <m/>
    <m/>
    <m/>
    <m/>
    <m/>
    <m/>
    <m/>
    <m/>
    <m/>
    <m/>
    <m/>
    <m/>
    <m/>
    <m/>
    <m/>
    <m/>
    <m/>
    <m/>
    <m/>
    <m/>
    <m/>
    <m/>
    <n v="0"/>
    <n v="0.50900000000000001"/>
    <n v="0.9"/>
    <n v="0.98499999999999999"/>
    <n v="0.98499999999999999"/>
    <n v="1"/>
    <n v="1"/>
    <n v="1"/>
    <n v="1"/>
    <n v="1"/>
    <n v="1"/>
    <n v="1"/>
    <n v="1"/>
    <n v="1"/>
    <n v="1"/>
    <n v="1"/>
    <n v="1"/>
    <n v="1"/>
    <n v="1"/>
    <n v="1"/>
    <x v="0"/>
    <n v="1"/>
    <n v="1"/>
    <n v="1"/>
    <x v="0"/>
    <s v="si"/>
    <s v="si"/>
    <s v="si"/>
    <s v="si"/>
    <s v="si"/>
    <s v="si"/>
    <s v="si"/>
    <x v="0"/>
    <s v="si"/>
    <s v="si"/>
    <s v="si"/>
    <m/>
    <m/>
    <m/>
    <m/>
    <m/>
    <m/>
    <m/>
    <m/>
    <m/>
    <m/>
    <m/>
    <m/>
    <m/>
    <m/>
  </r>
  <r>
    <x v="13"/>
    <s v="CONSULTORIA INDIVIDUAL"/>
    <x v="0"/>
    <s v="Proyectos de expansión y refuerzo en el Sistema Nacional de Distribución"/>
    <x v="3"/>
    <x v="7"/>
    <x v="1"/>
    <s v="GUAYAS"/>
    <x v="35"/>
    <n v="5"/>
    <x v="0"/>
    <s v="BID2-RSND-CNELGY-FI-CI-014"/>
    <s v="FISCALIZACIÓN DE LOS TRABAJOS CIVILES DE LA CONSTRUCCIÓN DE LA SUBESTACIÓN GUASMO 3"/>
    <m/>
    <s v="CCIN"/>
    <s v="ex-post"/>
    <s v="EJECUTADO BID"/>
    <s v="BID2-RSND-CNELGY-FI-CI-014"/>
    <s v="ING. FRANCISCO ASPIAZU GORDILLO"/>
    <s v="ECUATORIANA"/>
    <s v="PERSONA NATURAL"/>
    <s v="0 905965802001"/>
    <s v="NO APLICA"/>
    <s v="NO APLICA"/>
    <s v="ING. VICTOR JULIO VÉLIZ ARREGLO"/>
    <s v="DATO PENDIENTE"/>
    <m/>
    <n v="16684.8"/>
    <n v="0"/>
    <n v="16684.803571428569"/>
    <n v="0"/>
    <n v="16684.803571428569"/>
    <n v="0.12"/>
    <n v="2002.1764285714282"/>
    <n v="0"/>
    <n v="18686.98"/>
    <n v="16670"/>
    <n v="14.799999999999272"/>
    <m/>
    <m/>
    <n v="16684.803571428569"/>
    <m/>
    <n v="16670"/>
    <n v="0.14000000000000001"/>
    <m/>
    <n v="19003.8"/>
    <m/>
    <m/>
    <m/>
    <m/>
    <m/>
    <m/>
    <m/>
    <m/>
    <m/>
    <m/>
    <m/>
    <n v="14.799999999999272"/>
    <n v="14.799999999999272"/>
    <m/>
    <s v="NO APLICA"/>
    <s v="NO APLICA"/>
    <m/>
    <m/>
    <m/>
    <m/>
    <m/>
    <m/>
    <m/>
    <m/>
    <m/>
    <m/>
    <m/>
    <m/>
    <s v="NO APLICA"/>
    <d v="2016-09-23T00:00:00"/>
    <m/>
    <m/>
    <d v="2016-10-12T00:00:00"/>
    <s v="NO APLICA"/>
    <s v="NO APLICA"/>
    <s v="NO APLICA"/>
    <m/>
    <m/>
    <m/>
    <m/>
    <m/>
    <m/>
    <m/>
    <m/>
    <m/>
    <m/>
    <m/>
    <m/>
    <m/>
    <m/>
    <s v="NO APLICA"/>
    <s v="NO APLICA"/>
    <s v="NO APLICA"/>
    <s v="NO APLICA"/>
    <n v="0"/>
    <s v="PAGO 1/6 - PLANILLA 1  24.19%"/>
    <d v="2016-12-23T00:00:00"/>
    <n v="3629.23"/>
    <s v="PAGO 2/6 - PLANILLA  28.51%"/>
    <d v="2017-02-14T00:00:00"/>
    <n v="4752.95"/>
    <s v="PAGO 3/6 - PLANILLA 2 - 44,13%"/>
    <d v="2017-04-04T00:00:00"/>
    <n v="6620.82"/>
    <m/>
    <m/>
    <m/>
    <m/>
    <m/>
    <m/>
    <m/>
    <m/>
    <m/>
    <m/>
    <m/>
    <m/>
    <m/>
    <m/>
    <m/>
    <m/>
    <m/>
    <m/>
    <n v="15003"/>
    <m/>
    <m/>
    <m/>
    <m/>
    <m/>
    <m/>
    <m/>
    <n v="270"/>
    <s v="NOTIFICACIÓN DEL ADMINISTRADOR"/>
    <d v="2016-10-14T00:00:00"/>
    <d v="2017-07-11T00:00:00"/>
    <m/>
    <m/>
    <m/>
    <m/>
    <m/>
    <m/>
    <m/>
    <m/>
    <m/>
    <m/>
    <m/>
    <m/>
    <m/>
    <m/>
    <m/>
    <m/>
    <m/>
    <m/>
    <m/>
    <m/>
    <m/>
    <m/>
    <m/>
    <m/>
    <m/>
    <m/>
    <m/>
    <m/>
    <m/>
    <m/>
    <m/>
    <m/>
    <m/>
    <m/>
    <m/>
    <s v="60.31%"/>
    <s v="60.31%"/>
    <n v="0.93630000000000002"/>
    <n v="0.93630000000000002"/>
    <n v="0.93630000000000002"/>
    <n v="1"/>
    <n v="1"/>
    <n v="1"/>
    <n v="1"/>
    <n v="1"/>
    <n v="1"/>
    <n v="1"/>
    <n v="1"/>
    <n v="1"/>
    <n v="1"/>
    <n v="1"/>
    <n v="1"/>
    <n v="1"/>
    <n v="1"/>
    <n v="1"/>
    <n v="1"/>
    <x v="0"/>
    <n v="1"/>
    <n v="1"/>
    <n v="1"/>
    <x v="0"/>
    <s v="si"/>
    <s v="si"/>
    <s v="si"/>
    <s v="si"/>
    <s v="si"/>
    <s v="si"/>
    <s v="si"/>
    <x v="0"/>
    <s v="si"/>
    <s v="si"/>
    <s v="si"/>
    <m/>
    <m/>
    <m/>
    <m/>
    <m/>
    <m/>
    <m/>
    <m/>
    <m/>
    <m/>
    <m/>
    <m/>
    <m/>
    <m/>
  </r>
  <r>
    <x v="13"/>
    <s v="CONSULTORIA INDIVIDUAL"/>
    <x v="0"/>
    <s v="Proyectos de expansión y refuerzo en el Sistema Nacional de Distribución"/>
    <x v="3"/>
    <x v="7"/>
    <x v="1"/>
    <s v="GUAYAS"/>
    <x v="33"/>
    <n v="3"/>
    <x v="0"/>
    <s v="BID2-RSND-CNELGY-FI-CI-003"/>
    <s v="FISCALIZACIÓN DE LOS TRABAJOS ELÉCTRICOS DE LA  CONSTRUCCIÓN DE LA SUBESTACIÓN MI LOTE Y CONSTRUCCIÓN DEL TAP A 69KV PARA ENERGIZAR  A LA SUBESTACIÓN MI LOTE"/>
    <s v="Subestación Mi Lote"/>
    <s v="CCIN"/>
    <s v="ex-post"/>
    <s v="EJECUTADO BID"/>
    <s v="BID2-RSND-CNELGY-FI-CI-003"/>
    <s v="ING MIGUEL ANTONIO PARRA SUAREZ"/>
    <s v="ECUATORIANA"/>
    <s v="PERSONA NATURAL"/>
    <s v="0 904895562001"/>
    <s v="NO APLICA"/>
    <s v="NO APLICA"/>
    <s v="ING. JOSÉ ANTONIO CHONG MELGAR"/>
    <s v="DATO PENDIENTE"/>
    <n v="19403.63"/>
    <n v="28000"/>
    <n v="19403.63"/>
    <n v="28000"/>
    <n v="0"/>
    <n v="28000"/>
    <n v="0.12"/>
    <n v="3360"/>
    <n v="0"/>
    <n v="31360.000000000004"/>
    <n v="28000"/>
    <n v="0"/>
    <m/>
    <m/>
    <n v="28000"/>
    <m/>
    <n v="28000"/>
    <n v="0.14000000000000001"/>
    <m/>
    <n v="31919.999999999996"/>
    <m/>
    <m/>
    <m/>
    <m/>
    <m/>
    <m/>
    <m/>
    <m/>
    <m/>
    <m/>
    <m/>
    <n v="0"/>
    <n v="0"/>
    <m/>
    <s v="NO APLICA"/>
    <s v="NO APLICA"/>
    <m/>
    <m/>
    <m/>
    <m/>
    <m/>
    <m/>
    <m/>
    <m/>
    <m/>
    <m/>
    <m/>
    <m/>
    <s v="NO APLICA"/>
    <d v="2016-01-15T00:00:00"/>
    <m/>
    <m/>
    <d v="2016-01-26T00:00:00"/>
    <s v="NO APLICA"/>
    <s v="NO APLICA"/>
    <s v="NO APLICA"/>
    <m/>
    <m/>
    <m/>
    <m/>
    <m/>
    <m/>
    <m/>
    <m/>
    <m/>
    <m/>
    <m/>
    <m/>
    <m/>
    <m/>
    <s v="NO APLICA"/>
    <s v="NO APLICA"/>
    <s v="NO APLICA"/>
    <m/>
    <m/>
    <s v="PAGO 1/5 - PLANILLA 1 -  32.50%"/>
    <d v="2017-03-02T00:00:00"/>
    <n v="9100"/>
    <s v="PAGO 2/5 - PLANILLA 2 - 32,50%"/>
    <d v="2017-05-23T00:00:00"/>
    <n v="9100"/>
    <m/>
    <m/>
    <m/>
    <m/>
    <m/>
    <m/>
    <m/>
    <m/>
    <m/>
    <m/>
    <m/>
    <m/>
    <m/>
    <m/>
    <m/>
    <m/>
    <m/>
    <m/>
    <m/>
    <m/>
    <m/>
    <n v="18200"/>
    <m/>
    <m/>
    <m/>
    <m/>
    <m/>
    <m/>
    <m/>
    <n v="270"/>
    <s v="NOTIFICACIÓN DEL ADMINISTRADOR"/>
    <d v="2016-10-11T00:00:00"/>
    <d v="2017-07-08T00:00:00"/>
    <m/>
    <m/>
    <m/>
    <m/>
    <m/>
    <m/>
    <m/>
    <m/>
    <m/>
    <m/>
    <m/>
    <m/>
    <m/>
    <m/>
    <m/>
    <m/>
    <m/>
    <m/>
    <m/>
    <m/>
    <m/>
    <m/>
    <m/>
    <m/>
    <m/>
    <m/>
    <m/>
    <m/>
    <m/>
    <m/>
    <m/>
    <m/>
    <m/>
    <m/>
    <m/>
    <m/>
    <n v="0"/>
    <n v="0"/>
    <n v="0.1"/>
    <n v="0.85"/>
    <n v="0.96"/>
    <n v="0.97"/>
    <n v="0.98"/>
    <n v="0.98"/>
    <n v="1"/>
    <n v="1"/>
    <n v="1"/>
    <n v="1"/>
    <n v="1"/>
    <n v="1"/>
    <n v="1"/>
    <n v="1"/>
    <n v="1"/>
    <n v="1"/>
    <n v="1"/>
    <n v="1"/>
    <x v="0"/>
    <n v="1"/>
    <n v="1"/>
    <n v="1"/>
    <x v="0"/>
    <s v="no"/>
    <s v="si"/>
    <s v="si"/>
    <s v="si"/>
    <s v="si"/>
    <s v="si"/>
    <s v="si"/>
    <x v="0"/>
    <s v="si"/>
    <s v="si"/>
    <s v="si"/>
    <m/>
    <m/>
    <m/>
    <m/>
    <m/>
    <m/>
    <m/>
    <m/>
    <m/>
    <m/>
    <m/>
    <m/>
    <m/>
    <m/>
  </r>
  <r>
    <x v="13"/>
    <s v="CONSULTORIA INDIVIDUAL"/>
    <x v="0"/>
    <s v="Proyectos de expansión y refuerzo en el Sistema Nacional de Distribución"/>
    <x v="3"/>
    <x v="7"/>
    <x v="1"/>
    <s v="GUAYAS"/>
    <x v="34"/>
    <n v="4"/>
    <x v="0"/>
    <s v="BID2-RSND-CNELGY-FI-CI-003"/>
    <m/>
    <s v="Derivación o Tap para alimentar la SE Mi Lote"/>
    <s v="CCIN"/>
    <s v="ex-post"/>
    <s v="EJECUTADO BID"/>
    <s v="BID2-RSND-CNELGY-FI-CI-003"/>
    <s v="ING MIGUEL ANTONIO PARRA SUAREZ"/>
    <s v="ECUATORIANA"/>
    <s v="PERSONA NATURAL"/>
    <s v="0 904895562001"/>
    <s v="NO APLICA"/>
    <s v="NO APLICA"/>
    <s v="ING. JOSÉ ANTONIO CHONG MELGAR"/>
    <s v="DATO PENDIENTE"/>
    <n v="8596.3657836156253"/>
    <n v="0"/>
    <n v="8596.3657836156253"/>
    <m/>
    <n v="0"/>
    <n v="0"/>
    <n v="0.12"/>
    <n v="0"/>
    <n v="0"/>
    <n v="0"/>
    <m/>
    <m/>
    <m/>
    <m/>
    <m/>
    <m/>
    <m/>
    <m/>
    <m/>
    <m/>
    <m/>
    <m/>
    <m/>
    <m/>
    <m/>
    <m/>
    <m/>
    <m/>
    <m/>
    <m/>
    <m/>
    <n v="0"/>
    <n v="0"/>
    <m/>
    <s v="NO APLICA"/>
    <s v="NO APLICA"/>
    <m/>
    <m/>
    <m/>
    <m/>
    <m/>
    <m/>
    <m/>
    <m/>
    <m/>
    <m/>
    <m/>
    <m/>
    <s v="NO APLICA"/>
    <d v="2016-01-15T00:00:00"/>
    <m/>
    <m/>
    <d v="2016-01-26T00:00:00"/>
    <s v="NO APLICA"/>
    <s v="NO APLICA"/>
    <s v="NO APLICA"/>
    <m/>
    <m/>
    <m/>
    <m/>
    <m/>
    <m/>
    <m/>
    <m/>
    <m/>
    <m/>
    <m/>
    <m/>
    <m/>
    <m/>
    <s v="NO APLICA"/>
    <s v="NO APLICA"/>
    <s v="NO APLICA"/>
    <m/>
    <m/>
    <m/>
    <m/>
    <m/>
    <m/>
    <m/>
    <m/>
    <m/>
    <m/>
    <m/>
    <m/>
    <m/>
    <m/>
    <m/>
    <m/>
    <m/>
    <m/>
    <m/>
    <m/>
    <m/>
    <m/>
    <m/>
    <m/>
    <m/>
    <m/>
    <m/>
    <m/>
    <m/>
    <n v="0"/>
    <m/>
    <m/>
    <m/>
    <m/>
    <m/>
    <m/>
    <m/>
    <n v="270"/>
    <s v="NOTIFICACIÓN DEL ADMINISTRADOR"/>
    <d v="2016-10-11T00:00:00"/>
    <d v="2017-07-08T00:00:00"/>
    <m/>
    <m/>
    <m/>
    <m/>
    <m/>
    <m/>
    <m/>
    <m/>
    <m/>
    <m/>
    <m/>
    <m/>
    <m/>
    <m/>
    <m/>
    <m/>
    <m/>
    <m/>
    <m/>
    <m/>
    <m/>
    <m/>
    <m/>
    <m/>
    <m/>
    <m/>
    <m/>
    <m/>
    <m/>
    <m/>
    <m/>
    <m/>
    <m/>
    <m/>
    <m/>
    <m/>
    <n v="0"/>
    <n v="0"/>
    <n v="0.1"/>
    <n v="0.85"/>
    <n v="0.96"/>
    <n v="0.97"/>
    <n v="0.98"/>
    <n v="0.98"/>
    <n v="1"/>
    <n v="1"/>
    <n v="1"/>
    <n v="1"/>
    <n v="1"/>
    <n v="1"/>
    <n v="1"/>
    <n v="1"/>
    <n v="1"/>
    <n v="1"/>
    <n v="1"/>
    <n v="1"/>
    <x v="0"/>
    <n v="1"/>
    <n v="1"/>
    <n v="1"/>
    <x v="0"/>
    <s v="no"/>
    <s v="si"/>
    <s v="si"/>
    <s v="si"/>
    <s v="si"/>
    <s v="si"/>
    <s v="si"/>
    <x v="0"/>
    <s v="si"/>
    <s v="si"/>
    <s v="si"/>
    <m/>
    <m/>
    <m/>
    <m/>
    <m/>
    <m/>
    <m/>
    <m/>
    <m/>
    <m/>
    <m/>
    <m/>
    <m/>
    <m/>
  </r>
  <r>
    <x v="13"/>
    <s v="CONSULTORIA INDIVIDUAL"/>
    <x v="0"/>
    <s v="Proyectos de expansión y refuerzo en el Sistema Nacional de Distribución"/>
    <x v="3"/>
    <x v="7"/>
    <x v="1"/>
    <s v="GUAYAS"/>
    <x v="33"/>
    <n v="3"/>
    <x v="0"/>
    <s v="BID2-RSND-CNELGY-FI-CI-012"/>
    <s v="FISCALIZACIÓN DE LOS TRABAJOS CIVILES DE LA CONSTRUCCIÓN DE LA SUBESTACIÓN MI LOTE"/>
    <m/>
    <s v="CCIN"/>
    <s v="ex-post"/>
    <s v="EJECUTADO BID"/>
    <s v="BID2-RSND-CNELGY-FI-CI-012"/>
    <s v="ING. JOSÉ HIDALGO PAZMIÑO"/>
    <s v="ECUATORIANA"/>
    <s v="PERSONA NATURAL"/>
    <s v="0 902439165001"/>
    <s v="NO APLICA"/>
    <s v="NO APLICA"/>
    <s v="DATO PENDIENTE"/>
    <s v="DATO PENDIENTE"/>
    <m/>
    <n v="18000"/>
    <n v="0"/>
    <n v="18000"/>
    <n v="0"/>
    <n v="18000"/>
    <n v="0.12"/>
    <n v="2160"/>
    <n v="0"/>
    <n v="20160.000000000004"/>
    <n v="18000"/>
    <n v="0"/>
    <m/>
    <m/>
    <n v="18000"/>
    <m/>
    <n v="18000"/>
    <n v="0.14000000000000001"/>
    <m/>
    <m/>
    <m/>
    <m/>
    <m/>
    <m/>
    <m/>
    <m/>
    <m/>
    <m/>
    <m/>
    <m/>
    <m/>
    <n v="0"/>
    <n v="0"/>
    <m/>
    <s v="NO APLICA"/>
    <s v="NO APLICA"/>
    <m/>
    <m/>
    <m/>
    <m/>
    <m/>
    <m/>
    <m/>
    <m/>
    <m/>
    <m/>
    <m/>
    <m/>
    <s v="NO APLICA"/>
    <d v="2016-09-30T00:00:00"/>
    <m/>
    <m/>
    <d v="2016-10-13T00:00:00"/>
    <s v="NO APLICA"/>
    <s v="NO APLICA"/>
    <s v="NO APLICA"/>
    <m/>
    <m/>
    <m/>
    <m/>
    <m/>
    <m/>
    <m/>
    <m/>
    <m/>
    <m/>
    <m/>
    <m/>
    <m/>
    <m/>
    <s v="NO APLICA"/>
    <s v="NO APLICA"/>
    <s v="NO APLICA"/>
    <m/>
    <m/>
    <s v="PAGO 1/6 - PLANILLA 1  22.50%"/>
    <d v="2016-12-27T00:00:00"/>
    <n v="4050"/>
    <s v="PAGO 2/6 - PLANILLA 1  67.50%"/>
    <d v="2017-04-24T00:00:00"/>
    <n v="12150"/>
    <m/>
    <m/>
    <m/>
    <m/>
    <m/>
    <m/>
    <m/>
    <m/>
    <m/>
    <m/>
    <m/>
    <m/>
    <m/>
    <m/>
    <m/>
    <m/>
    <m/>
    <m/>
    <m/>
    <m/>
    <m/>
    <n v="16200"/>
    <m/>
    <m/>
    <m/>
    <m/>
    <m/>
    <m/>
    <m/>
    <n v="270"/>
    <s v="NOTIFICACIÓN DEL ADMINISTRADOR"/>
    <d v="2016-10-18T00:00:00"/>
    <d v="2017-07-15T00:00:00"/>
    <m/>
    <m/>
    <m/>
    <m/>
    <m/>
    <m/>
    <m/>
    <m/>
    <m/>
    <m/>
    <m/>
    <m/>
    <m/>
    <m/>
    <m/>
    <m/>
    <m/>
    <m/>
    <m/>
    <m/>
    <m/>
    <m/>
    <m/>
    <m/>
    <m/>
    <m/>
    <m/>
    <m/>
    <m/>
    <m/>
    <m/>
    <m/>
    <m/>
    <m/>
    <m/>
    <s v="25.20%"/>
    <n v="0.3"/>
    <n v="0.67449999999999999"/>
    <n v="0.75"/>
    <n v="0.85"/>
    <n v="1"/>
    <n v="1"/>
    <n v="1"/>
    <n v="1"/>
    <n v="1"/>
    <n v="1"/>
    <n v="1"/>
    <n v="1"/>
    <n v="1"/>
    <n v="1"/>
    <n v="1"/>
    <n v="1"/>
    <n v="1"/>
    <n v="1"/>
    <n v="1"/>
    <n v="1"/>
    <x v="0"/>
    <n v="1"/>
    <n v="1"/>
    <n v="1"/>
    <x v="0"/>
    <s v="si"/>
    <s v="si"/>
    <s v="si"/>
    <s v="si"/>
    <s v="si"/>
    <s v="si"/>
    <s v="si"/>
    <x v="0"/>
    <s v="si"/>
    <s v="si"/>
    <s v="si"/>
    <m/>
    <m/>
    <m/>
    <m/>
    <m/>
    <m/>
    <m/>
    <m/>
    <m/>
    <m/>
    <m/>
    <m/>
    <m/>
    <m/>
  </r>
  <r>
    <x v="13"/>
    <s v="CONSULTORIA INDIVIDUAL"/>
    <x v="0"/>
    <s v="Proyectos de expansión y refuerzo en el Sistema Nacional de Distribución"/>
    <x v="3"/>
    <x v="7"/>
    <x v="1"/>
    <s v="GUAYAS"/>
    <x v="37"/>
    <n v="7"/>
    <x v="0"/>
    <s v="BID2-RSND-CNELGY-FI-CI-015"/>
    <s v="FISCALIZACIÓN DE LA EXTENSIÓN A LA LÍNEA DE SUBTRANSMISIÓN NUEVA PROSPERINA 2 PARA DIVIDIR LA BARRA A MAPASINGUE"/>
    <m/>
    <s v="CCIN"/>
    <s v="ex-post"/>
    <s v="EJECUTADO BID"/>
    <s v="BID2-RSND-CNELGY-FI-CI-015"/>
    <s v="ING. GUSTAVO GONZAGA TAMA"/>
    <s v="ECUATORIANA"/>
    <s v="PERSONA NATURAL"/>
    <s v="0 904093986001"/>
    <s v="NO APLICA"/>
    <s v="NO APLICA"/>
    <s v="DATO PENDIENTE"/>
    <s v="DATO PENDIENTE"/>
    <m/>
    <n v="12000"/>
    <n v="0"/>
    <n v="12000"/>
    <n v="0"/>
    <n v="12000"/>
    <n v="0.12"/>
    <n v="1440"/>
    <n v="0"/>
    <n v="13440.000000000002"/>
    <n v="11975"/>
    <n v="25"/>
    <m/>
    <m/>
    <n v="10000"/>
    <m/>
    <n v="11975"/>
    <n v="0.14000000000000001"/>
    <m/>
    <n v="13651.499999999998"/>
    <m/>
    <m/>
    <m/>
    <m/>
    <m/>
    <m/>
    <m/>
    <m/>
    <m/>
    <m/>
    <m/>
    <n v="25"/>
    <n v="25"/>
    <m/>
    <s v="NO APLICA"/>
    <s v="NO APLICA"/>
    <m/>
    <m/>
    <m/>
    <m/>
    <m/>
    <m/>
    <m/>
    <m/>
    <m/>
    <m/>
    <m/>
    <m/>
    <s v="NO APLICA"/>
    <d v="2016-09-27T00:00:00"/>
    <m/>
    <s v="DATO PENDIENTE"/>
    <d v="2016-10-12T00:00:00"/>
    <s v="NO APLICA"/>
    <s v="NO APLICA"/>
    <s v="NO APLICA"/>
    <m/>
    <m/>
    <m/>
    <m/>
    <m/>
    <m/>
    <m/>
    <m/>
    <m/>
    <m/>
    <m/>
    <m/>
    <m/>
    <m/>
    <s v="NO APLICA"/>
    <s v="NO APLICA"/>
    <s v="NO APLICA"/>
    <m/>
    <m/>
    <m/>
    <m/>
    <m/>
    <m/>
    <m/>
    <m/>
    <m/>
    <m/>
    <m/>
    <m/>
    <m/>
    <m/>
    <m/>
    <m/>
    <m/>
    <m/>
    <m/>
    <m/>
    <m/>
    <m/>
    <m/>
    <m/>
    <m/>
    <m/>
    <m/>
    <m/>
    <m/>
    <n v="0"/>
    <m/>
    <m/>
    <m/>
    <m/>
    <m/>
    <m/>
    <m/>
    <n v="270"/>
    <s v="NOTIFICACIÓN DEL ADMINISTRADOR"/>
    <s v="DATO PENDIENTE"/>
    <s v="DATO PENDIENTE"/>
    <m/>
    <m/>
    <m/>
    <m/>
    <m/>
    <m/>
    <m/>
    <m/>
    <m/>
    <m/>
    <m/>
    <m/>
    <m/>
    <m/>
    <m/>
    <m/>
    <m/>
    <m/>
    <m/>
    <m/>
    <m/>
    <m/>
    <m/>
    <m/>
    <m/>
    <m/>
    <m/>
    <m/>
    <m/>
    <m/>
    <m/>
    <m/>
    <m/>
    <m/>
    <m/>
    <m/>
    <n v="0"/>
    <n v="0"/>
    <n v="0"/>
    <n v="0"/>
    <n v="0"/>
    <n v="0"/>
    <n v="0"/>
    <n v="0"/>
    <n v="0"/>
    <n v="0.27"/>
    <n v="0.27"/>
    <n v="0.39"/>
    <n v="0.39"/>
    <n v="1"/>
    <n v="1"/>
    <n v="1"/>
    <n v="1"/>
    <n v="1"/>
    <n v="1"/>
    <n v="1"/>
    <x v="0"/>
    <n v="1"/>
    <n v="1"/>
    <n v="1"/>
    <x v="0"/>
    <s v="no"/>
    <s v="no"/>
    <s v="no"/>
    <s v="no"/>
    <s v="no"/>
    <s v="no"/>
    <s v="no"/>
    <x v="0"/>
    <s v="si"/>
    <s v="si"/>
    <s v="si"/>
    <s v="Se esta trabajando en montaje de las estructuras y tendido de condutores. Por verificar factores externos que pueden afectar avance de la obra."/>
    <m/>
    <m/>
    <s v="Está en espera de la Acta Provisional de la obra"/>
    <s v="El 15 de noviembre de 2018 se firmó el acta de entrega recepción provisional"/>
    <s v="A la presente fecha se ha pagado el 90% del valor total del contrato, queda pendiente de pagar el 10%, que de acuerdo a lo indicado en la cláusula cuarta PLAZO, numeral  5,2, FORMA DE PAGO el 10% final se pagará con la entrega del Informe final de ejecución a entera satisfacción de la Contratante a la firma del Acta entrega-recepción definitiva de la obra. _x000a_30/11/2018 se paga 5.388,74 pago 2/4"/>
    <s v="Pagada planilla 3/4 el 22-may-2019. Falta pagar última planilla."/>
    <m/>
    <m/>
    <m/>
    <s v="No empieza la ejecución de este contrato debido a que aún no se contrata la Obra Civil,  están en espera de la aprobación del AVAL, por parte del MEER."/>
    <m/>
    <m/>
    <m/>
  </r>
  <r>
    <x v="13"/>
    <s v="CONSULTORIA INDIVIDUAL"/>
    <x v="0"/>
    <s v="Proyectos de expansión y refuerzo en el Sistema Nacional de Distribución"/>
    <x v="0"/>
    <x v="7"/>
    <x v="0"/>
    <s v="GUAYAS"/>
    <x v="38"/>
    <n v="8"/>
    <x v="0"/>
    <s v="BID2-RSND-CNELGY-FI-CI-016"/>
    <s v="FISCALIZACIÓN DE LA CONSTRUCCIÓN DE LAS ALIMENTADORAS A 13.8 KV GUASMO 8, GUASMO 9 Y GUASMO 10"/>
    <s v="Alimentadora Guasmo 8"/>
    <s v="CCIN"/>
    <s v="ex-post"/>
    <s v="EJECUTADO BID"/>
    <s v="BID2-RSND-CNELGY-FI-CI-016"/>
    <s v="ING. JOHN FRANCISCO ESPINOZA TOMALA"/>
    <s v="ECUATORIANA"/>
    <s v="PERSONA NATURAL"/>
    <s v="0 9093447536001"/>
    <s v="NO APLICA"/>
    <s v="NO APLICA"/>
    <s v="ING. LUIS SALVADOR CEVALLOS JÁCOME"/>
    <s v="DATO PENDIENTE"/>
    <n v="3664.6377817225198"/>
    <n v="10000"/>
    <n v="3664.6377817225198"/>
    <n v="10000"/>
    <n v="0"/>
    <n v="10000"/>
    <n v="0.12"/>
    <n v="1200"/>
    <n v="0"/>
    <n v="11200.000000000002"/>
    <n v="10000"/>
    <n v="0"/>
    <m/>
    <m/>
    <n v="10000"/>
    <m/>
    <n v="10000"/>
    <n v="0.14000000000000001"/>
    <m/>
    <n v="11399.999999999998"/>
    <m/>
    <m/>
    <m/>
    <m/>
    <m/>
    <m/>
    <m/>
    <m/>
    <m/>
    <m/>
    <m/>
    <n v="0"/>
    <n v="0"/>
    <m/>
    <s v="NO APLICA"/>
    <s v="NO APLICA"/>
    <m/>
    <m/>
    <m/>
    <m/>
    <m/>
    <m/>
    <m/>
    <m/>
    <m/>
    <m/>
    <m/>
    <m/>
    <s v="NO APLICA"/>
    <d v="2016-09-26T00:00:00"/>
    <s v="NO APLICA"/>
    <s v="DATO PENDIENTE"/>
    <d v="2016-10-03T00:00:00"/>
    <s v="NO APLICA"/>
    <s v="NO APLICA"/>
    <s v="NO APLICA"/>
    <m/>
    <m/>
    <m/>
    <m/>
    <m/>
    <m/>
    <m/>
    <m/>
    <m/>
    <m/>
    <m/>
    <m/>
    <m/>
    <m/>
    <s v="NO APLICA"/>
    <s v="NO APLICA"/>
    <s v="NO APLICA"/>
    <s v="NO APLICA"/>
    <n v="0"/>
    <m/>
    <m/>
    <m/>
    <m/>
    <m/>
    <m/>
    <m/>
    <m/>
    <m/>
    <m/>
    <m/>
    <m/>
    <m/>
    <m/>
    <m/>
    <m/>
    <m/>
    <m/>
    <m/>
    <m/>
    <m/>
    <m/>
    <m/>
    <m/>
    <m/>
    <m/>
    <m/>
    <n v="0"/>
    <m/>
    <m/>
    <m/>
    <m/>
    <m/>
    <m/>
    <m/>
    <n v="240"/>
    <s v="NOTIFICACIÓN DEL ADMINISTRADOR"/>
    <d v="2016-12-16T00:00:00"/>
    <d v="2017-08-13T00:00:00"/>
    <m/>
    <m/>
    <m/>
    <m/>
    <m/>
    <m/>
    <m/>
    <m/>
    <m/>
    <m/>
    <m/>
    <m/>
    <m/>
    <m/>
    <m/>
    <m/>
    <m/>
    <m/>
    <m/>
    <m/>
    <m/>
    <m/>
    <m/>
    <m/>
    <m/>
    <m/>
    <m/>
    <m/>
    <m/>
    <m/>
    <m/>
    <m/>
    <m/>
    <m/>
    <m/>
    <m/>
    <s v="1.15%"/>
    <n v="0.11"/>
    <n v="0.2"/>
    <n v="0.45"/>
    <n v="0.45"/>
    <n v="0.97"/>
    <n v="1"/>
    <n v="1"/>
    <n v="1"/>
    <n v="1"/>
    <n v="1"/>
    <n v="1"/>
    <n v="1"/>
    <n v="1"/>
    <n v="1"/>
    <n v="1"/>
    <n v="1"/>
    <n v="1"/>
    <n v="1"/>
    <n v="1"/>
    <x v="0"/>
    <n v="1"/>
    <n v="1"/>
    <n v="1"/>
    <x v="0"/>
    <s v="si"/>
    <s v="si"/>
    <s v="si"/>
    <s v="si"/>
    <s v="si"/>
    <s v="si"/>
    <s v="si"/>
    <x v="0"/>
    <s v="si"/>
    <s v="si"/>
    <s v="si"/>
    <m/>
    <m/>
    <m/>
    <m/>
    <m/>
    <m/>
    <m/>
    <m/>
    <m/>
    <m/>
    <m/>
    <m/>
    <m/>
    <m/>
  </r>
  <r>
    <x v="13"/>
    <s v="CONSULTORIA INDIVIDUAL"/>
    <x v="0"/>
    <s v="Proyectos de expansión y refuerzo en el Sistema Nacional de Distribución"/>
    <x v="0"/>
    <x v="7"/>
    <x v="0"/>
    <s v="GUAYAS"/>
    <x v="39"/>
    <n v="9"/>
    <x v="0"/>
    <s v="BID2-RSND-CNELGY-FI-CI-016"/>
    <m/>
    <s v="Alimentadora Guasmo 9"/>
    <s v="CCIN"/>
    <s v="ex-post"/>
    <s v="EJECUTADO BID"/>
    <s v="BID2-RSND-CNELGY-FI-CI-016"/>
    <s v="ING. JOHN FRANCISCO ESPINOZA TOMALA"/>
    <s v="ECUATORIANA"/>
    <s v="PERSONA NATURAL"/>
    <s v="0 9093447536001"/>
    <s v="NO APLICA"/>
    <s v="NO APLICA"/>
    <s v="ING. LUIS SALVADOR CEVALLOS JÁCOME"/>
    <s v="DATO PENDIENTE"/>
    <n v="3195.0976660524993"/>
    <n v="0"/>
    <n v="3195.0976660524993"/>
    <m/>
    <n v="0"/>
    <n v="0"/>
    <n v="0.12"/>
    <n v="0"/>
    <n v="0"/>
    <n v="0"/>
    <m/>
    <m/>
    <m/>
    <m/>
    <m/>
    <m/>
    <m/>
    <m/>
    <m/>
    <m/>
    <m/>
    <m/>
    <m/>
    <m/>
    <m/>
    <m/>
    <m/>
    <m/>
    <m/>
    <m/>
    <m/>
    <n v="0"/>
    <n v="0"/>
    <m/>
    <s v="NO APLICA"/>
    <s v="NO APLICA"/>
    <m/>
    <m/>
    <m/>
    <m/>
    <m/>
    <m/>
    <m/>
    <m/>
    <m/>
    <m/>
    <m/>
    <m/>
    <s v="NO APLICA"/>
    <d v="2016-09-26T00:00:00"/>
    <s v="NO APLICA"/>
    <s v="DATO PENDIENTE"/>
    <d v="2016-10-03T00:00:00"/>
    <s v="NO APLICA"/>
    <s v="NO APLICA"/>
    <s v="NO APLICA"/>
    <m/>
    <m/>
    <m/>
    <m/>
    <m/>
    <m/>
    <m/>
    <m/>
    <m/>
    <m/>
    <m/>
    <m/>
    <m/>
    <m/>
    <s v="NO APLICA"/>
    <s v="NO APLICA"/>
    <s v="NO APLICA"/>
    <s v="NO APLICA"/>
    <n v="0"/>
    <m/>
    <m/>
    <m/>
    <m/>
    <m/>
    <m/>
    <m/>
    <m/>
    <m/>
    <m/>
    <m/>
    <m/>
    <m/>
    <m/>
    <m/>
    <m/>
    <m/>
    <m/>
    <m/>
    <m/>
    <m/>
    <m/>
    <m/>
    <m/>
    <m/>
    <m/>
    <m/>
    <n v="0"/>
    <m/>
    <m/>
    <m/>
    <m/>
    <m/>
    <m/>
    <m/>
    <n v="240"/>
    <s v="NOTIFICACIÓN DEL ADMINISTRADOR"/>
    <d v="2016-12-16T00:00:00"/>
    <d v="2017-08-13T00:00:00"/>
    <m/>
    <m/>
    <m/>
    <m/>
    <m/>
    <m/>
    <m/>
    <m/>
    <m/>
    <m/>
    <m/>
    <m/>
    <m/>
    <m/>
    <m/>
    <m/>
    <m/>
    <m/>
    <m/>
    <m/>
    <m/>
    <m/>
    <m/>
    <m/>
    <m/>
    <m/>
    <m/>
    <m/>
    <m/>
    <m/>
    <m/>
    <m/>
    <m/>
    <m/>
    <m/>
    <m/>
    <s v="1.15%"/>
    <n v="0.11"/>
    <n v="0.2"/>
    <n v="0.45"/>
    <n v="0.45"/>
    <n v="0.97"/>
    <n v="1"/>
    <n v="1"/>
    <n v="1"/>
    <n v="1"/>
    <n v="1"/>
    <n v="1"/>
    <n v="1"/>
    <n v="1"/>
    <n v="1"/>
    <n v="1"/>
    <n v="1"/>
    <n v="1"/>
    <n v="1"/>
    <n v="1"/>
    <x v="0"/>
    <n v="1"/>
    <n v="1"/>
    <n v="1"/>
    <x v="0"/>
    <s v="si"/>
    <s v="si"/>
    <s v="si"/>
    <s v="si"/>
    <s v="si"/>
    <s v="si"/>
    <s v="si"/>
    <x v="0"/>
    <s v="si"/>
    <s v="si"/>
    <s v="si"/>
    <m/>
    <m/>
    <m/>
    <m/>
    <m/>
    <m/>
    <m/>
    <m/>
    <m/>
    <m/>
    <m/>
    <m/>
    <m/>
    <m/>
  </r>
  <r>
    <x v="13"/>
    <s v="CONSULTORIA INDIVIDUAL"/>
    <x v="0"/>
    <s v="Proyectos de expansión y refuerzo en el Sistema Nacional de Distribución"/>
    <x v="0"/>
    <x v="7"/>
    <x v="0"/>
    <s v="GUAYAS"/>
    <x v="40"/>
    <n v="10"/>
    <x v="0"/>
    <s v="BID2-RSND-CNELGY-FI-CI-016"/>
    <m/>
    <s v="Alimentadora Guasmo 10"/>
    <s v="CCIN"/>
    <s v="ex-post"/>
    <s v="EJECUTADO BID"/>
    <s v="BID2-RSND-CNELGY-FI-CI-016"/>
    <s v="ING. JOHN FRANCISCO ESPINOZA TOMALA"/>
    <s v="ECUATORIANA"/>
    <s v="PERSONA NATURAL"/>
    <s v="0 9093447536001"/>
    <s v="NO APLICA"/>
    <s v="NO APLICA"/>
    <s v="ING. LUIS SALVADOR CEVALLOS JÁCOME"/>
    <s v="DATO PENDIENTE"/>
    <n v="3140.2643838061967"/>
    <n v="0"/>
    <n v="3140.2643838061967"/>
    <m/>
    <n v="0"/>
    <n v="0"/>
    <n v="0.12"/>
    <n v="0"/>
    <n v="0"/>
    <n v="0"/>
    <m/>
    <m/>
    <m/>
    <m/>
    <m/>
    <m/>
    <m/>
    <m/>
    <m/>
    <m/>
    <m/>
    <m/>
    <m/>
    <m/>
    <m/>
    <m/>
    <m/>
    <m/>
    <m/>
    <m/>
    <m/>
    <n v="0"/>
    <n v="0"/>
    <m/>
    <s v="NO APLICA"/>
    <s v="NO APLICA"/>
    <m/>
    <m/>
    <m/>
    <m/>
    <m/>
    <m/>
    <m/>
    <m/>
    <m/>
    <m/>
    <m/>
    <m/>
    <s v="NO APLICA"/>
    <d v="2016-09-26T00:00:00"/>
    <s v="NO APLICA"/>
    <s v="DATO PENDIENTE"/>
    <d v="2016-10-03T00:00:00"/>
    <s v="NO APLICA"/>
    <s v="NO APLICA"/>
    <s v="NO APLICA"/>
    <m/>
    <m/>
    <m/>
    <m/>
    <m/>
    <m/>
    <m/>
    <m/>
    <m/>
    <m/>
    <m/>
    <m/>
    <m/>
    <m/>
    <s v="NO APLICA"/>
    <s v="NO APLICA"/>
    <s v="NO APLICA"/>
    <s v="NO APLICA"/>
    <n v="0"/>
    <m/>
    <m/>
    <m/>
    <m/>
    <m/>
    <m/>
    <m/>
    <m/>
    <m/>
    <m/>
    <m/>
    <m/>
    <m/>
    <m/>
    <m/>
    <m/>
    <m/>
    <m/>
    <m/>
    <m/>
    <m/>
    <m/>
    <m/>
    <m/>
    <m/>
    <m/>
    <m/>
    <n v="0"/>
    <m/>
    <m/>
    <m/>
    <m/>
    <m/>
    <m/>
    <m/>
    <n v="240"/>
    <s v="NOTIFICACIÓN DEL ADMINISTRADOR"/>
    <d v="2016-12-16T00:00:00"/>
    <d v="2017-08-13T00:00:00"/>
    <m/>
    <m/>
    <m/>
    <m/>
    <m/>
    <m/>
    <m/>
    <m/>
    <m/>
    <m/>
    <m/>
    <m/>
    <m/>
    <m/>
    <m/>
    <m/>
    <m/>
    <m/>
    <m/>
    <m/>
    <m/>
    <m/>
    <m/>
    <m/>
    <m/>
    <m/>
    <m/>
    <m/>
    <m/>
    <m/>
    <m/>
    <m/>
    <m/>
    <m/>
    <m/>
    <m/>
    <s v="1.15%"/>
    <n v="0.11"/>
    <n v="0.2"/>
    <n v="0.45"/>
    <n v="0.45"/>
    <n v="0.97"/>
    <n v="1"/>
    <n v="1"/>
    <n v="1"/>
    <n v="1"/>
    <n v="1"/>
    <n v="1"/>
    <n v="1"/>
    <n v="1"/>
    <n v="1"/>
    <n v="1"/>
    <n v="1"/>
    <n v="1"/>
    <n v="1"/>
    <n v="1"/>
    <x v="0"/>
    <n v="1"/>
    <n v="1"/>
    <n v="1"/>
    <x v="0"/>
    <s v="si"/>
    <s v="si"/>
    <s v="si"/>
    <s v="si"/>
    <s v="si"/>
    <s v="si"/>
    <s v="si"/>
    <x v="0"/>
    <s v="si"/>
    <s v="si"/>
    <s v="si"/>
    <m/>
    <m/>
    <m/>
    <m/>
    <m/>
    <m/>
    <m/>
    <m/>
    <m/>
    <m/>
    <m/>
    <m/>
    <m/>
    <m/>
  </r>
  <r>
    <x v="13"/>
    <s v="CONSULTORIA INDIVIDUAL"/>
    <x v="0"/>
    <s v="Proyectos de expansión y refuerzo en el Sistema Nacional de Distribución"/>
    <x v="0"/>
    <x v="7"/>
    <x v="0"/>
    <s v="GUAYAS"/>
    <x v="41"/>
    <n v="11"/>
    <x v="0"/>
    <s v="BID2-RSND-CNELGY-FI-CI-017"/>
    <s v="FISCALIZACIÓN DE LA CONSTRUCCIÓN DE LA ALIMENTADORA A 13.8 KV HUANCAVILCA 3"/>
    <m/>
    <s v="CCIN"/>
    <s v="ex-post"/>
    <s v="EJECUTADO BID"/>
    <s v="BID2-RSND-CNELGY-FI-CI-017"/>
    <s v="ING. HUGO ARMANDO VELOZ CAMINO"/>
    <s v="ECUATORIANA"/>
    <s v="PERSONA NATURAL"/>
    <s v="0 916870660001"/>
    <s v="NO APLICA"/>
    <s v="NO APLICA"/>
    <s v="ING. JOSÉ ANTONIO CHONG MELGAR"/>
    <s v="DATO PENDIENTE"/>
    <m/>
    <n v="10000"/>
    <n v="0"/>
    <n v="10000"/>
    <n v="0"/>
    <n v="10000"/>
    <n v="0.12"/>
    <n v="1200"/>
    <n v="0"/>
    <n v="11200.000000000002"/>
    <n v="10000"/>
    <n v="0"/>
    <m/>
    <m/>
    <n v="10000"/>
    <m/>
    <n v="10000"/>
    <n v="0.14000000000000001"/>
    <m/>
    <n v="11399.999999999998"/>
    <m/>
    <m/>
    <m/>
    <m/>
    <m/>
    <m/>
    <m/>
    <m/>
    <m/>
    <m/>
    <m/>
    <n v="0"/>
    <n v="0"/>
    <m/>
    <s v="NO APLICA"/>
    <s v="NO APLICA"/>
    <m/>
    <m/>
    <m/>
    <m/>
    <m/>
    <m/>
    <m/>
    <m/>
    <m/>
    <m/>
    <m/>
    <m/>
    <s v="NO APLICA"/>
    <d v="2016-10-06T00:00:00"/>
    <s v="NO APLICA"/>
    <s v="DATO PENDIENTE"/>
    <d v="2016-10-13T00:00:00"/>
    <s v="NO APLICA"/>
    <s v="NO APLICA"/>
    <s v="NO APLICA"/>
    <m/>
    <m/>
    <m/>
    <m/>
    <m/>
    <m/>
    <m/>
    <m/>
    <m/>
    <m/>
    <m/>
    <m/>
    <m/>
    <m/>
    <s v="NO APLICA"/>
    <s v="NO APLICA"/>
    <s v="NO APLICA"/>
    <s v="NO APLICA"/>
    <n v="0"/>
    <m/>
    <m/>
    <m/>
    <m/>
    <m/>
    <m/>
    <m/>
    <m/>
    <m/>
    <m/>
    <m/>
    <m/>
    <m/>
    <m/>
    <m/>
    <m/>
    <m/>
    <m/>
    <m/>
    <m/>
    <m/>
    <m/>
    <m/>
    <m/>
    <m/>
    <m/>
    <m/>
    <n v="0"/>
    <m/>
    <m/>
    <m/>
    <m/>
    <m/>
    <m/>
    <m/>
    <n v="270"/>
    <s v="NOTIFICACIÓN DEL ADMINISTRADOR"/>
    <d v="2016-12-16T00:00:00"/>
    <d v="2017-09-12T00:00:00"/>
    <m/>
    <m/>
    <m/>
    <m/>
    <m/>
    <m/>
    <m/>
    <m/>
    <m/>
    <m/>
    <m/>
    <m/>
    <m/>
    <m/>
    <m/>
    <m/>
    <m/>
    <m/>
    <m/>
    <m/>
    <m/>
    <m/>
    <m/>
    <m/>
    <m/>
    <m/>
    <m/>
    <m/>
    <m/>
    <m/>
    <m/>
    <m/>
    <m/>
    <m/>
    <m/>
    <m/>
    <n v="0"/>
    <n v="0.05"/>
    <n v="0.09"/>
    <n v="0.7"/>
    <n v="0.7"/>
    <n v="0.97"/>
    <n v="0.98"/>
    <n v="0.98"/>
    <n v="1"/>
    <n v="1"/>
    <n v="1"/>
    <n v="1"/>
    <n v="1"/>
    <n v="1"/>
    <n v="1"/>
    <n v="1"/>
    <n v="1"/>
    <n v="1"/>
    <n v="1"/>
    <n v="1"/>
    <x v="0"/>
    <n v="1"/>
    <n v="1"/>
    <n v="1"/>
    <x v="0"/>
    <s v="no"/>
    <s v="no"/>
    <s v="no"/>
    <s v="no"/>
    <s v="no"/>
    <s v="si"/>
    <s v="si"/>
    <x v="0"/>
    <s v="si"/>
    <s v="si"/>
    <s v="si"/>
    <m/>
    <m/>
    <m/>
    <s v="Falta se realice la transferencia del último pago, dicho solicitud de pago ya fue realizada  por el administrador de contrato"/>
    <s v="Falta se realice la transferencia del último pago, dicho solicitud de pago ya fue realizada  por el administrador de contrato"/>
    <m/>
    <m/>
    <m/>
    <m/>
    <m/>
    <m/>
    <m/>
    <m/>
    <m/>
  </r>
  <r>
    <x v="13"/>
    <s v="CONSULTORIA INDIVIDUAL"/>
    <x v="0"/>
    <s v="Proyectos de expansión y refuerzo en el Sistema Nacional de Distribución"/>
    <x v="0"/>
    <x v="7"/>
    <x v="0"/>
    <s v="GUAYAS"/>
    <x v="42"/>
    <n v="12"/>
    <x v="0"/>
    <s v="BID2-RSND-CNELGY-FI-CI-018"/>
    <s v=" FISCALIZACIÓN DE LA CONSTRUCCIÓN DE LA ALIMENTADORA A 13.8 KV MI LOTE 1"/>
    <m/>
    <s v="CCIN"/>
    <s v="ex-post"/>
    <s v="CONTRATADO"/>
    <s v="BID2-RSND-CNELGY-FI-CI-018"/>
    <s v="ING. LUIS EDUARDO CEVALLOS MORAN"/>
    <s v="ECUATORIANA"/>
    <s v="PERSONA NATURAL"/>
    <s v="0 909201931001"/>
    <s v="NO APLICA"/>
    <s v="NO APLICA"/>
    <s v="ING. VICENTE JAVIER VERA PÉREZ"/>
    <s v="DATO PENDIENTE"/>
    <m/>
    <n v="13000"/>
    <n v="0"/>
    <n v="13000"/>
    <n v="0"/>
    <n v="13000"/>
    <n v="0.12"/>
    <n v="1560"/>
    <n v="0"/>
    <n v="14560.000000000002"/>
    <m/>
    <m/>
    <m/>
    <m/>
    <n v="13000"/>
    <m/>
    <n v="13000"/>
    <n v="0.14000000000000001"/>
    <m/>
    <n v="14819.999999999998"/>
    <m/>
    <m/>
    <m/>
    <m/>
    <m/>
    <m/>
    <m/>
    <m/>
    <m/>
    <m/>
    <m/>
    <n v="0"/>
    <n v="0"/>
    <m/>
    <s v="NO APLICA"/>
    <s v="NO APLICA"/>
    <m/>
    <m/>
    <m/>
    <m/>
    <m/>
    <m/>
    <m/>
    <m/>
    <m/>
    <m/>
    <m/>
    <m/>
    <s v="NO APLICA"/>
    <d v="2016-10-13T00:00:00"/>
    <s v="NO APLICA"/>
    <s v="DATO PENDIENTE"/>
    <d v="2016-10-25T00:00:00"/>
    <s v="NO APLICA"/>
    <s v="NO APLICA"/>
    <s v="NO APLICA"/>
    <m/>
    <m/>
    <m/>
    <m/>
    <m/>
    <m/>
    <m/>
    <m/>
    <m/>
    <m/>
    <m/>
    <m/>
    <m/>
    <m/>
    <s v="NO APLICA"/>
    <s v="NO APLICA"/>
    <s v="NO APLICA"/>
    <s v="NO APLICA"/>
    <n v="0"/>
    <m/>
    <m/>
    <m/>
    <m/>
    <m/>
    <m/>
    <m/>
    <m/>
    <m/>
    <m/>
    <m/>
    <m/>
    <m/>
    <m/>
    <m/>
    <m/>
    <m/>
    <m/>
    <m/>
    <m/>
    <m/>
    <m/>
    <m/>
    <m/>
    <m/>
    <m/>
    <m/>
    <n v="0"/>
    <m/>
    <m/>
    <m/>
    <m/>
    <m/>
    <m/>
    <m/>
    <n v="270"/>
    <s v="NOTIFICACIÓN DEL ADMINISTRADOR"/>
    <s v="DATO PENDIENTE"/>
    <s v="DATO PENDIENTE"/>
    <m/>
    <m/>
    <m/>
    <m/>
    <m/>
    <m/>
    <m/>
    <m/>
    <m/>
    <m/>
    <m/>
    <m/>
    <m/>
    <m/>
    <m/>
    <m/>
    <m/>
    <m/>
    <m/>
    <m/>
    <m/>
    <m/>
    <m/>
    <m/>
    <m/>
    <m/>
    <m/>
    <m/>
    <m/>
    <m/>
    <m/>
    <m/>
    <m/>
    <m/>
    <m/>
    <m/>
    <n v="0"/>
    <n v="0"/>
    <n v="0"/>
    <n v="0"/>
    <n v="0"/>
    <n v="0"/>
    <n v="0"/>
    <n v="0"/>
    <n v="0"/>
    <n v="0.05"/>
    <n v="0.05"/>
    <n v="0.05"/>
    <n v="0.05"/>
    <n v="0.2"/>
    <n v="0.2"/>
    <n v="0.2"/>
    <n v="0.2"/>
    <n v="0.2"/>
    <n v="0.2"/>
    <n v="0.44"/>
    <x v="3"/>
    <n v="0.7"/>
    <n v="0.7"/>
    <n v="0.7"/>
    <x v="2"/>
    <s v="no"/>
    <s v="no"/>
    <s v="no"/>
    <s v="no"/>
    <s v="no"/>
    <s v="no"/>
    <s v="no"/>
    <x v="1"/>
    <s v="no"/>
    <s v="no"/>
    <s v="no"/>
    <s v="Se están haciendo excavaciones de huecos e izado de postes. Finaliza een Noviembre 2018"/>
    <m/>
    <m/>
    <s v="En ejecución"/>
    <s v="En ejecución"/>
    <s v="Se ejecuta de acuerdo al avance de  la Obra No BID2-RSND-CNELGY-DI-OB-015._x000a_Fecha prevista a terminar los trabajos en la obra 5/abril/2019."/>
    <s v="Termina a mediados de Agosto de 2019"/>
    <m/>
    <m/>
    <m/>
    <s v="No empieza la ejecución de este contrato debido a que aún no se contrata la Obra Civil,  están en espera de la aprobación del AVAL, por parte del MEER."/>
    <m/>
    <m/>
    <m/>
  </r>
  <r>
    <x v="15"/>
    <s v="CONSULTORIA INDIVIDUAL"/>
    <x v="0"/>
    <s v="Proyectos de expansión y refuerzo en el Sistema Nacional de Distribución"/>
    <x v="3"/>
    <x v="7"/>
    <x v="1"/>
    <s v="LOS RÍOS"/>
    <x v="44"/>
    <n v="1"/>
    <x v="0"/>
    <s v="BID2-RSND-CNELLRS-FI-CI-001"/>
    <s v="FISCALIZACIÓN PARA EL LEVANTAMIENTO LÍNEAS DE SUBTRANSMISION CON CAMBIO DE ESTRUCTURAS"/>
    <s v="Fisclaización Cambio de estructuras líneas de subtransmisión"/>
    <s v="CCIN"/>
    <s v="ex-post"/>
    <s v="EJECUTADO BID"/>
    <s v="BID2-RSND-CNELLRS-FI-CI-001"/>
    <s v="ING. MARCOS ORDEÑANA MOSCOSO"/>
    <s v="ECUATORIANA"/>
    <s v="PERSONA NATURAL"/>
    <s v="0 923081665"/>
    <s v="NO APLICA"/>
    <s v="NO APLICA"/>
    <s v="ING. JUAN SEBASTIAN CHANG FONSECA"/>
    <s v="(05) 2 730 089 Ext.112"/>
    <m/>
    <n v="16255.26"/>
    <n v="0"/>
    <n v="16255.26"/>
    <n v="0"/>
    <n v="16255.26"/>
    <n v="0.12"/>
    <n v="1950.6312"/>
    <n v="0"/>
    <n v="18205.891200000002"/>
    <n v="15871.64"/>
    <n v="383.6200000000008"/>
    <m/>
    <m/>
    <n v="16255.258928571426"/>
    <m/>
    <n v="16255.258928571426"/>
    <m/>
    <m/>
    <m/>
    <m/>
    <m/>
    <m/>
    <m/>
    <m/>
    <m/>
    <m/>
    <m/>
    <m/>
    <m/>
    <m/>
    <n v="1.0714285745052621E-3"/>
    <n v="1.0714285745052621E-3"/>
    <m/>
    <s v="NO APLICA"/>
    <s v="NO APLICA"/>
    <m/>
    <m/>
    <m/>
    <m/>
    <m/>
    <m/>
    <m/>
    <m/>
    <m/>
    <m/>
    <m/>
    <m/>
    <s v="NO APLICA"/>
    <d v="2015-12-23T00:00:00"/>
    <s v="NO APLICA"/>
    <d v="2016-01-15T00:00:00"/>
    <d v="2016-01-28T00:00:00"/>
    <s v="NO APLICA"/>
    <s v="NO APLICA"/>
    <s v="NO APLICA"/>
    <m/>
    <m/>
    <m/>
    <m/>
    <m/>
    <m/>
    <m/>
    <m/>
    <m/>
    <m/>
    <m/>
    <m/>
    <m/>
    <m/>
    <s v="NO APLICA"/>
    <s v="NO APLICA"/>
    <s v="NO APLICA"/>
    <m/>
    <m/>
    <m/>
    <d v="2016-12-09T00:00:00"/>
    <n v="7665.98"/>
    <m/>
    <d v="2016-12-27T00:00:00"/>
    <n v="8205.66"/>
    <m/>
    <m/>
    <m/>
    <m/>
    <m/>
    <m/>
    <m/>
    <m/>
    <m/>
    <m/>
    <m/>
    <m/>
    <m/>
    <m/>
    <m/>
    <m/>
    <m/>
    <m/>
    <m/>
    <m/>
    <m/>
    <n v="15871.64"/>
    <n v="8589.2800000000007"/>
    <m/>
    <m/>
    <m/>
    <m/>
    <n v="24460.92"/>
    <n v="-8205.6610714285725"/>
    <n v="120"/>
    <s v="NOTIFICACIÓN DEL ADMINISTRADOR"/>
    <s v="DATO PENDIENTE"/>
    <s v="DATO PENDIENTE"/>
    <m/>
    <m/>
    <m/>
    <m/>
    <m/>
    <m/>
    <m/>
    <m/>
    <m/>
    <m/>
    <m/>
    <m/>
    <m/>
    <m/>
    <m/>
    <m/>
    <m/>
    <m/>
    <m/>
    <m/>
    <m/>
    <s v="DATO PENDIENTE"/>
    <m/>
    <m/>
    <m/>
    <m/>
    <m/>
    <m/>
    <m/>
    <m/>
    <m/>
    <m/>
    <m/>
    <m/>
    <n v="1"/>
    <n v="1"/>
    <n v="0.95"/>
    <n v="0.95"/>
    <n v="0.95"/>
    <n v="0.95"/>
    <n v="1"/>
    <n v="1"/>
    <n v="1"/>
    <n v="1"/>
    <n v="1"/>
    <n v="1"/>
    <n v="1"/>
    <n v="1"/>
    <n v="1"/>
    <n v="1"/>
    <n v="1"/>
    <n v="1"/>
    <n v="1"/>
    <n v="1"/>
    <n v="1"/>
    <n v="1"/>
    <x v="0"/>
    <n v="1"/>
    <n v="1"/>
    <n v="1"/>
    <x v="0"/>
    <s v="si"/>
    <s v="si"/>
    <s v="si"/>
    <s v="si"/>
    <s v="si"/>
    <s v="si"/>
    <s v="si"/>
    <x v="0"/>
    <s v="si"/>
    <s v="si"/>
    <s v="si"/>
    <m/>
    <m/>
    <m/>
    <m/>
    <m/>
    <m/>
    <m/>
    <m/>
    <m/>
    <m/>
    <m/>
    <m/>
    <m/>
    <m/>
  </r>
  <r>
    <x v="15"/>
    <s v="CONSULTORIA INDIVIDUAL"/>
    <x v="1"/>
    <s v=" Mejoramiento de la eficiencia y fiabilidad de la red"/>
    <x v="2"/>
    <x v="7"/>
    <x v="0"/>
    <s v="LOS RÍOS"/>
    <x v="54"/>
    <n v="11"/>
    <x v="0"/>
    <s v="BID-RSND-CNELLRS-FI-CI-002"/>
    <s v="FISCALIZACIÓN PROYECTO SCADA AUTOMATIZACIÓN DE SECCIONADORES DE SUBESTACIONES "/>
    <m/>
    <s v="CCIN"/>
    <s v="ex-post"/>
    <s v="EJECUTADO BID"/>
    <s v="BID-RSND-CNELLRS-FI-CI-002"/>
    <s v="ING. ADRIAN ARANDA SÁNCHEZ"/>
    <s v="ECUATORIANA"/>
    <s v="PERSONA NATURAL"/>
    <n v="1204287666001"/>
    <s v="NO APLICA"/>
    <s v="NO APLICA"/>
    <s v="ING. JUAN SEBASTIAN CHANG FONSECA"/>
    <s v="(05) 2 730 089 Ext.112"/>
    <m/>
    <n v="18452"/>
    <n v="0"/>
    <n v="18452"/>
    <n v="0"/>
    <n v="18452"/>
    <n v="0.12"/>
    <n v="2214.2399999999998"/>
    <n v="0"/>
    <n v="20666.240000000002"/>
    <n v="18452"/>
    <n v="0"/>
    <m/>
    <m/>
    <n v="18452"/>
    <m/>
    <n v="18452"/>
    <m/>
    <m/>
    <m/>
    <m/>
    <m/>
    <m/>
    <m/>
    <m/>
    <m/>
    <m/>
    <m/>
    <m/>
    <m/>
    <m/>
    <n v="0"/>
    <n v="0"/>
    <m/>
    <s v="NO APLICA"/>
    <s v="NO APLICA"/>
    <m/>
    <m/>
    <m/>
    <m/>
    <m/>
    <m/>
    <m/>
    <m/>
    <m/>
    <m/>
    <m/>
    <m/>
    <s v="NO APLICA"/>
    <d v="2015-12-23T00:00:00"/>
    <s v="NO APLICA"/>
    <d v="2016-01-15T00:00:00"/>
    <d v="2016-01-18T00:00:00"/>
    <s v="NO APLICA"/>
    <s v="NO APLICA"/>
    <s v="NO APLICA"/>
    <m/>
    <m/>
    <m/>
    <m/>
    <m/>
    <m/>
    <m/>
    <m/>
    <m/>
    <m/>
    <m/>
    <m/>
    <m/>
    <m/>
    <s v="NO APLICA"/>
    <s v="NO APLICA"/>
    <s v="NO APLICA"/>
    <m/>
    <m/>
    <m/>
    <d v="2016-12-28T00:00:00"/>
    <n v="18452"/>
    <m/>
    <m/>
    <m/>
    <m/>
    <m/>
    <m/>
    <m/>
    <m/>
    <m/>
    <m/>
    <m/>
    <m/>
    <m/>
    <m/>
    <m/>
    <m/>
    <m/>
    <m/>
    <m/>
    <m/>
    <m/>
    <m/>
    <m/>
    <m/>
    <n v="18452"/>
    <m/>
    <m/>
    <m/>
    <m/>
    <m/>
    <m/>
    <m/>
    <n v="120"/>
    <s v="NOTIFICACIÓN DEL ADMINISTRADOR"/>
    <s v="DATO PENDIENTE"/>
    <s v="DATO PENDIENTE"/>
    <m/>
    <m/>
    <m/>
    <m/>
    <m/>
    <m/>
    <m/>
    <m/>
    <m/>
    <m/>
    <m/>
    <m/>
    <m/>
    <m/>
    <m/>
    <m/>
    <m/>
    <m/>
    <m/>
    <m/>
    <m/>
    <s v="DATO PENDIENTE"/>
    <m/>
    <m/>
    <m/>
    <m/>
    <m/>
    <m/>
    <m/>
    <m/>
    <m/>
    <m/>
    <m/>
    <m/>
    <n v="1"/>
    <n v="1"/>
    <n v="1"/>
    <n v="1"/>
    <n v="1"/>
    <n v="1"/>
    <n v="1"/>
    <n v="1"/>
    <n v="1"/>
    <n v="1"/>
    <n v="1"/>
    <n v="1"/>
    <n v="1"/>
    <n v="1"/>
    <n v="1"/>
    <n v="1"/>
    <n v="1"/>
    <n v="1"/>
    <n v="1"/>
    <n v="1"/>
    <n v="1"/>
    <n v="1"/>
    <x v="0"/>
    <n v="1"/>
    <n v="1"/>
    <n v="1"/>
    <x v="0"/>
    <s v="si"/>
    <s v="si"/>
    <s v="si"/>
    <s v="si"/>
    <s v="si"/>
    <s v="si"/>
    <s v="si"/>
    <x v="0"/>
    <s v="si"/>
    <s v="si"/>
    <s v="si"/>
    <m/>
    <m/>
    <m/>
    <m/>
    <m/>
    <m/>
    <m/>
    <m/>
    <m/>
    <m/>
    <m/>
    <m/>
    <m/>
    <m/>
  </r>
  <r>
    <x v="17"/>
    <s v="CONSULTORIA INDIVIDUAL"/>
    <x v="0"/>
    <s v="Proyectos de expansión y refuerzo en el Sistema Nacional de Distribución"/>
    <x v="3"/>
    <x v="7"/>
    <x v="1"/>
    <s v="GUAYAS"/>
    <x v="64"/>
    <n v="1"/>
    <x v="0"/>
    <s v="BID2-RSND-CNELMLG-FI-CI-006"/>
    <s v="FISCALIZADOR ELÉCTRICO PARA LA LÍNEA DE SUBTRANSMISIÓN EL RECREO-YAGUACHI"/>
    <m/>
    <s v="CCIN"/>
    <s v="ex-post"/>
    <s v="EJECUTADO BID"/>
    <s v="BID2-RSND-CNELMLG-FI-CI-006"/>
    <s v="ING. MARCO AUGUSTO GUAMAN ULLAURI"/>
    <s v="ECUATORIANA"/>
    <s v="PERSONA NATURAL"/>
    <n v="1102372412001"/>
    <s v="NO APLICA"/>
    <s v="NO APLICA"/>
    <s v="ARQ. PEDRO MAÑAY"/>
    <s v="DATO PENDIENTE"/>
    <m/>
    <n v="45650"/>
    <n v="0"/>
    <n v="45650"/>
    <n v="0"/>
    <n v="45650"/>
    <n v="0.12"/>
    <n v="5478"/>
    <n v="0"/>
    <n v="51128.000000000007"/>
    <n v="34237.449999999997"/>
    <n v="11412.550000000003"/>
    <m/>
    <m/>
    <n v="45650"/>
    <m/>
    <n v="45650"/>
    <n v="0.14000000000000001"/>
    <n v="6391.0000000000009"/>
    <n v="52040.999999999993"/>
    <m/>
    <m/>
    <m/>
    <m/>
    <m/>
    <m/>
    <m/>
    <m/>
    <m/>
    <m/>
    <m/>
    <n v="0"/>
    <n v="0"/>
    <s v="CONSTA EN LA INVITACIÓN "/>
    <s v="NO APLICA"/>
    <s v="NO APLICA"/>
    <m/>
    <m/>
    <m/>
    <d v="2016-07-20T00:00:00"/>
    <s v="NO APLICA"/>
    <s v="NO APLICA"/>
    <d v="2016-08-19T00:00:00"/>
    <s v="NO APLICA"/>
    <s v="NO APLICA"/>
    <s v="NO APLICA"/>
    <s v="NO APLICA"/>
    <s v="NO APLICA"/>
    <s v="NO APLICA"/>
    <d v="2016-08-17T00:00:00"/>
    <s v="NO APLICA"/>
    <s v="NO APLICA"/>
    <d v="2016-10-26T00:00:00"/>
    <s v="NO APLICA"/>
    <s v="NO APLICA"/>
    <s v="NO APLICA"/>
    <m/>
    <m/>
    <m/>
    <m/>
    <m/>
    <m/>
    <m/>
    <m/>
    <m/>
    <m/>
    <m/>
    <m/>
    <m/>
    <m/>
    <s v="NO APLICA"/>
    <s v="NO APLICA"/>
    <s v="NO APLICA"/>
    <d v="2016-12-02T00:00:00"/>
    <n v="11412.5"/>
    <s v="Pago 2/13 - Planilla 1"/>
    <d v="2017-02-03T00:00:00"/>
    <n v="877.89"/>
    <s v="Pago 3/13 - Planilla 2"/>
    <d v="2017-02-03T00:00:00"/>
    <n v="877.89"/>
    <s v="Pago ALCANCE A PLANILLA 1"/>
    <d v="2017-03-21T00:00:00"/>
    <n v="877.88"/>
    <s v="Pago ALCANCE A PLANILLA 2"/>
    <d v="2017-03-21T00:00:00"/>
    <n v="877.88"/>
    <s v="Pago 4/13 - PLANILLA 3"/>
    <d v="2017-03-21T00:00:00"/>
    <n v="1755.77"/>
    <s v="Pago 5/13 - PLANILLA 4"/>
    <d v="2017-03-21T00:00:00"/>
    <n v="1755.77"/>
    <s v="Pago 6/13 - Planilla 5"/>
    <d v="2017-04-11T00:00:00"/>
    <n v="1755.77"/>
    <s v="Pago 6/13 - Planilla 6"/>
    <d v="2017-05-10T00:00:00"/>
    <n v="1755.77"/>
    <m/>
    <m/>
    <m/>
    <n v="21947.119999999999"/>
    <m/>
    <m/>
    <m/>
    <m/>
    <m/>
    <m/>
    <m/>
    <n v="390"/>
    <s v="A PARTIR DEL INICIO DE LA OBRA A FISCALIZAR"/>
    <d v="2016-12-03T00:00:00"/>
    <d v="2017-12-28T00:00:00"/>
    <m/>
    <m/>
    <m/>
    <m/>
    <m/>
    <m/>
    <m/>
    <m/>
    <m/>
    <m/>
    <m/>
    <m/>
    <m/>
    <m/>
    <m/>
    <m/>
    <m/>
    <m/>
    <m/>
    <m/>
    <m/>
    <m/>
    <m/>
    <m/>
    <m/>
    <m/>
    <m/>
    <m/>
    <m/>
    <m/>
    <m/>
    <m/>
    <m/>
    <m/>
    <m/>
    <n v="2.3E-2"/>
    <n v="5.8799999999999998E-2"/>
    <n v="5.8799999999999998E-2"/>
    <n v="0.36"/>
    <n v="0.36"/>
    <n v="0.44"/>
    <n v="0.5"/>
    <n v="0.5"/>
    <n v="0.5"/>
    <n v="0.83"/>
    <n v="0.87"/>
    <n v="0.87"/>
    <n v="0.87"/>
    <n v="0.87"/>
    <n v="0.9"/>
    <n v="0.9"/>
    <n v="0.9"/>
    <n v="0.9"/>
    <n v="0.9"/>
    <n v="0.9"/>
    <n v="0.9"/>
    <x v="5"/>
    <n v="1"/>
    <n v="1"/>
    <n v="1"/>
    <x v="0"/>
    <s v="no"/>
    <s v="no"/>
    <s v="no"/>
    <s v="no"/>
    <s v="no"/>
    <s v="no"/>
    <s v="si"/>
    <x v="0"/>
    <s v="si"/>
    <s v="si"/>
    <s v="si"/>
    <s v="Liuidado en maarzo de 2018"/>
    <m/>
    <m/>
    <s v="Proceso en ejecución hasta que concluya el contrato de obra"/>
    <s v="En firma de contrato complementario, se espera culmnar obra en marzo de  2019, debido a clima que no permite ejecutar trabajo en zonas inundables"/>
    <s v="Se prevé firma del Contrato Complementario el 8 de Enero.  _x000a_Contrato complementario maneja un plazo de 100 dias a partir de la entrega del anticipo, _x000a_En la semana del 13 al 18 de enero posiblemente se apruebe PAC de por Directorio de CNEL y recursos para financiar contrato complmentario . _x000a_Se estima que 25 de enero se entregue anticipo. _x000a_Se estima con estos tiempos el contrato finalice a mediados  o fines de mayo de 2019. _x000a_Si hay complicaciones con el clima puede demorarse más.  "/>
    <s v="liquidado"/>
    <m/>
    <m/>
    <m/>
    <m/>
    <m/>
    <m/>
    <m/>
  </r>
  <r>
    <x v="17"/>
    <s v="CONSULTORIA INDIVIDUAL"/>
    <x v="0"/>
    <s v="Proyectos de expansión y refuerzo en el Sistema Nacional de Distribución"/>
    <x v="3"/>
    <x v="7"/>
    <x v="1"/>
    <s v="GUAYAS"/>
    <x v="64"/>
    <n v="1"/>
    <x v="0"/>
    <s v="BID2-RSND-CNELMLG-FI-CI-007"/>
    <s v="FISCALIZADOR CIVIL PARA LA LÍNEA DE SUBTRANSMISIÓN EL RECREO-YAGUACHI"/>
    <m/>
    <s v="CCIN"/>
    <s v="ex-post"/>
    <s v="CONTRATADO"/>
    <s v="BID2-RSND-CNELMLG-FI-CI-007"/>
    <s v="NELSON  XAVIER AGUIRRE CAICEDO"/>
    <s v="ECUATORIANA"/>
    <s v="PERSONA NATURAL"/>
    <s v="0 905673323001"/>
    <s v="NO APLICA"/>
    <s v="NO APLICA"/>
    <s v="ARQ. PEDRO MAÑAY"/>
    <s v="DATO PENDIENTE"/>
    <m/>
    <n v="44462"/>
    <n v="0"/>
    <n v="44462"/>
    <n v="0"/>
    <n v="44462"/>
    <n v="0.12"/>
    <n v="5335.44"/>
    <n v="0"/>
    <n v="49797.440000000002"/>
    <m/>
    <m/>
    <m/>
    <m/>
    <n v="44462"/>
    <m/>
    <n v="44462"/>
    <n v="0.14000000000000001"/>
    <n v="6224.68"/>
    <n v="50686.679999999993"/>
    <m/>
    <m/>
    <m/>
    <m/>
    <m/>
    <m/>
    <m/>
    <m/>
    <m/>
    <m/>
    <m/>
    <n v="0"/>
    <n v="0"/>
    <s v="CONSTA EN LA INVITACIÓN "/>
    <s v="NO APLICA"/>
    <s v="NO APLICA"/>
    <m/>
    <m/>
    <m/>
    <d v="2016-06-20T00:00:00"/>
    <s v="NO APLICA"/>
    <s v="NO APLICA"/>
    <d v="2016-08-22T00:00:00"/>
    <s v="NO APLICA"/>
    <s v="NO APLICA"/>
    <s v="NO APLICA"/>
    <s v="NO APLICA"/>
    <s v="NO APLICA"/>
    <s v="NO APLICA"/>
    <d v="2016-10-31T00:00:00"/>
    <s v="NO APLICA"/>
    <s v="NO APLICA"/>
    <d v="2016-11-19T00:00:00"/>
    <s v="NO APLICA"/>
    <s v="NO APLICA"/>
    <s v="NO APLICA"/>
    <m/>
    <m/>
    <m/>
    <m/>
    <m/>
    <m/>
    <m/>
    <m/>
    <m/>
    <m/>
    <m/>
    <m/>
    <m/>
    <m/>
    <s v="NO APLICA"/>
    <s v="NO APLICA"/>
    <s v="NO APLICA"/>
    <d v="2016-11-26T00:00:00"/>
    <n v="11115.5"/>
    <s v="Pago 2/13 - Planilla 1"/>
    <d v="2017-02-22T00:00:00"/>
    <n v="2008.04"/>
    <s v="Pago 3/13 - Planilla 2"/>
    <d v="2017-03-24T00:00:00"/>
    <n v="2008.04"/>
    <s v="Pago 4/13 - Planilla 3"/>
    <d v="2017-04-26T00:00:00"/>
    <n v="2008.04"/>
    <s v="Pago 5/13 - Planilla 4"/>
    <d v="2017-05-17T00:00:00"/>
    <n v="2008.04"/>
    <m/>
    <m/>
    <m/>
    <m/>
    <m/>
    <m/>
    <m/>
    <m/>
    <m/>
    <m/>
    <m/>
    <m/>
    <m/>
    <m/>
    <m/>
    <n v="19147.660000000003"/>
    <m/>
    <m/>
    <m/>
    <m/>
    <m/>
    <m/>
    <m/>
    <n v="390"/>
    <s v="DESDE LA NOTIFICACIÓN DE LA ENTREGA DEL ANTICIPO"/>
    <d v="2016-11-27T00:00:00"/>
    <d v="2017-12-22T00:00:00"/>
    <m/>
    <m/>
    <m/>
    <m/>
    <m/>
    <m/>
    <m/>
    <m/>
    <m/>
    <m/>
    <m/>
    <m/>
    <m/>
    <m/>
    <m/>
    <m/>
    <m/>
    <m/>
    <m/>
    <m/>
    <m/>
    <m/>
    <m/>
    <m/>
    <m/>
    <m/>
    <m/>
    <m/>
    <m/>
    <m/>
    <m/>
    <m/>
    <m/>
    <m/>
    <m/>
    <n v="2.3E-2"/>
    <n v="5.8799999999999998E-2"/>
    <n v="5.8799999999999998E-2"/>
    <n v="0.36"/>
    <n v="0.36"/>
    <n v="0.44"/>
    <n v="0.5"/>
    <n v="0.5"/>
    <n v="0.5"/>
    <n v="0.83"/>
    <n v="0.87"/>
    <n v="0.87"/>
    <n v="0.87"/>
    <n v="0.87"/>
    <n v="0.9"/>
    <n v="0.9"/>
    <n v="0.9"/>
    <n v="0.9"/>
    <n v="0.9"/>
    <n v="0.9"/>
    <n v="0.9"/>
    <x v="5"/>
    <n v="1"/>
    <n v="1"/>
    <n v="1"/>
    <x v="0"/>
    <s v="no"/>
    <s v="no"/>
    <s v="no"/>
    <s v="no"/>
    <s v="no"/>
    <s v="no"/>
    <s v="no"/>
    <x v="1"/>
    <s v="no"/>
    <s v="no"/>
    <s v="no"/>
    <m/>
    <m/>
    <m/>
    <s v="Proceso en ejecución hasta que concluya el contrato de obra"/>
    <s v="En firma de contrato complementario, se espera culmnar obra en marzo de  2019, debido a clima que no permite ejecutar trabajo en zonas inundables"/>
    <m/>
    <m/>
    <m/>
    <m/>
    <m/>
    <m/>
    <m/>
    <m/>
    <m/>
  </r>
  <r>
    <x v="17"/>
    <s v="CONSULTORIA INDIVIDUAL"/>
    <x v="0"/>
    <s v="Proyectos de expansión y refuerzo en el Sistema Nacional de Distribución"/>
    <x v="3"/>
    <x v="7"/>
    <x v="1"/>
    <s v="GUAYAS"/>
    <x v="64"/>
    <n v="1"/>
    <x v="0"/>
    <s v="BID2-RSND-CNELMLG-FI-CI-008"/>
    <s v="FISCALIZADOR AMBIENTAL PARA LA LÍNEA DE SUBTRANSMISIÓN EL RECREO-YAGUACHI"/>
    <m/>
    <s v="CCIN"/>
    <s v="ex-post"/>
    <s v="CONTRATADO"/>
    <s v="BID2-RSND-CNELMLG-FI-CI-008"/>
    <s v="ING. FARA LETICIA TORRES PORTES"/>
    <s v="ECUATORIANA"/>
    <s v="PERSONA NATURAL"/>
    <s v="0 910429786001"/>
    <s v="NO APLICA"/>
    <s v="NO APLICA"/>
    <s v="ING. GABRIEL TOAPANTA ALARCÓN"/>
    <s v="DATO PENDIENTE"/>
    <m/>
    <n v="36960"/>
    <n v="0"/>
    <n v="36960"/>
    <n v="0"/>
    <n v="36960"/>
    <n v="0.12"/>
    <n v="4435.2"/>
    <n v="0"/>
    <n v="41395.200000000004"/>
    <m/>
    <m/>
    <m/>
    <m/>
    <n v="36960"/>
    <m/>
    <n v="36960"/>
    <n v="0.14000000000000001"/>
    <n v="5174.4000000000005"/>
    <n v="42134.399999999994"/>
    <m/>
    <m/>
    <m/>
    <m/>
    <m/>
    <m/>
    <m/>
    <m/>
    <m/>
    <m/>
    <m/>
    <n v="0"/>
    <n v="0"/>
    <s v="CONSTA EN LA INVITACIÓN "/>
    <s v="NO APLICA"/>
    <s v="NO APLICA"/>
    <m/>
    <m/>
    <m/>
    <d v="2016-07-20T00:00:00"/>
    <s v="NO APLICA"/>
    <d v="2016-08-04T00:00:00"/>
    <d v="2016-08-22T00:00:00"/>
    <s v="NO APLICA"/>
    <s v="NO APLICA"/>
    <s v="NO APLICA"/>
    <s v="NO APLICA"/>
    <s v="NO APLICA"/>
    <s v="NO APLICA"/>
    <d v="2016-10-31T00:00:00"/>
    <s v="NO APLICA"/>
    <s v="NO APLICA"/>
    <d v="2016-11-14T00:00:00"/>
    <s v="NO APLICA"/>
    <s v="NO APLICA"/>
    <s v="NO APLICA"/>
    <m/>
    <m/>
    <m/>
    <m/>
    <m/>
    <m/>
    <m/>
    <m/>
    <m/>
    <m/>
    <m/>
    <m/>
    <m/>
    <m/>
    <s v="NO APLICA"/>
    <s v="NO APLICA"/>
    <s v="NO APLICA"/>
    <d v="2016-12-01T00:00:00"/>
    <n v="9240"/>
    <s v="Pago 2/13 "/>
    <d v="2017-01-25T00:00:00"/>
    <n v="913.68000000000006"/>
    <s v="Pago 3/13 "/>
    <d v="2017-02-22T00:00:00"/>
    <n v="1540"/>
    <s v="Pago 4/13 "/>
    <d v="2017-03-16T00:00:00"/>
    <n v="1540"/>
    <s v="Pago 5/13 "/>
    <d v="2017-03-27T00:00:00"/>
    <n v="626.30999999999995"/>
    <s v="Pago 6/13 "/>
    <d v="2017-04-21T00:00:00"/>
    <n v="1540"/>
    <m/>
    <m/>
    <m/>
    <m/>
    <m/>
    <m/>
    <m/>
    <m/>
    <m/>
    <m/>
    <m/>
    <m/>
    <n v="15399.99"/>
    <m/>
    <m/>
    <m/>
    <m/>
    <m/>
    <m/>
    <m/>
    <n v="390"/>
    <s v="A PARTIR DEL INICIO DE LA OBRA A FISCALIZAR"/>
    <d v="2016-12-02T00:00:00"/>
    <d v="2017-12-27T00:00:00"/>
    <m/>
    <m/>
    <m/>
    <m/>
    <m/>
    <m/>
    <m/>
    <m/>
    <m/>
    <m/>
    <m/>
    <m/>
    <m/>
    <m/>
    <m/>
    <m/>
    <m/>
    <m/>
    <m/>
    <m/>
    <m/>
    <m/>
    <m/>
    <m/>
    <m/>
    <m/>
    <m/>
    <m/>
    <m/>
    <m/>
    <m/>
    <m/>
    <m/>
    <m/>
    <m/>
    <n v="2.3E-2"/>
    <n v="5.8799999999999998E-2"/>
    <n v="5.8799999999999998E-2"/>
    <n v="0.36"/>
    <n v="0.36"/>
    <n v="0.44"/>
    <n v="0.5"/>
    <n v="0.5"/>
    <n v="0.5"/>
    <n v="0.83"/>
    <n v="0.87"/>
    <n v="0.87"/>
    <n v="0.87"/>
    <n v="0.87"/>
    <n v="0.9"/>
    <n v="0.9"/>
    <n v="0.9"/>
    <n v="0.9"/>
    <n v="0.9"/>
    <n v="0.9"/>
    <n v="0.9"/>
    <x v="5"/>
    <n v="1"/>
    <n v="1"/>
    <n v="1"/>
    <x v="0"/>
    <s v="no"/>
    <s v="no"/>
    <s v="no"/>
    <s v="no"/>
    <s v="no"/>
    <s v="no"/>
    <s v="no"/>
    <x v="1"/>
    <s v="no"/>
    <s v="no"/>
    <s v="no"/>
    <m/>
    <m/>
    <m/>
    <s v="Proceso en ejecución hasta que concluya el contrato de obra"/>
    <s v="En firma de contrato complementario, se espera culmnar obra en marzo de  2019, debido a clima que no permite ejecutar trabajo en zonas inundables"/>
    <m/>
    <m/>
    <m/>
    <m/>
    <m/>
    <m/>
    <s v="SE VERIIFICÓ QUE EL PROCESO FI-CI-005 SE ENCUENTRA ADJUDICADO AL OFERENTE ING. SERGIO PORTES  PROCESO FI-CI-005 Y NO AL FI-CI-008"/>
    <m/>
    <m/>
  </r>
  <r>
    <x v="17"/>
    <s v="CONSULTORIA INDIVIDUAL"/>
    <x v="0"/>
    <s v="Proyectos de expansión y refuerzo en el Sistema Nacional de Distribución"/>
    <x v="3"/>
    <x v="7"/>
    <x v="1"/>
    <s v="CAÑAR"/>
    <x v="65"/>
    <n v="2"/>
    <x v="0"/>
    <s v="BID2-RSND-CNELMLG-FI-CI-003"/>
    <s v="FISCALIZADOR ELÉCTRICO PARA LA LÍNEA DE SUBTRANSMISIÓN LA TRONCAL PUERTO INCA"/>
    <m/>
    <s v="CCIN"/>
    <s v="ex-post"/>
    <s v="EJECUTADO BID"/>
    <s v="BID2-RSND-CNELMLG-FI-CI-003"/>
    <s v="OJEDA ORDOÑEZ CARLOS FIDEL"/>
    <s v="ECUATORIANA"/>
    <s v="PERSONA NATURAL"/>
    <n v="1102323803001"/>
    <s v="NO APLICA"/>
    <s v="NO APLICA"/>
    <s v="ING. EDWIN SERRANO VELOZ"/>
    <s v="DATO PENDIENTE"/>
    <m/>
    <n v="49800"/>
    <n v="0"/>
    <n v="49800"/>
    <n v="0"/>
    <n v="49800"/>
    <n v="0.12"/>
    <n v="5976"/>
    <n v="0"/>
    <n v="55776.000000000007"/>
    <n v="49799.990000000005"/>
    <n v="9.9999999947613105E-3"/>
    <m/>
    <m/>
    <n v="49800"/>
    <m/>
    <n v="49800"/>
    <n v="0.14000000000000001"/>
    <n v="6972.0000000000009"/>
    <n v="56771.999999999993"/>
    <m/>
    <m/>
    <m/>
    <m/>
    <m/>
    <m/>
    <m/>
    <m/>
    <m/>
    <m/>
    <m/>
    <n v="0"/>
    <n v="0"/>
    <s v="CONSTA EN LA INVITACIÓN "/>
    <s v="NO APLICA"/>
    <s v="NO APLICA"/>
    <m/>
    <m/>
    <m/>
    <d v="2016-07-20T00:00:00"/>
    <s v="NO APLICA"/>
    <s v="NO APLICA"/>
    <d v="2016-08-19T00:00:00"/>
    <s v="NO APLICA"/>
    <s v="NO APLICA"/>
    <s v="NO APLICA"/>
    <s v="NO APLICA"/>
    <s v="NO APLICA"/>
    <s v="NO APLICA"/>
    <d v="2016-10-14T00:00:00"/>
    <s v="NO APLICA"/>
    <s v="NO APLICA"/>
    <d v="2016-10-20T00:00:00"/>
    <s v="NO APLICA"/>
    <s v="NO APLICA"/>
    <s v="NO APLICA"/>
    <m/>
    <m/>
    <m/>
    <m/>
    <m/>
    <m/>
    <m/>
    <m/>
    <m/>
    <m/>
    <m/>
    <m/>
    <m/>
    <m/>
    <s v="NO APLICA"/>
    <s v="NO APLICA"/>
    <s v="NO APLICA"/>
    <d v="2016-11-12T00:00:00"/>
    <n v="12450"/>
    <s v="Pago 2/14 - Planilla 1 -4%"/>
    <d v="2016-12-27T00:00:00"/>
    <n v="957.69"/>
    <s v="Pago 3/14 - Planilla 1 -4%"/>
    <d v="2017-01-30T00:00:00"/>
    <n v="957.69"/>
    <s v="Pago 4/14 - Planilla 3 "/>
    <d v="2017-02-24T00:00:00"/>
    <n v="2154.81"/>
    <s v="Pago 5/14 - Planilla 4 "/>
    <d v="2017-03-01T00:00:00"/>
    <n v="2394.23"/>
    <s v="Pago 6/14 - Planilla 5 "/>
    <d v="2017-03-27T00:00:00"/>
    <n v="2154.81"/>
    <s v="Pago 7/14 - Planilla 6 "/>
    <d v="2017-04-26T00:00:00"/>
    <n v="2154.81"/>
    <s v="Pago 8/14 - Planilla 6 "/>
    <d v="2017-05-31T00:00:00"/>
    <n v="2154.81"/>
    <m/>
    <m/>
    <m/>
    <m/>
    <m/>
    <m/>
    <n v="25378.850000000006"/>
    <m/>
    <m/>
    <m/>
    <m/>
    <m/>
    <m/>
    <m/>
    <n v="390"/>
    <s v="NOTIFICACIÓN DEL ADMINISTRADOR"/>
    <d v="2016-10-21T00:00:00"/>
    <d v="2017-11-15T00:00:00"/>
    <m/>
    <m/>
    <m/>
    <m/>
    <m/>
    <m/>
    <m/>
    <m/>
    <m/>
    <m/>
    <m/>
    <m/>
    <m/>
    <m/>
    <m/>
    <m/>
    <m/>
    <m/>
    <m/>
    <m/>
    <m/>
    <m/>
    <m/>
    <m/>
    <m/>
    <m/>
    <m/>
    <m/>
    <m/>
    <m/>
    <m/>
    <m/>
    <m/>
    <m/>
    <m/>
    <n v="1E-4"/>
    <n v="8.0000000000000004E-4"/>
    <n v="8.0000000000000004E-4"/>
    <n v="0.36"/>
    <n v="0.4"/>
    <n v="0.41"/>
    <n v="0.6"/>
    <n v="0.75"/>
    <n v="0.75"/>
    <n v="0.89"/>
    <n v="0.95"/>
    <n v="0.95"/>
    <n v="0.95"/>
    <n v="0.95"/>
    <n v="0.95"/>
    <n v="1"/>
    <n v="1"/>
    <n v="1"/>
    <n v="1"/>
    <n v="1"/>
    <n v="1"/>
    <x v="0"/>
    <n v="1"/>
    <n v="1"/>
    <n v="1"/>
    <x v="0"/>
    <s v="no"/>
    <s v="no"/>
    <s v="no"/>
    <s v="no"/>
    <s v="no"/>
    <s v="si"/>
    <s v="si"/>
    <x v="0"/>
    <s v="si"/>
    <s v="si"/>
    <s v="si"/>
    <m/>
    <m/>
    <m/>
    <s v="Proceso ya cuenta con acta de entrega recepción provisional"/>
    <s v="Proceso ya cuenta con acta de entrega recepción provisional"/>
    <m/>
    <m/>
    <m/>
    <m/>
    <m/>
    <m/>
    <m/>
    <m/>
    <m/>
  </r>
  <r>
    <x v="17"/>
    <s v="CONSULTORIA INDIVIDUAL"/>
    <x v="0"/>
    <s v="Proyectos de expansión y refuerzo en el Sistema Nacional de Distribución"/>
    <x v="3"/>
    <x v="7"/>
    <x v="1"/>
    <s v="CAÑAR"/>
    <x v="65"/>
    <n v="2"/>
    <x v="0"/>
    <s v="BID2-RSND-CNELMLG-FI-CI-004"/>
    <s v="FISCALIZADOR CIVIL DE LA LÍNEA DE SUBTRANSMISIÓN LA TRONCAL PUERTO INCA"/>
    <m/>
    <s v="CCIN"/>
    <s v="ex-post"/>
    <s v="EJECUTADO BID"/>
    <s v="BID2-RSND-CNELMLG-FI-CI-004"/>
    <s v="ING. ANGEL XAVIER ESPINOZA ARGUELLO"/>
    <s v="ECUATORIANA"/>
    <s v="PERSONA NATURAL"/>
    <s v="0 908383860"/>
    <s v="NO APLICA"/>
    <s v="NO APLICA"/>
    <s v="ARQ. PEDRO MAÑAY"/>
    <s v="DATO PENDIENTE"/>
    <m/>
    <n v="48504"/>
    <n v="0"/>
    <n v="48504"/>
    <n v="0"/>
    <n v="48504"/>
    <n v="0.12"/>
    <n v="5820.48"/>
    <n v="0"/>
    <n v="54324.480000000003"/>
    <n v="48504"/>
    <n v="0"/>
    <m/>
    <m/>
    <n v="48504"/>
    <m/>
    <n v="48504"/>
    <n v="0.14000000000000001"/>
    <n v="6790.56"/>
    <n v="55294.559999999998"/>
    <m/>
    <m/>
    <m/>
    <m/>
    <m/>
    <m/>
    <m/>
    <m/>
    <m/>
    <m/>
    <m/>
    <n v="0"/>
    <n v="0"/>
    <s v="CONSTA EN LA INVITACIÓN "/>
    <s v="NO APLICA"/>
    <s v="NO APLICA"/>
    <m/>
    <m/>
    <m/>
    <d v="2016-07-20T00:00:00"/>
    <s v="NO APLICA"/>
    <s v="NO APLICA"/>
    <d v="2016-08-19T00:00:00"/>
    <s v="NO APLICA"/>
    <s v="NO APLICA"/>
    <s v="NO APLICA"/>
    <s v="NO APLICA"/>
    <s v="NO APLICA"/>
    <s v="NO APLICA"/>
    <d v="2016-10-31T00:00:00"/>
    <s v="NO APLICA"/>
    <s v="NO APLICA"/>
    <d v="2016-11-14T00:00:00"/>
    <s v="NO APLICA"/>
    <s v="NO APLICA"/>
    <s v="NO APLICA"/>
    <m/>
    <m/>
    <m/>
    <m/>
    <m/>
    <m/>
    <m/>
    <m/>
    <m/>
    <m/>
    <m/>
    <m/>
    <m/>
    <m/>
    <s v="NO APLICA"/>
    <s v="NO APLICA"/>
    <s v="NO APLICA"/>
    <d v="2016-12-02T00:00:00"/>
    <n v="12126"/>
    <s v="Pago 2/13 - Planilla 1"/>
    <d v="2017-02-14T00:00:00"/>
    <n v="2098.73"/>
    <s v="Pago 3/13 - Planilla 2"/>
    <d v="2017-03-14T00:00:00"/>
    <n v="2098.73"/>
    <s v="Pago 4/13 - Planilla 3"/>
    <d v="2017-04-26T00:00:00"/>
    <n v="2098.73"/>
    <s v="Pago 5/13 - Planilla 4"/>
    <d v="2017-05-10T00:00:00"/>
    <n v="2098.73"/>
    <m/>
    <m/>
    <m/>
    <m/>
    <m/>
    <m/>
    <m/>
    <m/>
    <m/>
    <m/>
    <m/>
    <m/>
    <m/>
    <m/>
    <m/>
    <n v="20520.919999999998"/>
    <m/>
    <m/>
    <m/>
    <m/>
    <m/>
    <m/>
    <m/>
    <n v="390"/>
    <s v="DESDE LA NOTIFICACIÓN DE LA ENTREGA DEL ANTICIPO"/>
    <d v="2016-12-03T00:00:00"/>
    <d v="2017-12-28T00:00:00"/>
    <m/>
    <m/>
    <m/>
    <m/>
    <m/>
    <m/>
    <m/>
    <m/>
    <m/>
    <m/>
    <m/>
    <m/>
    <m/>
    <m/>
    <m/>
    <m/>
    <m/>
    <m/>
    <m/>
    <m/>
    <m/>
    <m/>
    <m/>
    <m/>
    <m/>
    <m/>
    <m/>
    <m/>
    <m/>
    <m/>
    <m/>
    <m/>
    <m/>
    <m/>
    <m/>
    <n v="1E-4"/>
    <n v="8.0000000000000004E-4"/>
    <n v="8.0000000000000004E-4"/>
    <n v="0.36"/>
    <n v="0.4"/>
    <n v="0.41"/>
    <n v="0.6"/>
    <n v="0.75"/>
    <n v="0.75"/>
    <n v="0.89"/>
    <n v="0.95"/>
    <n v="0.95"/>
    <n v="0.95"/>
    <n v="0.95"/>
    <n v="0.95"/>
    <n v="1"/>
    <n v="1"/>
    <n v="1"/>
    <n v="1"/>
    <n v="1"/>
    <n v="1"/>
    <x v="0"/>
    <n v="1"/>
    <n v="1"/>
    <n v="1"/>
    <x v="0"/>
    <s v="no"/>
    <s v="no"/>
    <s v="no"/>
    <s v="no"/>
    <s v="no"/>
    <s v="si"/>
    <s v="si"/>
    <x v="0"/>
    <s v="si"/>
    <s v="si"/>
    <s v="si"/>
    <m/>
    <m/>
    <m/>
    <s v="Proceso ya cuenta con acta de entrega recepción provisional"/>
    <s v="Proceso ya cuenta con acta de entrega recepción provisional"/>
    <m/>
    <m/>
    <m/>
    <m/>
    <m/>
    <m/>
    <m/>
    <m/>
    <m/>
  </r>
  <r>
    <x v="17"/>
    <s v="CONSULTORIA INDIVIDUAL"/>
    <x v="0"/>
    <s v="Proyectos de expansión y refuerzo en el Sistema Nacional de Distribución"/>
    <x v="3"/>
    <x v="7"/>
    <x v="1"/>
    <s v="CAÑAR"/>
    <x v="65"/>
    <n v="2"/>
    <x v="0"/>
    <s v="BID2-RSND-CNELMLG-FI-CI-005"/>
    <s v="FISCALIZADOR AMBIENTAL PARA LA LÍNEA DE SUBTRANSMISIÓN LA TRONCAL PUERTO INCA"/>
    <m/>
    <s v="CCIN"/>
    <s v="ex-post"/>
    <s v="EJECUTADO BID"/>
    <s v="BID2-RSND-CNELMLG-FI-CI-005"/>
    <s v="ING. SERGIO CHRISTIAN RODRIGUEZ PORTES"/>
    <s v="ECUATORIANA"/>
    <s v="PERSONA NATURAL"/>
    <s v="0 916342165001"/>
    <s v="NO APLICA"/>
    <s v="NO APLICA"/>
    <s v="ING. GALO GUILLEN CAMPOVERDE"/>
    <s v="DATO PENDIENTE"/>
    <m/>
    <n v="40320"/>
    <n v="0"/>
    <n v="40320"/>
    <n v="0"/>
    <n v="40320"/>
    <n v="0.12"/>
    <n v="4838.3999999999996"/>
    <n v="0"/>
    <n v="45158.400000000001"/>
    <n v="40320"/>
    <n v="0"/>
    <m/>
    <m/>
    <n v="40320"/>
    <m/>
    <n v="40320"/>
    <n v="0.14000000000000001"/>
    <n v="5644.8"/>
    <n v="45964.799999999996"/>
    <m/>
    <m/>
    <m/>
    <m/>
    <m/>
    <m/>
    <m/>
    <m/>
    <m/>
    <m/>
    <m/>
    <n v="0"/>
    <n v="0"/>
    <s v="CONSTA EN LA INVITACIÓN "/>
    <s v="NO APLICA"/>
    <s v="NO APLICA"/>
    <m/>
    <m/>
    <m/>
    <d v="2016-07-20T00:00:00"/>
    <s v="NO APLICA"/>
    <s v="NO APLICA"/>
    <d v="2016-08-19T00:00:00"/>
    <s v="NO APLICA"/>
    <s v="NO APLICA"/>
    <s v="NO APLICA"/>
    <s v="NO APLICA"/>
    <s v="NO APLICA"/>
    <s v="NO APLICA"/>
    <d v="2016-10-31T00:00:00"/>
    <s v="NO APLICA"/>
    <s v="NO APLICA"/>
    <d v="2016-11-14T00:00:00"/>
    <s v="NO APLICA"/>
    <s v="NO APLICA"/>
    <s v="NO APLICA"/>
    <m/>
    <m/>
    <m/>
    <m/>
    <m/>
    <m/>
    <m/>
    <m/>
    <m/>
    <m/>
    <m/>
    <m/>
    <m/>
    <m/>
    <s v="NO APLICA"/>
    <s v="NO APLICA"/>
    <s v="NO APLICA"/>
    <d v="2016-12-02T00:00:00"/>
    <n v="10080"/>
    <s v="Pago 2/13 - Planilla 1"/>
    <d v="2017-03-01T00:00:00"/>
    <n v="1744.62"/>
    <s v="Pago 3/13 - Planilla 2"/>
    <d v="2017-03-01T00:00:00"/>
    <n v="1744.62"/>
    <s v="Pago 4/13 - Planilla 3"/>
    <d v="2017-04-26T00:00:00"/>
    <n v="1744.62"/>
    <s v="Pago 5/13 - Planilla 4"/>
    <d v="2017-04-26T00:00:00"/>
    <n v="1744.62"/>
    <s v="Pago 6/13 - Planilla 5"/>
    <d v="2017-05-31T00:00:00"/>
    <n v="1744.62"/>
    <m/>
    <m/>
    <m/>
    <m/>
    <m/>
    <m/>
    <m/>
    <m/>
    <m/>
    <m/>
    <m/>
    <m/>
    <n v="18803.099999999995"/>
    <m/>
    <m/>
    <m/>
    <m/>
    <m/>
    <m/>
    <m/>
    <n v="390"/>
    <s v="NOTIFICACIÓN DEL ADMINISTRADOR"/>
    <d v="2016-12-03T00:00:00"/>
    <d v="2017-12-28T00:00:00"/>
    <m/>
    <m/>
    <m/>
    <m/>
    <m/>
    <m/>
    <m/>
    <m/>
    <m/>
    <m/>
    <m/>
    <m/>
    <m/>
    <m/>
    <m/>
    <m/>
    <m/>
    <m/>
    <m/>
    <m/>
    <m/>
    <m/>
    <m/>
    <m/>
    <m/>
    <m/>
    <m/>
    <m/>
    <m/>
    <m/>
    <m/>
    <m/>
    <m/>
    <m/>
    <m/>
    <n v="1E-4"/>
    <n v="8.0000000000000004E-4"/>
    <n v="8.0000000000000004E-4"/>
    <n v="0.36"/>
    <n v="0.4"/>
    <n v="0.41"/>
    <n v="0.6"/>
    <n v="0.75"/>
    <n v="0.75"/>
    <n v="0.89"/>
    <n v="0.95"/>
    <n v="0.95"/>
    <n v="0.95"/>
    <n v="0.95"/>
    <n v="0.95"/>
    <n v="1"/>
    <n v="1"/>
    <n v="1"/>
    <n v="1"/>
    <n v="1"/>
    <n v="1"/>
    <x v="0"/>
    <n v="1"/>
    <n v="1"/>
    <n v="1"/>
    <x v="0"/>
    <s v="no"/>
    <s v="no"/>
    <s v="no"/>
    <s v="no"/>
    <s v="no"/>
    <s v="no"/>
    <s v="NO?"/>
    <x v="0"/>
    <s v="si"/>
    <s v="si"/>
    <s v="si"/>
    <m/>
    <m/>
    <m/>
    <s v="Proceso ya cuenta con acta de entrega recepción provisional"/>
    <s v="Proceso ya cuenta con acta de entrega recepción provisional"/>
    <m/>
    <s v="Pagos suman el valor contratado, pero no se reporta como finalizado el proceso. "/>
    <m/>
    <m/>
    <m/>
    <m/>
    <s v="SE VERIIFICÓ QUE EL PROCESO FI-CI-005 SE ENCUENTRA ADJUDICADO AL OFERENTE ING. SERGIO PORTES  PROCESO FI-CI-005 Y NO AL FI-CI-008"/>
    <m/>
    <m/>
  </r>
  <r>
    <x v="17"/>
    <s v="CONSULTORIA INDIVIDUAL"/>
    <x v="1"/>
    <s v="Mejoramiento de la eficiencia y fiabilidad de la red"/>
    <x v="2"/>
    <x v="7"/>
    <x v="0"/>
    <s v="GUAYAS"/>
    <x v="66"/>
    <n v="3"/>
    <x v="0"/>
    <s v="BID2-RSND-CNELMLG-FI-CI-002"/>
    <s v="FISCALIZACIÓN INSTALACIÓN SCADA"/>
    <m/>
    <s v="CCIN"/>
    <s v="ex-post"/>
    <s v="EJECUTADO BID"/>
    <s v="BID2-RSND-CNELMLG-FI-CI-002"/>
    <s v="ING. WILSON ALFREDO NARVAEZ MENDEZ"/>
    <s v="ECUATORIANA"/>
    <s v="PERSONA NATURAL"/>
    <s v="0 101785129"/>
    <s v="NO APLICA"/>
    <s v="NO APLICA"/>
    <s v="JOSÉ GUERRERO SUÁREZ"/>
    <s v="DATO PENDIENTE"/>
    <m/>
    <n v="30000"/>
    <n v="0"/>
    <n v="29999.999999999996"/>
    <n v="0"/>
    <n v="29999.999999999996"/>
    <n v="0.12"/>
    <n v="3599.9999999999995"/>
    <n v="0"/>
    <n v="33600"/>
    <n v="29999.999999999996"/>
    <n v="0"/>
    <m/>
    <m/>
    <n v="29999.999999999996"/>
    <m/>
    <n v="29999.999999999996"/>
    <n v="0.14000000000000001"/>
    <n v="4200"/>
    <n v="34199.999999999993"/>
    <m/>
    <m/>
    <m/>
    <m/>
    <m/>
    <m/>
    <m/>
    <m/>
    <m/>
    <m/>
    <m/>
    <n v="0"/>
    <n v="0"/>
    <s v="CONSTA EN LA INVITACIÓN "/>
    <s v="NO APLICA"/>
    <s v="NO APLICA"/>
    <m/>
    <m/>
    <m/>
    <s v="INVITACIÓN NO TIENE FECHA"/>
    <s v="NO APLICA"/>
    <s v="NO APLICA"/>
    <d v="2015-11-13T00:00:00"/>
    <s v="NO APLICA"/>
    <s v="NO APLICA"/>
    <s v="NO APLICA"/>
    <s v="NO APLICA"/>
    <s v="NO APLICA"/>
    <s v="NO APLICA"/>
    <d v="2015-12-17T00:00:00"/>
    <s v="NO APLICA"/>
    <s v="NO APLICA"/>
    <d v="2016-01-11T00:00:00"/>
    <s v="NO APLICA"/>
    <s v="NO APLICA"/>
    <s v="NO APLICA"/>
    <m/>
    <m/>
    <m/>
    <m/>
    <m/>
    <m/>
    <m/>
    <m/>
    <m/>
    <m/>
    <m/>
    <m/>
    <m/>
    <m/>
    <s v="NO APLICA"/>
    <s v="NO APLICA"/>
    <s v="NO APLICA"/>
    <d v="2016-06-09T00:00:00"/>
    <n v="15000"/>
    <s v="Pago 2/4 - Planilla 20%"/>
    <d v="2016-09-26T00:00:00"/>
    <n v="6000"/>
    <s v="Pago 3/4 - Planilla 20%"/>
    <d v="2016-09-26T00:00:00"/>
    <n v="6000"/>
    <s v="Pago 4/4 - Planilla 10% Liquidación"/>
    <d v="2017-01-12T00:00:00"/>
    <n v="3000"/>
    <m/>
    <m/>
    <m/>
    <m/>
    <m/>
    <m/>
    <m/>
    <m/>
    <m/>
    <m/>
    <m/>
    <m/>
    <m/>
    <m/>
    <m/>
    <m/>
    <m/>
    <m/>
    <n v="30000"/>
    <m/>
    <m/>
    <m/>
    <m/>
    <m/>
    <m/>
    <m/>
    <n v="240"/>
    <s v="A PARTIR DE LA SUSCRIPCIÓN DEL CONTRATO"/>
    <d v="2016-01-12T00:00:00"/>
    <d v="2016-09-08T00:00:00"/>
    <m/>
    <m/>
    <m/>
    <m/>
    <m/>
    <m/>
    <m/>
    <m/>
    <m/>
    <m/>
    <m/>
    <m/>
    <m/>
    <m/>
    <m/>
    <m/>
    <m/>
    <m/>
    <m/>
    <m/>
    <m/>
    <m/>
    <m/>
    <n v="1"/>
    <n v="1"/>
    <n v="1"/>
    <n v="1"/>
    <n v="1"/>
    <n v="1"/>
    <n v="1"/>
    <n v="1"/>
    <n v="1"/>
    <n v="1"/>
    <n v="1"/>
    <n v="1"/>
    <n v="1"/>
    <n v="1"/>
    <n v="1"/>
    <n v="1"/>
    <n v="1"/>
    <n v="1"/>
    <n v="1"/>
    <n v="1"/>
    <n v="1"/>
    <n v="1"/>
    <n v="1"/>
    <n v="1"/>
    <n v="1"/>
    <n v="1"/>
    <n v="1"/>
    <n v="1"/>
    <n v="1"/>
    <n v="1"/>
    <n v="1"/>
    <n v="1"/>
    <n v="1"/>
    <x v="0"/>
    <n v="1"/>
    <n v="1"/>
    <n v="1"/>
    <x v="0"/>
    <s v="si"/>
    <s v="si"/>
    <s v="si"/>
    <s v="si"/>
    <s v="si"/>
    <s v="si"/>
    <s v="si"/>
    <x v="0"/>
    <s v="si"/>
    <s v="si"/>
    <s v="si"/>
    <m/>
    <m/>
    <m/>
    <m/>
    <m/>
    <m/>
    <m/>
    <m/>
    <m/>
    <m/>
    <m/>
    <s v="OBSERVACIONES DE E&amp;Y JUSTIFICADA CON UNA SOLA FACTURA SE PAGO DOS PAGOS Y SEDEDUJO EL ANTICIPO, LA RECOMENDACIÓN SE E&amp;Y SE REALIZARÁ QUE POR CADA PAGO SE EMITA UNA SOLA FACTURA Y NO UNA FACTURA POR MAS DE UN PAGO, DEBE CORREJIRSE LA FECHA DEL CONTRATO A 11 DE ENERO DE 2016"/>
    <m/>
    <m/>
  </r>
  <r>
    <x v="17"/>
    <s v="CONSULTORIA INDIVIDUAL"/>
    <x v="0"/>
    <s v="Proyectos de expansión y refuerzo en el Sistema Nacional de Distribución"/>
    <x v="3"/>
    <x v="7"/>
    <x v="1"/>
    <s v="GUAYAS"/>
    <x v="67"/>
    <n v="4"/>
    <x v="0"/>
    <s v="BID2-RSND-CNELMLG-FI-CI-009"/>
    <s v="FISCALIZACIÓN ADQUISICIÓN E INSTALACIÓN DE CUATRO INTERRUPTOR A 69 KV MOTORIZADOS, ACCIONADOS EN GRUPO, PARA INSTALAR EN POSTE, TELECONTROLADOS Y COMUNICADOS AL CENTRO DE CONTROL: 1) PRADERA M1; 2) PASANDO ÁLAMOS M2; 3) MARCELI MARIDUEÑA BODEGAS M3; 4) SECTOR NICOVITA M2; INCLUYE POSTE AUTOSOPORTABLE."/>
    <m/>
    <s v="CCIN"/>
    <s v="ex-post"/>
    <s v="EJECUTADO BID"/>
    <s v="BID2-RSND-CNELMLG-FI-CI-009"/>
    <s v="ING. WILSON PEREZ REINOSO"/>
    <s v="ECUATORIANA"/>
    <s v="PERSONA NATURAL"/>
    <n v="301512661001"/>
    <s v="NO APLICA"/>
    <s v="NO APLICA"/>
    <s v="ING. FABRICIO VILLAMAR ERAS"/>
    <s v="DATO PENDIENTE"/>
    <m/>
    <n v="18000"/>
    <n v="0"/>
    <n v="18000"/>
    <n v="0"/>
    <n v="18000"/>
    <n v="0.12"/>
    <n v="2160"/>
    <n v="0"/>
    <n v="20160.000000000004"/>
    <n v="18000"/>
    <n v="0"/>
    <m/>
    <m/>
    <n v="18000"/>
    <m/>
    <n v="18000"/>
    <n v="0.14000000000000001"/>
    <n v="2520.0000000000005"/>
    <n v="20520"/>
    <m/>
    <m/>
    <m/>
    <m/>
    <m/>
    <m/>
    <m/>
    <m/>
    <m/>
    <m/>
    <m/>
    <n v="0"/>
    <n v="0"/>
    <s v="CONSTA EN LA INVITACIÓN "/>
    <s v="NO APLICA"/>
    <s v="NO APLICA"/>
    <m/>
    <m/>
    <m/>
    <d v="2016-09-27T00:00:00"/>
    <s v="NO APLICA"/>
    <s v="NO APLICA"/>
    <d v="2016-10-04T00:00:00"/>
    <s v="NO APLICA"/>
    <s v="NO APLICA"/>
    <s v="NO APLICA"/>
    <s v="NO APLICA"/>
    <s v="NO APLICA"/>
    <s v="NO APLICA"/>
    <d v="2016-10-17T00:00:00"/>
    <s v="NO APLICA"/>
    <s v="NO APLICA"/>
    <d v="2016-10-25T00:00:00"/>
    <s v="NO APLICA"/>
    <s v="NO APLICA"/>
    <s v="NO APLICA"/>
    <m/>
    <m/>
    <m/>
    <m/>
    <m/>
    <m/>
    <m/>
    <m/>
    <m/>
    <m/>
    <m/>
    <m/>
    <m/>
    <m/>
    <s v="NO APLICA"/>
    <s v="NO APLICA"/>
    <s v="NO APLICA"/>
    <d v="2016-11-12T00:00:00"/>
    <n v="4500"/>
    <m/>
    <m/>
    <m/>
    <m/>
    <m/>
    <m/>
    <m/>
    <m/>
    <m/>
    <m/>
    <m/>
    <m/>
    <m/>
    <m/>
    <m/>
    <m/>
    <m/>
    <m/>
    <m/>
    <m/>
    <m/>
    <m/>
    <m/>
    <m/>
    <m/>
    <m/>
    <m/>
    <n v="4500"/>
    <m/>
    <m/>
    <m/>
    <m/>
    <m/>
    <m/>
    <m/>
    <n v="240"/>
    <s v="A PARTIR DEL INICIO DE LA OBRA A FISCALIZAR"/>
    <d v="2016-11-13T00:00:00"/>
    <d v="2017-07-11T00:00:00"/>
    <m/>
    <m/>
    <m/>
    <m/>
    <m/>
    <m/>
    <m/>
    <m/>
    <m/>
    <m/>
    <m/>
    <m/>
    <m/>
    <m/>
    <m/>
    <m/>
    <m/>
    <m/>
    <m/>
    <m/>
    <m/>
    <m/>
    <m/>
    <m/>
    <m/>
    <m/>
    <m/>
    <m/>
    <m/>
    <m/>
    <m/>
    <m/>
    <m/>
    <m/>
    <n v="0"/>
    <n v="0"/>
    <n v="8.0000000000000004E-4"/>
    <n v="8.0000000000000004E-4"/>
    <n v="0.1"/>
    <n v="0.1"/>
    <n v="0.27"/>
    <n v="0.53"/>
    <n v="0.9"/>
    <n v="0.9"/>
    <n v="0.98"/>
    <n v="0.98"/>
    <n v="0.98"/>
    <n v="0.98"/>
    <n v="0.98"/>
    <n v="0.98"/>
    <n v="0.99"/>
    <n v="0.99"/>
    <n v="1"/>
    <n v="1"/>
    <n v="1"/>
    <n v="1"/>
    <x v="0"/>
    <n v="1"/>
    <n v="1"/>
    <n v="1"/>
    <x v="0"/>
    <s v="no"/>
    <s v="no"/>
    <s v="no"/>
    <s v="no"/>
    <s v="no"/>
    <s v="no"/>
    <s v="si"/>
    <x v="0"/>
    <s v="si"/>
    <s v="si"/>
    <s v="si"/>
    <m/>
    <m/>
    <m/>
    <s v="Proceso en ejecución hasta que concluya el contrato de obra"/>
    <s v="Proceso en ejecución hasta que concluya el contrato de obra"/>
    <s v="sabado 12 de enero se hizo pruebas, puerto inca y k 26. "/>
    <s v="Liquidado 31-may-2019"/>
    <m/>
    <m/>
    <m/>
    <m/>
    <m/>
    <m/>
    <m/>
  </r>
  <r>
    <x v="1"/>
    <s v="CONSULTORIA INDIVIDUAL"/>
    <x v="1"/>
    <s v=" Proyectos de expansión y refuerzo en el Sistema Nacional de Distribución"/>
    <x v="1"/>
    <x v="7"/>
    <x v="0"/>
    <s v="SANTO DOMINGO DE LOS TSACHILAS"/>
    <x v="1"/>
    <n v="1"/>
    <x v="0"/>
    <s v="BID2-RSND-CNELSTD-FI-CI-002"/>
    <s v="FISCALIZACIÓN ADQUISICION DE EQUIPO DE LAVADO EN CALIENTE DE AIUSLADORES"/>
    <m/>
    <s v="CCIN"/>
    <s v="ex-post"/>
    <s v="EJECUTADO EE"/>
    <m/>
    <m/>
    <m/>
    <m/>
    <m/>
    <s v="NO APLICA"/>
    <s v="NO APLICA"/>
    <m/>
    <m/>
    <m/>
    <n v="0"/>
    <n v="0"/>
    <n v="5000"/>
    <n v="0"/>
    <n v="5000"/>
    <n v="0.12"/>
    <n v="600"/>
    <n v="0"/>
    <n v="5600.0000000000009"/>
    <m/>
    <m/>
    <m/>
    <m/>
    <m/>
    <m/>
    <m/>
    <m/>
    <m/>
    <m/>
    <m/>
    <m/>
    <m/>
    <m/>
    <m/>
    <m/>
    <m/>
    <m/>
    <m/>
    <m/>
    <m/>
    <m/>
    <n v="0"/>
    <m/>
    <m/>
    <s v="NO APLICA"/>
    <m/>
    <m/>
    <m/>
    <m/>
    <m/>
    <m/>
    <m/>
    <m/>
    <m/>
    <m/>
    <m/>
    <m/>
    <m/>
    <m/>
    <m/>
    <m/>
    <m/>
    <s v="NO APLICA"/>
    <s v="NO APLICA"/>
    <s v="NO APLICA"/>
    <m/>
    <m/>
    <m/>
    <m/>
    <m/>
    <m/>
    <m/>
    <m/>
    <m/>
    <m/>
    <m/>
    <m/>
    <m/>
    <m/>
    <s v="NO APLICA"/>
    <s v="NO APLICA"/>
    <s v="NO APLICA"/>
    <m/>
    <m/>
    <m/>
    <m/>
    <m/>
    <m/>
    <m/>
    <m/>
    <m/>
    <m/>
    <m/>
    <m/>
    <m/>
    <m/>
    <m/>
    <m/>
    <m/>
    <m/>
    <m/>
    <m/>
    <m/>
    <m/>
    <m/>
    <m/>
    <m/>
    <m/>
    <m/>
    <m/>
    <m/>
    <m/>
    <m/>
    <m/>
    <m/>
    <m/>
    <m/>
    <m/>
    <m/>
    <m/>
    <m/>
    <m/>
    <m/>
    <m/>
    <m/>
    <m/>
    <m/>
    <m/>
    <m/>
    <m/>
    <m/>
    <m/>
    <m/>
    <m/>
    <m/>
    <m/>
    <m/>
    <m/>
    <m/>
    <m/>
    <m/>
    <m/>
    <m/>
    <m/>
    <m/>
    <m/>
    <m/>
    <m/>
    <m/>
    <m/>
    <m/>
    <m/>
    <m/>
    <m/>
    <m/>
    <m/>
    <m/>
    <n v="1"/>
    <n v="1"/>
    <n v="1"/>
    <n v="1"/>
    <n v="1"/>
    <n v="1"/>
    <n v="1"/>
    <n v="1"/>
    <n v="1"/>
    <n v="1"/>
    <n v="1"/>
    <n v="1"/>
    <n v="1"/>
    <n v="1"/>
    <n v="1"/>
    <n v="1"/>
    <n v="1"/>
    <n v="1"/>
    <n v="1"/>
    <n v="1"/>
    <n v="1"/>
    <n v="1"/>
    <x v="0"/>
    <n v="1"/>
    <n v="1"/>
    <n v="1"/>
    <x v="0"/>
    <s v="no"/>
    <s v="no"/>
    <s v="no"/>
    <s v="no"/>
    <s v="no"/>
    <s v="no"/>
    <s v="no"/>
    <x v="1"/>
    <s v="ee"/>
    <s v="ee"/>
    <s v="ee"/>
    <m/>
    <m/>
    <m/>
    <m/>
    <m/>
    <m/>
    <m/>
    <m/>
    <m/>
    <m/>
    <s v="VER FORMULARIO DE REFORMA, SOLICITUD No.1 DEL 30 DE OCTUBRE DE 2015, SOLICITUD MEDIANTE OFICIO No.CNEL-CORP-GG-2015-0995-O."/>
    <m/>
    <m/>
    <m/>
  </r>
  <r>
    <x v="1"/>
    <s v="CONSULTORIA INDIVIDUAL"/>
    <x v="0"/>
    <s v=" Proyectos de expansión y refuerzo en el Sistema Nacional de Distribución"/>
    <x v="0"/>
    <x v="7"/>
    <x v="0"/>
    <s v="SANTO DOMINGO DE LOS TSACHILAS"/>
    <x v="79"/>
    <n v="5"/>
    <x v="0"/>
    <s v="BID2-RSND-CNELSTD-FI-CI-003 "/>
    <s v="FISCALIZACIÓN CONSTRUCCIÓN POSICIONES DE SALIDA DE S/E 11 Y RECONFIGURACIÓN ALIMENTADORES EN SANTO DOMINGO"/>
    <m/>
    <s v="CCIN"/>
    <s v="ex-post"/>
    <s v="EJECUTADO BID"/>
    <s v="BID2-RSND-CNELSTD-FI-CI-003 "/>
    <s v="ING. CARLOS GABRIEL PAREDES GAVIDIA"/>
    <s v="ECUATORIANA"/>
    <s v="PERSONA NATURAL"/>
    <n v="1712540960001"/>
    <s v="NO APLICA"/>
    <s v="NO APLICA"/>
    <s v="DATO PENDIENTE"/>
    <s v="DATO PENDIENTE"/>
    <m/>
    <n v="32459.88"/>
    <n v="0"/>
    <n v="32459.88"/>
    <n v="0"/>
    <n v="32459.88"/>
    <n v="0.12"/>
    <n v="3895.1855999999998"/>
    <n v="0"/>
    <n v="36355.065600000002"/>
    <n v="32459.879999999997"/>
    <n v="0"/>
    <m/>
    <m/>
    <n v="32459.88"/>
    <m/>
    <n v="32459.88"/>
    <m/>
    <m/>
    <m/>
    <m/>
    <m/>
    <m/>
    <m/>
    <m/>
    <m/>
    <m/>
    <m/>
    <m/>
    <m/>
    <m/>
    <n v="0"/>
    <n v="0"/>
    <m/>
    <s v="NO APLICA"/>
    <s v="NO APLICA"/>
    <m/>
    <m/>
    <m/>
    <m/>
    <m/>
    <m/>
    <m/>
    <m/>
    <m/>
    <m/>
    <m/>
    <m/>
    <s v="NO APLICA"/>
    <m/>
    <m/>
    <m/>
    <d v="2016-10-07T00:00:00"/>
    <s v="NO APLICA"/>
    <s v="NO APLICA"/>
    <s v="NO APLICA"/>
    <m/>
    <m/>
    <m/>
    <m/>
    <m/>
    <m/>
    <m/>
    <m/>
    <m/>
    <m/>
    <m/>
    <m/>
    <m/>
    <m/>
    <s v="NO APLICA"/>
    <s v="NO APLICA"/>
    <s v="NO APLICA"/>
    <m/>
    <m/>
    <s v="Pago 1/4 -Primera planilla"/>
    <d v="2017-02-01T00:00:00"/>
    <n v="6491.98"/>
    <s v="Pago 2/4 -Segunda planilla"/>
    <d v="2017-04-11T00:00:00"/>
    <n v="6491.98"/>
    <m/>
    <m/>
    <m/>
    <m/>
    <m/>
    <m/>
    <m/>
    <m/>
    <m/>
    <m/>
    <m/>
    <m/>
    <m/>
    <m/>
    <m/>
    <m/>
    <m/>
    <m/>
    <m/>
    <m/>
    <m/>
    <n v="12983.96"/>
    <m/>
    <m/>
    <m/>
    <m/>
    <m/>
    <m/>
    <m/>
    <m/>
    <m/>
    <m/>
    <m/>
    <m/>
    <m/>
    <m/>
    <m/>
    <m/>
    <m/>
    <m/>
    <m/>
    <m/>
    <m/>
    <m/>
    <m/>
    <m/>
    <m/>
    <m/>
    <m/>
    <m/>
    <m/>
    <m/>
    <m/>
    <m/>
    <m/>
    <m/>
    <m/>
    <m/>
    <m/>
    <m/>
    <m/>
    <m/>
    <m/>
    <m/>
    <m/>
    <m/>
    <m/>
    <n v="0.05"/>
    <n v="0.1"/>
    <n v="0.45"/>
    <n v="0.75"/>
    <n v="0.75"/>
    <n v="0.75"/>
    <n v="0.75"/>
    <n v="0.75"/>
    <n v="1"/>
    <n v="1"/>
    <n v="1"/>
    <n v="1"/>
    <n v="1"/>
    <n v="1"/>
    <n v="1"/>
    <n v="1"/>
    <n v="1"/>
    <n v="1"/>
    <n v="1"/>
    <n v="1"/>
    <n v="1"/>
    <n v="1"/>
    <x v="0"/>
    <n v="1"/>
    <n v="1"/>
    <n v="1"/>
    <x v="0"/>
    <s v="si"/>
    <s v="si"/>
    <s v="si"/>
    <s v="si"/>
    <s v="si"/>
    <s v="si"/>
    <s v="si"/>
    <x v="0"/>
    <s v="si"/>
    <s v="si"/>
    <s v="si"/>
    <m/>
    <m/>
    <m/>
    <m/>
    <m/>
    <m/>
    <m/>
    <m/>
    <m/>
    <m/>
    <m/>
    <m/>
    <m/>
    <m/>
  </r>
  <r>
    <x v="1"/>
    <s v="CONSULTORIA INDIVIDUAL"/>
    <x v="1"/>
    <s v="Mejoramiento de la eficiencia y fiabilidad de la red"/>
    <x v="2"/>
    <x v="7"/>
    <x v="0"/>
    <s v="SANTO DOMINGO DE LOS TSACHILAS"/>
    <x v="2"/>
    <n v="2"/>
    <x v="0"/>
    <s v="BID2-RSND-CNELSTD-FI-CI-004 "/>
    <s v="FISCALIZACIÓN IMPLEMENTACIÓN DEL SISTEMA SCADA (2DA FASE) EN EL ÁREA DE SERVICIO DE CNEL SANTO DOMINGO"/>
    <m/>
    <s v="CCIN"/>
    <s v="ex-post"/>
    <s v="EJECUTADO EE"/>
    <m/>
    <m/>
    <m/>
    <m/>
    <m/>
    <s v="NO APLICA"/>
    <s v="NO APLICA"/>
    <m/>
    <m/>
    <m/>
    <n v="0"/>
    <n v="0"/>
    <m/>
    <n v="0"/>
    <n v="0"/>
    <n v="0.12"/>
    <n v="0"/>
    <n v="0"/>
    <n v="0"/>
    <m/>
    <m/>
    <m/>
    <m/>
    <m/>
    <m/>
    <m/>
    <m/>
    <m/>
    <m/>
    <m/>
    <m/>
    <m/>
    <m/>
    <m/>
    <m/>
    <m/>
    <m/>
    <m/>
    <m/>
    <m/>
    <m/>
    <n v="0"/>
    <m/>
    <m/>
    <s v="NO APLICA"/>
    <m/>
    <m/>
    <m/>
    <m/>
    <m/>
    <m/>
    <m/>
    <m/>
    <m/>
    <m/>
    <m/>
    <m/>
    <m/>
    <m/>
    <m/>
    <m/>
    <m/>
    <s v="NO APLICA"/>
    <s v="NO APLICA"/>
    <s v="NO APLICA"/>
    <m/>
    <m/>
    <m/>
    <m/>
    <m/>
    <m/>
    <m/>
    <m/>
    <m/>
    <m/>
    <m/>
    <m/>
    <m/>
    <m/>
    <s v="NO APLICA"/>
    <s v="NO APLICA"/>
    <s v="NO APLICA"/>
    <m/>
    <m/>
    <m/>
    <m/>
    <m/>
    <m/>
    <m/>
    <m/>
    <m/>
    <m/>
    <m/>
    <m/>
    <m/>
    <m/>
    <m/>
    <m/>
    <m/>
    <m/>
    <m/>
    <m/>
    <m/>
    <m/>
    <m/>
    <m/>
    <m/>
    <m/>
    <m/>
    <m/>
    <m/>
    <m/>
    <m/>
    <m/>
    <m/>
    <m/>
    <m/>
    <m/>
    <m/>
    <m/>
    <m/>
    <m/>
    <m/>
    <m/>
    <m/>
    <m/>
    <m/>
    <m/>
    <m/>
    <m/>
    <m/>
    <m/>
    <m/>
    <m/>
    <m/>
    <m/>
    <m/>
    <m/>
    <m/>
    <m/>
    <m/>
    <m/>
    <m/>
    <m/>
    <m/>
    <m/>
    <m/>
    <m/>
    <m/>
    <m/>
    <m/>
    <m/>
    <m/>
    <m/>
    <m/>
    <m/>
    <m/>
    <m/>
    <m/>
    <m/>
    <n v="1"/>
    <n v="1"/>
    <n v="1"/>
    <n v="1"/>
    <n v="1"/>
    <n v="1"/>
    <n v="1"/>
    <n v="1"/>
    <n v="1"/>
    <n v="1"/>
    <n v="1"/>
    <n v="1"/>
    <n v="1"/>
    <n v="1"/>
    <n v="1"/>
    <n v="1"/>
    <n v="1"/>
    <n v="1"/>
    <n v="1"/>
    <x v="0"/>
    <n v="1"/>
    <n v="1"/>
    <n v="1"/>
    <x v="0"/>
    <s v="no"/>
    <s v="no"/>
    <s v="no"/>
    <s v="no"/>
    <s v="no"/>
    <s v="no"/>
    <s v="no"/>
    <x v="1"/>
    <s v="ee"/>
    <s v="ee"/>
    <s v="ee"/>
    <m/>
    <m/>
    <m/>
    <m/>
    <m/>
    <m/>
    <m/>
    <m/>
    <m/>
    <m/>
    <s v="VER FORMULARIO DE REFORMA, SOLICITUD No.1 DEL 30 DE OCTUBRE DE 2015, SOLICITUD MEDIANTE OFICIO No.CNEL-CORP-GG-2015-0995-O; PENDIENTE REGULARIZAR REFORMA PARA QUE ESTE VALOR SE SUME AL VALOR DEL PROCESO BID2-RSND-CNELSTD-AU-BI-004"/>
    <m/>
    <m/>
    <m/>
  </r>
  <r>
    <x v="1"/>
    <s v="CONSULTORIA INDIVIDUAL"/>
    <x v="0"/>
    <s v=" Proyectos de expansión y refuerzo en el Sistema Nacional de Distribución"/>
    <x v="0"/>
    <x v="7"/>
    <x v="0"/>
    <s v="MANABI"/>
    <x v="77"/>
    <n v="3"/>
    <x v="0"/>
    <s v="BID2-RSND-CNELSTD-FI-CI-005"/>
    <s v="FISCALIZACIÓN REPOTENCIACIÓN DE CENTROS DE TRANSFORMACIÓN, REDES DE BAJA Y MEDIA TENSIÓN DE LA ZONA NORTE DE MANABÍ  Y REPOTENCIACION DE ALIMENTADOR  PUEBLO NUEVO EN LA ZONA NORTE DE MANABÍ (COMPROMISO PRESIDENCIAL)"/>
    <s v="Zona Norte Manabí"/>
    <s v="CCIN"/>
    <s v="ex-post"/>
    <s v="EJECUTADO BID"/>
    <s v="BID2-RSND-CNELSTD-FI-CI-005"/>
    <s v="ING. FLAVIO FRANKLINMENDEZ SIMBAÑA"/>
    <s v="ECUATORIANA"/>
    <s v="PERSONA NATURAL"/>
    <n v="1714263421001"/>
    <s v="NO APLICA"/>
    <s v="NO APLICA"/>
    <s v="DATO PENDIENTE"/>
    <s v="DATO PENDIENTE"/>
    <n v="23084.05"/>
    <n v="37106.18"/>
    <n v="23084.05"/>
    <n v="37106.18"/>
    <n v="0"/>
    <n v="37106.18"/>
    <n v="0.12"/>
    <n v="4452.7416000000003"/>
    <n v="0"/>
    <n v="41558.921600000001"/>
    <n v="26546.639999999999"/>
    <n v="10559.54"/>
    <m/>
    <n v="16458.919999999998"/>
    <n v="26546.639999999999"/>
    <n v="16458.919999999998"/>
    <n v="26546.639999999999"/>
    <n v="0.12"/>
    <n v="3185.5967999999998"/>
    <n v="29732.236800000002"/>
    <m/>
    <m/>
    <m/>
    <m/>
    <m/>
    <m/>
    <m/>
    <m/>
    <m/>
    <m/>
    <m/>
    <n v="10559.54"/>
    <n v="10559.54"/>
    <m/>
    <s v="NO APLICA"/>
    <s v="NO APLICA"/>
    <m/>
    <m/>
    <m/>
    <m/>
    <m/>
    <m/>
    <m/>
    <m/>
    <m/>
    <m/>
    <m/>
    <m/>
    <s v="NO APLICA"/>
    <m/>
    <m/>
    <m/>
    <d v="2016-01-18T00:00:00"/>
    <s v="NO APLICA"/>
    <s v="NO APLICA"/>
    <s v="NO APLICA"/>
    <m/>
    <m/>
    <m/>
    <m/>
    <m/>
    <m/>
    <m/>
    <m/>
    <m/>
    <m/>
    <m/>
    <m/>
    <m/>
    <m/>
    <s v="NO APLICA"/>
    <s v="NO APLICA"/>
    <s v="NO APLICA"/>
    <m/>
    <m/>
    <s v="Pago 1/4 primer pago 25%"/>
    <d v="2016-11-15T00:00:00"/>
    <n v="6636.66"/>
    <s v="Pago 2/4 segundo pago 25%"/>
    <d v="2016-11-15T00:00:00"/>
    <n v="6636.66"/>
    <m/>
    <m/>
    <m/>
    <m/>
    <m/>
    <m/>
    <m/>
    <m/>
    <m/>
    <m/>
    <m/>
    <m/>
    <m/>
    <m/>
    <m/>
    <m/>
    <m/>
    <m/>
    <m/>
    <m/>
    <m/>
    <n v="13273.32"/>
    <m/>
    <m/>
    <m/>
    <m/>
    <m/>
    <m/>
    <m/>
    <n v="240"/>
    <s v="NOTIFICACIÓN DEL ADMINISTRADOR"/>
    <s v="DATO PENDIENTE"/>
    <s v="DATO PENDIENTE"/>
    <m/>
    <m/>
    <m/>
    <m/>
    <m/>
    <m/>
    <m/>
    <m/>
    <m/>
    <m/>
    <m/>
    <m/>
    <m/>
    <m/>
    <m/>
    <m/>
    <m/>
    <m/>
    <m/>
    <m/>
    <m/>
    <m/>
    <m/>
    <m/>
    <m/>
    <n v="0.01"/>
    <n v="7.0000000000000007E-2"/>
    <n v="7.0000000000000007E-2"/>
    <n v="7.0000000000000007E-2"/>
    <n v="7.0000000000000007E-2"/>
    <n v="0.3"/>
    <n v="0.5"/>
    <n v="0.6"/>
    <n v="0.75"/>
    <n v="0.85"/>
    <n v="0.9"/>
    <n v="1"/>
    <n v="1"/>
    <n v="1"/>
    <n v="1"/>
    <n v="1"/>
    <n v="1"/>
    <n v="1"/>
    <n v="1"/>
    <n v="1"/>
    <n v="1"/>
    <n v="1"/>
    <n v="1"/>
    <n v="1"/>
    <n v="1"/>
    <n v="1"/>
    <n v="1"/>
    <n v="1"/>
    <n v="1"/>
    <n v="1"/>
    <n v="1"/>
    <x v="0"/>
    <n v="1"/>
    <n v="1"/>
    <n v="1"/>
    <x v="0"/>
    <s v="si"/>
    <s v="si"/>
    <s v="si"/>
    <s v="si"/>
    <s v="si"/>
    <s v="si"/>
    <s v="si"/>
    <x v="0"/>
    <s v="si"/>
    <s v="si"/>
    <s v="si"/>
    <m/>
    <m/>
    <m/>
    <m/>
    <m/>
    <m/>
    <m/>
    <m/>
    <m/>
    <m/>
    <m/>
    <m/>
    <m/>
    <m/>
  </r>
  <r>
    <x v="1"/>
    <s v="CONSULTORIA INDIVIDUAL"/>
    <x v="0"/>
    <s v=" Proyectos de expansión y refuerzo en el Sistema Nacional de Distribución"/>
    <x v="0"/>
    <x v="7"/>
    <x v="0"/>
    <s v="MANABI"/>
    <x v="78"/>
    <n v="4"/>
    <x v="0"/>
    <s v="BID2-RSND-CNELSTD-FI-CI-005"/>
    <m/>
    <s v="Zona Norte Manaabí, compromiso presidencial"/>
    <s v="CCIN"/>
    <s v="ex-post"/>
    <s v="EJECUTADO BID"/>
    <s v="BID2-RSND-CNELSTD-FI-CI-005"/>
    <s v="ING. FLAVIO FRANKLINMENDEZ SIMBAÑA"/>
    <s v="ECUATORIANA"/>
    <s v="PERSONA NATURAL"/>
    <n v="1714263421001"/>
    <s v="NO APLICA"/>
    <s v="NO APLICA"/>
    <s v="DATO PENDIENTE"/>
    <s v="DATO PENDIENTE"/>
    <n v="14022.13"/>
    <n v="0"/>
    <n v="14022.13"/>
    <m/>
    <n v="0"/>
    <n v="0"/>
    <n v="0.12"/>
    <n v="0"/>
    <n v="0"/>
    <n v="0"/>
    <m/>
    <m/>
    <m/>
    <n v="10087.719999999999"/>
    <m/>
    <n v="10087.719999999999"/>
    <m/>
    <m/>
    <m/>
    <m/>
    <m/>
    <m/>
    <m/>
    <m/>
    <m/>
    <m/>
    <m/>
    <m/>
    <m/>
    <m/>
    <m/>
    <n v="0"/>
    <n v="0"/>
    <m/>
    <s v="NO APLICA"/>
    <s v="NO APLICA"/>
    <m/>
    <m/>
    <m/>
    <m/>
    <m/>
    <m/>
    <m/>
    <m/>
    <m/>
    <m/>
    <m/>
    <m/>
    <s v="NO APLICA"/>
    <m/>
    <m/>
    <m/>
    <d v="2016-01-18T00:00:00"/>
    <s v="NO APLICA"/>
    <s v="NO APLICA"/>
    <s v="NO APLICA"/>
    <m/>
    <m/>
    <m/>
    <m/>
    <m/>
    <m/>
    <m/>
    <m/>
    <m/>
    <m/>
    <m/>
    <m/>
    <m/>
    <m/>
    <s v="NO APLICA"/>
    <s v="NO APLICA"/>
    <s v="NO APLICA"/>
    <m/>
    <m/>
    <m/>
    <m/>
    <m/>
    <m/>
    <m/>
    <m/>
    <m/>
    <m/>
    <m/>
    <m/>
    <m/>
    <m/>
    <m/>
    <m/>
    <m/>
    <m/>
    <m/>
    <m/>
    <m/>
    <m/>
    <m/>
    <m/>
    <m/>
    <m/>
    <m/>
    <m/>
    <m/>
    <n v="0"/>
    <m/>
    <m/>
    <m/>
    <m/>
    <m/>
    <m/>
    <m/>
    <n v="240"/>
    <s v="NOTIFICACIÓN DEL ADMINISTRADOR"/>
    <s v="DATO PENDIENTE"/>
    <s v="DATO PENDIENTE"/>
    <m/>
    <m/>
    <m/>
    <m/>
    <m/>
    <m/>
    <m/>
    <m/>
    <m/>
    <m/>
    <m/>
    <m/>
    <m/>
    <m/>
    <m/>
    <m/>
    <m/>
    <m/>
    <m/>
    <m/>
    <m/>
    <m/>
    <m/>
    <m/>
    <m/>
    <n v="0.01"/>
    <n v="7.0000000000000007E-2"/>
    <n v="7.0000000000000007E-2"/>
    <n v="7.0000000000000007E-2"/>
    <n v="7.0000000000000007E-2"/>
    <n v="0.3"/>
    <n v="0.5"/>
    <n v="0.6"/>
    <n v="0.75"/>
    <n v="0.85"/>
    <n v="0.9"/>
    <n v="1"/>
    <n v="1"/>
    <n v="1"/>
    <n v="1"/>
    <n v="1"/>
    <n v="1"/>
    <n v="1"/>
    <n v="1"/>
    <n v="1"/>
    <n v="1"/>
    <n v="1"/>
    <n v="1"/>
    <n v="1"/>
    <n v="1"/>
    <n v="1"/>
    <n v="1"/>
    <n v="1"/>
    <n v="1"/>
    <n v="1"/>
    <n v="1"/>
    <x v="0"/>
    <n v="1"/>
    <n v="1"/>
    <n v="1"/>
    <x v="0"/>
    <s v="si"/>
    <s v="si"/>
    <s v="si"/>
    <s v="si"/>
    <s v="si"/>
    <s v="si"/>
    <s v="si"/>
    <x v="0"/>
    <s v="si"/>
    <s v="si"/>
    <s v="si"/>
    <m/>
    <m/>
    <m/>
    <m/>
    <m/>
    <m/>
    <m/>
    <m/>
    <m/>
    <m/>
    <m/>
    <m/>
    <m/>
    <m/>
  </r>
  <r>
    <x v="18"/>
    <s v="CONSULTORIA INDIVIDUAL"/>
    <x v="0"/>
    <s v="Proyectos de expansión y refuerzo en el Sistema Nacional de Distribución"/>
    <x v="3"/>
    <x v="7"/>
    <x v="1"/>
    <s v="SANTA ELENA"/>
    <x v="68"/>
    <n v="1"/>
    <x v="0"/>
    <s v="BID2-RSND-CNELSTE-FI-CI-004"/>
    <s v="FISCALIZACIÓN REPOTENCIACIÓN DE TRANSFORMADOR DE POTENCIA DE 16/20 MVA -69/13,8 KV DE S/E PLAYAS Y SAN VICENTE"/>
    <m/>
    <s v="CCIN"/>
    <s v="ex-post"/>
    <s v="CONTRATADO"/>
    <s v="BID2-RSND-CNELSTE-FI-CI-004"/>
    <s v="ING. FRANK RAFAEL SALTOS ALMEIDA"/>
    <s v="ECUATORIANA"/>
    <s v="PERSONA NATURAL"/>
    <s v="0 923004170001"/>
    <s v="NO APLICA"/>
    <s v="NO APLICA"/>
    <s v="DATO PENDIENTE"/>
    <s v="DATO PENDIENTE"/>
    <m/>
    <n v="85285.71"/>
    <n v="0"/>
    <n v="41855.022066326259"/>
    <n v="0"/>
    <n v="41855.022066326259"/>
    <n v="0.12"/>
    <n v="5022.602647959151"/>
    <n v="0"/>
    <n v="46877.624714285412"/>
    <m/>
    <m/>
    <n v="43430.687933673747"/>
    <m/>
    <n v="41855.022066326259"/>
    <m/>
    <n v="41855.022066326259"/>
    <n v="0.14000000000000001"/>
    <n v="5859.7030892856765"/>
    <n v="47714.72515561193"/>
    <m/>
    <m/>
    <m/>
    <m/>
    <m/>
    <m/>
    <m/>
    <m/>
    <m/>
    <m/>
    <m/>
    <n v="43430.687933673747"/>
    <n v="43430.687933673747"/>
    <m/>
    <s v="NO APLICA"/>
    <s v="NO APLICA"/>
    <m/>
    <m/>
    <m/>
    <m/>
    <m/>
    <m/>
    <m/>
    <m/>
    <m/>
    <m/>
    <m/>
    <m/>
    <s v="NO APLICA"/>
    <d v="2016-08-08T00:00:00"/>
    <s v="NO APLICA"/>
    <d v="2016-08-15T00:00:00"/>
    <d v="2016-09-01T00:00:00"/>
    <s v="NO APLICA"/>
    <s v="NO APLICA"/>
    <s v="NO APLICA"/>
    <m/>
    <m/>
    <m/>
    <m/>
    <m/>
    <m/>
    <m/>
    <m/>
    <m/>
    <m/>
    <m/>
    <m/>
    <m/>
    <m/>
    <s v="NO APLICA"/>
    <s v="NO APLICA"/>
    <s v="NO APLICA"/>
    <s v="NO APLICA"/>
    <m/>
    <m/>
    <d v="2017-04-04T00:00:00"/>
    <n v="38373.15"/>
    <m/>
    <m/>
    <m/>
    <m/>
    <m/>
    <m/>
    <m/>
    <m/>
    <m/>
    <m/>
    <m/>
    <m/>
    <m/>
    <m/>
    <m/>
    <m/>
    <m/>
    <m/>
    <m/>
    <m/>
    <m/>
    <m/>
    <m/>
    <m/>
    <n v="38373.15"/>
    <m/>
    <m/>
    <m/>
    <m/>
    <m/>
    <m/>
    <m/>
    <n v="210"/>
    <s v="NOTIFICACIÓN DEL ADMINISTRADOR"/>
    <s v="DATO PENDIENTE"/>
    <s v="DATO PENDIENTE"/>
    <m/>
    <m/>
    <m/>
    <m/>
    <m/>
    <m/>
    <m/>
    <m/>
    <m/>
    <m/>
    <m/>
    <m/>
    <m/>
    <m/>
    <m/>
    <m/>
    <m/>
    <m/>
    <m/>
    <m/>
    <m/>
    <m/>
    <m/>
    <m/>
    <m/>
    <m/>
    <m/>
    <m/>
    <m/>
    <m/>
    <m/>
    <m/>
    <m/>
    <m/>
    <m/>
    <m/>
    <m/>
    <n v="0.9"/>
    <n v="0.9"/>
    <n v="0.9"/>
    <n v="0.9"/>
    <n v="0.9"/>
    <n v="0.92"/>
    <n v="0.92"/>
    <n v="0.92"/>
    <n v="1"/>
    <n v="1"/>
    <n v="1"/>
    <n v="1"/>
    <n v="1"/>
    <n v="1"/>
    <n v="1"/>
    <n v="1"/>
    <n v="1"/>
    <n v="1"/>
    <n v="1"/>
    <x v="0"/>
    <n v="1"/>
    <n v="1"/>
    <n v="1"/>
    <x v="0"/>
    <s v="no"/>
    <s v="no"/>
    <s v="no"/>
    <s v="no"/>
    <s v="no"/>
    <s v="no"/>
    <s v="no"/>
    <x v="1"/>
    <s v="no"/>
    <s v="no"/>
    <s v="no"/>
    <s v="Avance del 100%. Se espera S/E Móvil para realizar transferencia de carga y energizar trafo."/>
    <m/>
    <m/>
    <s v="AL momento no, esta en pruebas de carga, la subestación movil estara en sitio en este mes"/>
    <s v="AL momento no, esta en pruebas de carga, la subestación movil estara en sitio en este mes"/>
    <m/>
    <s v="Falta liquidar "/>
    <m/>
    <m/>
    <m/>
    <m/>
    <m/>
    <m/>
    <m/>
  </r>
  <r>
    <x v="18"/>
    <s v="CONSULTORIA INDIVIDUAL"/>
    <x v="0"/>
    <s v="Proyectos de expansión y refuerzo en el Sistema Nacional de Distribución"/>
    <x v="3"/>
    <x v="7"/>
    <x v="1"/>
    <s v="SANTA ELENA"/>
    <x v="69"/>
    <n v="2"/>
    <x v="0"/>
    <s v="BID2-RSND-CNELSTE-FI-CI-005"/>
    <s v=" FISCALIZACIÓN REPOTENCIACIÓN DE DOS TRANSFORMADORES DE POTENCIA DE 10/12 MVA -69/13,8 KV S/E CHANDUY Y MANGLARALTO"/>
    <m/>
    <s v="CCIN"/>
    <s v="ex-post"/>
    <s v="CONTRATADO"/>
    <s v="BID2-RSND-CNELSTE-FI-CI-005"/>
    <s v="ING. WASHINGTON COLON  CASTILLO JURADO"/>
    <s v="ECUATORIANA"/>
    <s v="PERSONA NATURAL"/>
    <n v="1303618027001"/>
    <s v="NO APLICA"/>
    <s v="NO APLICA"/>
    <s v="DATO PENDIENTE"/>
    <s v="DATO PENDIENTE"/>
    <m/>
    <n v="60428.57"/>
    <n v="0"/>
    <n v="31497.879216326259"/>
    <n v="0"/>
    <n v="31497.879216326259"/>
    <n v="0.12"/>
    <n v="3779.7455059591507"/>
    <n v="0"/>
    <n v="35277.624722285414"/>
    <m/>
    <m/>
    <n v="28930.690783673741"/>
    <m/>
    <n v="31497.879216326259"/>
    <m/>
    <n v="31497.879216326259"/>
    <m/>
    <m/>
    <m/>
    <m/>
    <m/>
    <m/>
    <m/>
    <m/>
    <m/>
    <m/>
    <m/>
    <m/>
    <m/>
    <m/>
    <n v="28930.690783673741"/>
    <n v="28930.690783673741"/>
    <m/>
    <s v="NO APLICA"/>
    <s v="NO APLICA"/>
    <m/>
    <m/>
    <m/>
    <m/>
    <m/>
    <m/>
    <m/>
    <m/>
    <m/>
    <m/>
    <m/>
    <m/>
    <s v="NO APLICA"/>
    <m/>
    <m/>
    <m/>
    <d v="2016-09-19T00:00:00"/>
    <s v="NO APLICA"/>
    <s v="NO APLICA"/>
    <s v="NO APLICA"/>
    <m/>
    <m/>
    <m/>
    <m/>
    <m/>
    <m/>
    <m/>
    <m/>
    <m/>
    <m/>
    <m/>
    <m/>
    <m/>
    <m/>
    <s v="NO APLICA"/>
    <s v="NO APLICA"/>
    <s v="NO APLICA"/>
    <m/>
    <m/>
    <s v="Pago 1/3"/>
    <d v="2017-05-09T00:00:00"/>
    <n v="22048.52"/>
    <m/>
    <m/>
    <m/>
    <m/>
    <m/>
    <m/>
    <m/>
    <m/>
    <m/>
    <m/>
    <m/>
    <m/>
    <m/>
    <m/>
    <m/>
    <m/>
    <m/>
    <m/>
    <m/>
    <m/>
    <m/>
    <m/>
    <m/>
    <m/>
    <n v="22048.52"/>
    <m/>
    <m/>
    <m/>
    <m/>
    <m/>
    <m/>
    <m/>
    <n v="210"/>
    <s v="NOTIFICACIÓN DEL ADMINISTRADOR"/>
    <s v="DATO PENDIENTE"/>
    <s v="DATO PENDIENTE"/>
    <m/>
    <m/>
    <m/>
    <m/>
    <m/>
    <m/>
    <m/>
    <m/>
    <m/>
    <m/>
    <m/>
    <m/>
    <m/>
    <m/>
    <m/>
    <m/>
    <m/>
    <m/>
    <m/>
    <m/>
    <m/>
    <m/>
    <m/>
    <m/>
    <m/>
    <m/>
    <m/>
    <m/>
    <m/>
    <m/>
    <m/>
    <m/>
    <m/>
    <m/>
    <m/>
    <m/>
    <m/>
    <n v="0.9"/>
    <n v="0.9"/>
    <n v="0.9"/>
    <n v="0.9"/>
    <n v="0.9"/>
    <n v="0.9"/>
    <n v="0.9"/>
    <n v="0.9"/>
    <n v="1"/>
    <n v="1"/>
    <n v="1"/>
    <n v="1"/>
    <n v="1"/>
    <n v="1"/>
    <n v="1"/>
    <n v="1"/>
    <n v="1"/>
    <n v="1"/>
    <n v="1"/>
    <x v="0"/>
    <n v="1"/>
    <n v="1"/>
    <n v="1"/>
    <x v="0"/>
    <s v="no"/>
    <s v="no"/>
    <s v="no"/>
    <s v="no"/>
    <s v="no"/>
    <s v="no"/>
    <s v="no"/>
    <x v="1"/>
    <s v="no"/>
    <s v="no"/>
    <s v="no"/>
    <s v="Avance 100%. Se espera S/E Móvil para realizar transferencia de carga y energizar trafo."/>
    <m/>
    <m/>
    <s v="AL momento no, esta en pruebas de carga, la subestación movil estara en sitio en este mes"/>
    <s v="AL momento no, esta en pruebas de carga, la subestación movil estara en sitio en este mes"/>
    <m/>
    <s v="Solo reportan 1 pago de 3, falta liquidar "/>
    <m/>
    <m/>
    <m/>
    <m/>
    <m/>
    <m/>
    <m/>
  </r>
  <r>
    <x v="18"/>
    <s v="CONSULTORIA INDIVIDUAL"/>
    <x v="0"/>
    <s v="Proyectos de expansión y refuerzo en el Sistema Nacional de Distribución"/>
    <x v="3"/>
    <x v="7"/>
    <x v="1"/>
    <s v="GUAYAS"/>
    <x v="70"/>
    <n v="3"/>
    <x v="0"/>
    <s v="BID2-RSND-CNELSTE-FI-CI-006"/>
    <s v=" FISCALIZACIÓN REFORZAMIENTO EN LÍNEA DE SUBTRANSMISIÓN SAN LORENZO DEL MATE-CERECITA"/>
    <m/>
    <s v="CCIN"/>
    <s v="ex-post"/>
    <s v="EJECUTADO BID"/>
    <s v="BID2-RSND-CNELSTE-FI-CI-006"/>
    <s v="ING. JUAN RAMÓN BERMUDEZ ANDRADE"/>
    <s v="ECUATORIANA"/>
    <s v="PERSONA NATURAL"/>
    <s v="0 919328104001"/>
    <s v="NO APLICA"/>
    <s v="NO APLICA"/>
    <s v="DATO PENDIENTE"/>
    <s v="DATO PENDIENTE"/>
    <m/>
    <n v="33385.4"/>
    <n v="0"/>
    <n v="30412.812766326257"/>
    <n v="0"/>
    <n v="30412.812766326257"/>
    <n v="0.12"/>
    <n v="3649.5375319591508"/>
    <n v="0"/>
    <n v="34062.350298285412"/>
    <n v="30412.809999999998"/>
    <n v="2972.5900000000038"/>
    <m/>
    <m/>
    <n v="30412.812766326257"/>
    <m/>
    <n v="30412.812766326257"/>
    <m/>
    <m/>
    <m/>
    <m/>
    <m/>
    <m/>
    <m/>
    <m/>
    <m/>
    <m/>
    <m/>
    <m/>
    <m/>
    <m/>
    <n v="2972.5872336737448"/>
    <n v="2972.5872336737448"/>
    <m/>
    <s v="NO APLICA"/>
    <s v="NO APLICA"/>
    <m/>
    <m/>
    <m/>
    <m/>
    <m/>
    <m/>
    <m/>
    <m/>
    <m/>
    <m/>
    <m/>
    <m/>
    <s v="NO APLICA"/>
    <m/>
    <m/>
    <m/>
    <d v="2016-08-08T00:00:00"/>
    <s v="NO APLICA"/>
    <s v="NO APLICA"/>
    <s v="NO APLICA"/>
    <m/>
    <m/>
    <m/>
    <m/>
    <m/>
    <m/>
    <m/>
    <m/>
    <m/>
    <m/>
    <m/>
    <m/>
    <m/>
    <m/>
    <s v="NO APLICA"/>
    <s v="NO APLICA"/>
    <s v="NO APLICA"/>
    <m/>
    <m/>
    <s v="Pago 1/3 Planilla 1; 37%"/>
    <d v="2016-12-29T00:00:00"/>
    <n v="11274.03"/>
    <s v="Pago 2/2 Planilla 2; 63%"/>
    <d v="2017-03-14T00:00:00"/>
    <n v="19138.78"/>
    <m/>
    <m/>
    <m/>
    <m/>
    <m/>
    <m/>
    <m/>
    <m/>
    <m/>
    <m/>
    <m/>
    <m/>
    <m/>
    <m/>
    <m/>
    <m/>
    <m/>
    <m/>
    <m/>
    <m/>
    <m/>
    <n v="30412.809999999998"/>
    <m/>
    <m/>
    <m/>
    <m/>
    <m/>
    <m/>
    <m/>
    <n v="210"/>
    <s v="NOTIFICACIÓN DEL ADMINISTRADOR"/>
    <s v="DATO PENDIENTE"/>
    <s v="DATO PENDIENTE"/>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m/>
    <m/>
    <m/>
    <m/>
  </r>
  <r>
    <x v="18"/>
    <s v="CONSULTORIA INDIVIDUAL"/>
    <x v="0"/>
    <s v="Proyectos de expansión y refuerzo en el Sistema Nacional de Distribución"/>
    <x v="3"/>
    <x v="9"/>
    <x v="1"/>
    <s v="GUAYAS"/>
    <x v="70"/>
    <n v="3"/>
    <x v="0"/>
    <s v="BID2-RSND-CNELSTE-SP-CI-011"/>
    <s v="SUPERVISIÓN REFORZAMIENTO EN LÍNEA DE SUBTRANSMISIÓN SAN LORENZO DEL MATE-CERECITA"/>
    <m/>
    <s v="CCIN"/>
    <s v="ex-post"/>
    <s v="EJECUTADO BID"/>
    <s v="BID2-RSND-CNELSTE-SP-CI-011"/>
    <s v="ING. MARCOS ANDRÉS ORDEÑANA MOSCOSO"/>
    <s v="ECUATORIANA"/>
    <s v="PERSONA NATURAL"/>
    <s v="0 923081665001"/>
    <s v="NO APLICA"/>
    <s v="NO APLICA"/>
    <s v="DATO PENDIENTE"/>
    <s v="DATO PENDIENTE"/>
    <m/>
    <n v="27066.1"/>
    <n v="0"/>
    <n v="24093.505000000001"/>
    <n v="0"/>
    <n v="24093.505000000001"/>
    <n v="0.12"/>
    <n v="2891.2206000000001"/>
    <n v="0"/>
    <n v="26984.725600000005"/>
    <n v="24093.510000000002"/>
    <n v="2972.5899999999965"/>
    <m/>
    <m/>
    <n v="24093.505000000001"/>
    <m/>
    <n v="24093.505000000001"/>
    <m/>
    <m/>
    <m/>
    <m/>
    <m/>
    <m/>
    <m/>
    <m/>
    <m/>
    <m/>
    <m/>
    <m/>
    <m/>
    <m/>
    <n v="2972.5949999999975"/>
    <n v="2972.5949999999975"/>
    <m/>
    <s v="NO APLICA"/>
    <s v="NO APLICA"/>
    <m/>
    <m/>
    <m/>
    <m/>
    <m/>
    <m/>
    <m/>
    <m/>
    <m/>
    <m/>
    <m/>
    <m/>
    <s v="NO APLICA"/>
    <m/>
    <m/>
    <m/>
    <d v="2016-01-18T00:00:00"/>
    <s v="NO APLICA"/>
    <s v="NO APLICA"/>
    <s v="NO APLICA"/>
    <m/>
    <m/>
    <m/>
    <m/>
    <m/>
    <m/>
    <m/>
    <m/>
    <m/>
    <m/>
    <m/>
    <m/>
    <m/>
    <m/>
    <s v="NO APLICA"/>
    <s v="NO APLICA"/>
    <s v="NO APLICA"/>
    <m/>
    <m/>
    <s v="Pago 1/2 Planilla 1; 57%"/>
    <d v="2016-12-29T00:00:00"/>
    <n v="13767.72"/>
    <s v="Pago 2/2 Planilla 1; 43%"/>
    <d v="2017-04-03T00:00:00"/>
    <n v="10325.790000000001"/>
    <m/>
    <m/>
    <m/>
    <m/>
    <m/>
    <m/>
    <m/>
    <m/>
    <m/>
    <m/>
    <m/>
    <m/>
    <m/>
    <m/>
    <m/>
    <m/>
    <m/>
    <m/>
    <m/>
    <m/>
    <m/>
    <n v="24093.510000000002"/>
    <m/>
    <m/>
    <m/>
    <m/>
    <m/>
    <m/>
    <m/>
    <n v="210"/>
    <s v="NOTIFICACIÓN DEL ADMINISTRADOR"/>
    <s v="DATO PENDIENTE"/>
    <s v="DATO PENDIENTE"/>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m/>
    <m/>
    <m/>
    <m/>
  </r>
  <r>
    <x v="18"/>
    <s v="CONSULTORIA INDIVIDUAL"/>
    <x v="0"/>
    <s v="Proyectos de expansión y refuerzo en el Sistema Nacional de Distribución"/>
    <x v="3"/>
    <x v="7"/>
    <x v="1"/>
    <s v="SANTA ELENA"/>
    <x v="71"/>
    <n v="4"/>
    <x v="0"/>
    <s v="BID2-RSND-CNELSTE-FI-CI-001"/>
    <s v="FISCALIZACIÓN REFORZAMIENTO DE LÍNEAS DE SUBTRANSMISIÓN SALINAS-CHIPIPE"/>
    <m/>
    <s v="CCIN"/>
    <s v="ex-post"/>
    <s v="EJECUTADO BID"/>
    <s v="BID2-RSND-CNELSTE-FI-CI-001"/>
    <s v="ING. WILSON GIOVANNY PIÑA ORELLANA"/>
    <s v="ECUATORIANA"/>
    <s v="PERSONA NATURAL"/>
    <s v="0 914338942001"/>
    <s v="NO APLICA"/>
    <s v="NO APLICA"/>
    <s v="DATO PENDIENTE"/>
    <s v="DATO PENDIENTE"/>
    <m/>
    <n v="15000"/>
    <n v="0"/>
    <n v="15765.554766326259"/>
    <n v="765.55"/>
    <n v="16531.104766326258"/>
    <n v="0.12"/>
    <n v="1891.8665719591509"/>
    <n v="91.865999999999985"/>
    <n v="18514.837338285412"/>
    <n v="15765.55"/>
    <n v="0"/>
    <m/>
    <m/>
    <n v="15765.554766326259"/>
    <m/>
    <n v="15765.554766326259"/>
    <m/>
    <m/>
    <m/>
    <m/>
    <m/>
    <m/>
    <m/>
    <m/>
    <m/>
    <m/>
    <m/>
    <m/>
    <m/>
    <m/>
    <n v="-765.55476632625869"/>
    <n v="-765.55476632625869"/>
    <m/>
    <s v="NO APLICA"/>
    <s v="NO APLICA"/>
    <m/>
    <m/>
    <m/>
    <m/>
    <m/>
    <m/>
    <m/>
    <m/>
    <m/>
    <m/>
    <m/>
    <m/>
    <s v="NO APLICA"/>
    <m/>
    <m/>
    <m/>
    <d v="2016-01-20T00:00:00"/>
    <s v="NO APLICA"/>
    <s v="NO APLICA"/>
    <s v="NO APLICA"/>
    <m/>
    <m/>
    <m/>
    <m/>
    <m/>
    <m/>
    <m/>
    <m/>
    <m/>
    <m/>
    <m/>
    <m/>
    <m/>
    <m/>
    <s v="NO APLICA"/>
    <s v="NO APLICA"/>
    <s v="NO APLICA"/>
    <m/>
    <m/>
    <s v="PAG0 1/1  LIQUIDACION 100%"/>
    <d v="2017-03-06T00:00:00"/>
    <n v="15765.55"/>
    <m/>
    <m/>
    <m/>
    <m/>
    <m/>
    <m/>
    <m/>
    <m/>
    <m/>
    <m/>
    <m/>
    <m/>
    <m/>
    <m/>
    <m/>
    <m/>
    <m/>
    <m/>
    <m/>
    <m/>
    <m/>
    <m/>
    <m/>
    <m/>
    <n v="15765.55"/>
    <m/>
    <m/>
    <m/>
    <m/>
    <m/>
    <m/>
    <m/>
    <n v="180"/>
    <s v="NOTIFICACIÓN DEL ADMINISTRADOR"/>
    <s v="DATO PENDIENTE"/>
    <s v="DATO PENDIENTE"/>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m/>
    <m/>
    <m/>
    <m/>
  </r>
  <r>
    <x v="18"/>
    <s v="CONSULTORIA INDIVIDUAL"/>
    <x v="0"/>
    <s v="Proyectos de expansión y refuerzo en el Sistema Nacional de Distribución"/>
    <x v="3"/>
    <x v="9"/>
    <x v="1"/>
    <s v="SANTA ELENA"/>
    <x v="71"/>
    <n v="4"/>
    <x v="0"/>
    <s v="BID2-RSND-CNELSTE-SP-CI-008"/>
    <s v="SUPERVISIÓN REFORZAMIENTO DE LÍNEAS DE SUBTRANSMISIÓN SALINAS-CHIPIPE"/>
    <m/>
    <s v="CCIN"/>
    <s v="ex-post"/>
    <s v="EJECUTADO BID"/>
    <s v="BID2-RSND-CNELSTE-SP-CI-008"/>
    <s v="ING. CARLA IVETTE URRIOLA ESTRADA"/>
    <s v="ECUATORIANA"/>
    <s v="PERSONA NATURAL"/>
    <s v="0 91784358001"/>
    <s v="NO APLICA"/>
    <s v="NO APLICA"/>
    <s v="DATO PENDIENTE"/>
    <s v="DATO PENDIENTE"/>
    <m/>
    <n v="5202.71"/>
    <n v="0"/>
    <n v="9446.2470000000012"/>
    <n v="1094.79"/>
    <n v="10541.037"/>
    <n v="0.12"/>
    <n v="1133.5496400000002"/>
    <n v="131.37479999999999"/>
    <n v="11805.961440000001"/>
    <n v="6297.5"/>
    <n v="0"/>
    <m/>
    <m/>
    <n v="9446.2470000000012"/>
    <m/>
    <n v="9446.2470000000012"/>
    <m/>
    <m/>
    <m/>
    <m/>
    <m/>
    <m/>
    <m/>
    <m/>
    <m/>
    <m/>
    <m/>
    <m/>
    <m/>
    <m/>
    <n v="-4243.5370000000012"/>
    <n v="-4243.5370000000012"/>
    <m/>
    <s v="NO APLICA"/>
    <s v="NO APLICA"/>
    <m/>
    <m/>
    <m/>
    <m/>
    <m/>
    <m/>
    <m/>
    <m/>
    <m/>
    <m/>
    <m/>
    <m/>
    <s v="NO APLICA"/>
    <m/>
    <m/>
    <m/>
    <d v="2016-08-08T00:00:00"/>
    <s v="NO APLICA"/>
    <s v="NO APLICA"/>
    <s v="NO APLICA"/>
    <m/>
    <m/>
    <m/>
    <m/>
    <m/>
    <m/>
    <m/>
    <m/>
    <m/>
    <m/>
    <m/>
    <m/>
    <m/>
    <m/>
    <s v="NO APLICA"/>
    <s v="NO APLICA"/>
    <s v="NO APLICA"/>
    <m/>
    <m/>
    <m/>
    <m/>
    <m/>
    <m/>
    <m/>
    <m/>
    <m/>
    <m/>
    <m/>
    <m/>
    <m/>
    <m/>
    <m/>
    <m/>
    <m/>
    <m/>
    <m/>
    <m/>
    <m/>
    <m/>
    <m/>
    <m/>
    <m/>
    <m/>
    <m/>
    <m/>
    <m/>
    <n v="0"/>
    <m/>
    <m/>
    <m/>
    <m/>
    <m/>
    <m/>
    <m/>
    <n v="180"/>
    <s v="NOTIFICACIÓN DEL ADMINISTRADOR"/>
    <s v="DATO PENDIENTE"/>
    <s v="DATO PENDIENTE"/>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m/>
    <m/>
    <m/>
    <m/>
  </r>
  <r>
    <x v="18"/>
    <s v="CONSULTORIA INDIVIDUAL"/>
    <x v="0"/>
    <s v="Proyectos de expansión y refuerzo en el Sistema Nacional de Distribución"/>
    <x v="0"/>
    <x v="7"/>
    <x v="0"/>
    <s v="SANTA ELENA"/>
    <x v="72"/>
    <n v="5"/>
    <x v="0"/>
    <s v="BID2-RSND-CNELSTE-FI-CI-007"/>
    <s v=" FISCALIZACIÓN REPOTENCIACIÓN 3 SWITCHGEARS DE MEDIO VOLTAJE PARA ACOPLAR LOS TRANSFORMADORES A ADQUIRIR"/>
    <m/>
    <s v="CCIN"/>
    <s v="ex-post"/>
    <s v="CONTRATADO"/>
    <s v="BID2-RSND-CNELSTE-FI-CI-007"/>
    <s v="ING. CARLA IVETTE URRIOLA ESTRADA"/>
    <s v="ECUATORIANA"/>
    <s v="PERSONA NATURAL"/>
    <s v="0 91784358001"/>
    <s v="NO APLICA"/>
    <s v="NO APLICA"/>
    <m/>
    <m/>
    <m/>
    <n v="78328.800000000003"/>
    <n v="0"/>
    <n v="38956.307766326252"/>
    <n v="0"/>
    <n v="38956.307766326252"/>
    <n v="0.12"/>
    <n v="4674.7569319591503"/>
    <n v="0"/>
    <n v="43631.064698285409"/>
    <m/>
    <m/>
    <n v="39372.492233673751"/>
    <m/>
    <n v="38956.307766326252"/>
    <m/>
    <n v="38956.307766326252"/>
    <n v="0.14000000000000001"/>
    <n v="5453.8830872856761"/>
    <n v="44410.190853611923"/>
    <m/>
    <m/>
    <m/>
    <m/>
    <m/>
    <m/>
    <m/>
    <m/>
    <m/>
    <m/>
    <m/>
    <n v="39372.492233673751"/>
    <n v="39372.492233673751"/>
    <m/>
    <s v="NO APLICA"/>
    <s v="NO APLICA"/>
    <m/>
    <m/>
    <m/>
    <m/>
    <m/>
    <m/>
    <m/>
    <m/>
    <m/>
    <m/>
    <m/>
    <m/>
    <s v="NO APLICA"/>
    <d v="2016-09-30T00:00:00"/>
    <s v="NO APLICA"/>
    <d v="2016-10-05T00:00:00"/>
    <d v="2017-07-10T00:00:00"/>
    <s v="NO APLICA"/>
    <s v="NO APLICA"/>
    <s v="NO APLICA"/>
    <m/>
    <m/>
    <m/>
    <m/>
    <m/>
    <m/>
    <m/>
    <m/>
    <m/>
    <m/>
    <m/>
    <m/>
    <m/>
    <m/>
    <s v="NO APLICA"/>
    <s v="NO APLICA"/>
    <s v="NO APLICA"/>
    <m/>
    <m/>
    <m/>
    <m/>
    <m/>
    <m/>
    <m/>
    <m/>
    <m/>
    <m/>
    <m/>
    <m/>
    <m/>
    <m/>
    <m/>
    <m/>
    <m/>
    <m/>
    <m/>
    <m/>
    <m/>
    <m/>
    <m/>
    <m/>
    <m/>
    <m/>
    <m/>
    <m/>
    <m/>
    <n v="0"/>
    <m/>
    <m/>
    <m/>
    <m/>
    <m/>
    <m/>
    <m/>
    <m/>
    <m/>
    <m/>
    <m/>
    <m/>
    <m/>
    <m/>
    <m/>
    <m/>
    <m/>
    <m/>
    <m/>
    <m/>
    <m/>
    <m/>
    <m/>
    <m/>
    <m/>
    <m/>
    <m/>
    <m/>
    <m/>
    <m/>
    <m/>
    <m/>
    <m/>
    <m/>
    <m/>
    <m/>
    <m/>
    <m/>
    <m/>
    <m/>
    <m/>
    <m/>
    <m/>
    <m/>
    <m/>
    <m/>
    <m/>
    <m/>
    <m/>
    <m/>
    <m/>
    <m/>
    <m/>
    <m/>
    <m/>
    <m/>
    <n v="0.5"/>
    <n v="0.5"/>
    <n v="0.5"/>
    <n v="0.5"/>
    <n v="0.5"/>
    <n v="0.99"/>
    <n v="0.99"/>
    <n v="1"/>
    <n v="1"/>
    <n v="1"/>
    <n v="1"/>
    <x v="0"/>
    <n v="1"/>
    <n v="1"/>
    <n v="1"/>
    <x v="0"/>
    <s v="no"/>
    <s v="no"/>
    <s v="no"/>
    <s v="no"/>
    <s v="no"/>
    <s v="no"/>
    <s v="no"/>
    <x v="1"/>
    <s v="no"/>
    <s v="no"/>
    <s v="no"/>
    <s v="Avance del 50% (primera semana de agosto llegan las celdas para la instalación, se estima liquidar la obra en septiembre 2018)"/>
    <m/>
    <m/>
    <s v="En ejecución, obra civil terminada, celdas en media tensión según el cronograma el dia 15 de noviembre se realiza el montaje "/>
    <s v="En liquidación"/>
    <m/>
    <s v="Solo reportan un pago de 2 previstos, falta liquidar"/>
    <m/>
    <m/>
    <m/>
    <m/>
    <m/>
    <s v="AUTORIZADO MEDIANTE OFICIO Nro. MINFIN-SRF-2017-0216-O DE 17 DE MARZO DE 2017"/>
    <m/>
  </r>
  <r>
    <x v="18"/>
    <s v="CONSULTORIA INDIVIDUAL"/>
    <x v="0"/>
    <s v="Proyectos de expansión y refuerzo en el Sistema Nacional de Distribución"/>
    <x v="0"/>
    <x v="7"/>
    <x v="0"/>
    <s v="GUAYAS"/>
    <x v="73"/>
    <n v="6"/>
    <x v="0"/>
    <s v="BID2-RSND-CNELSTE-FI-CI-002"/>
    <s v="FISCALIZACIÓN REPOTENCIACION DEL ALIMENTADOR &quot;PROGRESO&quot; EN MEDIA TENSIÓN TRAMO SAN LORENZO-PROGRESO-SAN ANTONIO"/>
    <m/>
    <s v="CCIN"/>
    <s v="ex-post"/>
    <s v="EJECUTADO BID"/>
    <s v="BID2-RSND-CNELSTE-FI-CI-002"/>
    <s v="ING. CARLOS RODRIGUEZ PARRA"/>
    <s v="ECUATORIANA"/>
    <s v="PERSONA NATURAL"/>
    <s v="0 915844666001"/>
    <s v="NO APLICA"/>
    <s v="NO APLICA"/>
    <s v="DATO PENDIENTE"/>
    <s v="DATO PENDIENTE"/>
    <m/>
    <n v="20595.689999999999"/>
    <n v="0"/>
    <n v="24002.411766326299"/>
    <n v="3406.7200000000012"/>
    <n v="27409.1317663263"/>
    <n v="0.12"/>
    <n v="2880.2894119591556"/>
    <n v="408.80640000000011"/>
    <n v="30698.227578285459"/>
    <n v="24002.41"/>
    <n v="0"/>
    <m/>
    <m/>
    <n v="24002.411766326299"/>
    <m/>
    <n v="24002.41"/>
    <m/>
    <m/>
    <m/>
    <m/>
    <m/>
    <m/>
    <m/>
    <m/>
    <m/>
    <m/>
    <m/>
    <m/>
    <m/>
    <m/>
    <n v="-3406.7200000000012"/>
    <n v="-3406.7200000000012"/>
    <m/>
    <s v="NO APLICA"/>
    <s v="NO APLICA"/>
    <m/>
    <m/>
    <m/>
    <m/>
    <m/>
    <m/>
    <m/>
    <m/>
    <m/>
    <m/>
    <m/>
    <m/>
    <s v="NO APLICA"/>
    <m/>
    <m/>
    <m/>
    <d v="2016-08-15T00:00:00"/>
    <s v="NO APLICA"/>
    <s v="NO APLICA"/>
    <s v="NO APLICA"/>
    <m/>
    <m/>
    <m/>
    <m/>
    <m/>
    <m/>
    <m/>
    <m/>
    <m/>
    <m/>
    <m/>
    <m/>
    <m/>
    <m/>
    <s v="NO APLICA"/>
    <s v="NO APLICA"/>
    <s v="NO APLICA"/>
    <m/>
    <m/>
    <s v="Pago 1/3"/>
    <d v="2017-04-03T00:00:00"/>
    <n v="16001.6"/>
    <m/>
    <m/>
    <m/>
    <m/>
    <m/>
    <m/>
    <m/>
    <m/>
    <m/>
    <m/>
    <m/>
    <m/>
    <m/>
    <m/>
    <m/>
    <m/>
    <m/>
    <m/>
    <m/>
    <m/>
    <m/>
    <m/>
    <m/>
    <m/>
    <n v="16001.6"/>
    <m/>
    <m/>
    <m/>
    <m/>
    <m/>
    <m/>
    <m/>
    <n v="180"/>
    <s v="NOTIFICACIÓN DEL ADMINISTRADOR"/>
    <s v="DATO PENDIENTE"/>
    <s v="DATO PENDIENTE"/>
    <m/>
    <m/>
    <m/>
    <m/>
    <m/>
    <m/>
    <m/>
    <m/>
    <m/>
    <m/>
    <m/>
    <m/>
    <m/>
    <m/>
    <m/>
    <m/>
    <m/>
    <m/>
    <m/>
    <m/>
    <m/>
    <m/>
    <m/>
    <m/>
    <m/>
    <m/>
    <m/>
    <m/>
    <m/>
    <m/>
    <m/>
    <m/>
    <m/>
    <m/>
    <m/>
    <m/>
    <n v="0.6"/>
    <n v="0.6"/>
    <n v="0.6"/>
    <n v="0.6"/>
    <n v="1"/>
    <n v="1"/>
    <n v="1"/>
    <n v="1"/>
    <n v="1"/>
    <n v="1"/>
    <n v="1"/>
    <n v="1"/>
    <n v="1"/>
    <n v="1"/>
    <n v="1"/>
    <n v="1"/>
    <n v="1"/>
    <n v="1"/>
    <n v="1"/>
    <n v="1"/>
    <x v="0"/>
    <n v="1"/>
    <n v="1"/>
    <n v="1"/>
    <x v="0"/>
    <s v="si"/>
    <s v="si"/>
    <s v="si"/>
    <s v="si"/>
    <s v="si"/>
    <s v="si"/>
    <s v="si"/>
    <x v="0"/>
    <s v="si"/>
    <s v="si"/>
    <s v="si"/>
    <m/>
    <m/>
    <m/>
    <m/>
    <m/>
    <m/>
    <m/>
    <m/>
    <m/>
    <m/>
    <m/>
    <m/>
    <m/>
    <m/>
  </r>
  <r>
    <x v="18"/>
    <s v="CONSULTORIA INDIVIDUAL"/>
    <x v="0"/>
    <s v="Proyectos de expansión y refuerzo en el Sistema Nacional de Distribución"/>
    <x v="0"/>
    <x v="9"/>
    <x v="0"/>
    <s v="GUAYAS"/>
    <x v="73"/>
    <n v="6"/>
    <x v="0"/>
    <s v="BID2-RSND-CNELSTE-SP-CI-009"/>
    <s v=" SUPERVISIÓN REPOTENCIACION DEL ALIMENTADOR &quot;PROGRESO&quot; EN MEDIA TENSIÓN TRAMO SAN LORENZO-PROGRESO-SAN ANTONIO"/>
    <m/>
    <s v="CCIN"/>
    <s v="ex-post"/>
    <s v="EJECUTADO BID"/>
    <s v="BID2-RSND-CNELSTE-SP-CI-009"/>
    <s v="ING. CARLA ESTEFANÍA DEMERA REYNA"/>
    <s v="ECUATORIANA"/>
    <s v="PERSONA NATURAL"/>
    <n v="131197984001"/>
    <s v="NO APLICA"/>
    <s v="NO APLICA"/>
    <s v="DATO PENDIENTE"/>
    <s v="DATO PENDIENTE"/>
    <m/>
    <n v="17000"/>
    <n v="0"/>
    <n v="17683.103999999999"/>
    <n v="683.09999999999854"/>
    <n v="18366.203999999998"/>
    <n v="0.12"/>
    <n v="2121.9724799999999"/>
    <n v="81.971999999999824"/>
    <n v="20570.14848"/>
    <n v="17683.099999999999"/>
    <n v="0"/>
    <m/>
    <m/>
    <n v="17683.103999999999"/>
    <m/>
    <n v="17683.103999999999"/>
    <m/>
    <m/>
    <m/>
    <m/>
    <m/>
    <m/>
    <m/>
    <m/>
    <m/>
    <m/>
    <m/>
    <m/>
    <m/>
    <m/>
    <n v="-683.10399999999936"/>
    <n v="-683.10399999999936"/>
    <m/>
    <s v="NO APLICA"/>
    <s v="NO APLICA"/>
    <m/>
    <m/>
    <m/>
    <m/>
    <m/>
    <m/>
    <m/>
    <m/>
    <m/>
    <m/>
    <m/>
    <m/>
    <s v="NO APLICA"/>
    <m/>
    <m/>
    <m/>
    <d v="2016-08-08T00:00:00"/>
    <s v="NO APLICA"/>
    <s v="NO APLICA"/>
    <s v="NO APLICA"/>
    <m/>
    <m/>
    <m/>
    <m/>
    <m/>
    <m/>
    <m/>
    <m/>
    <m/>
    <m/>
    <m/>
    <m/>
    <m/>
    <m/>
    <s v="NO APLICA"/>
    <s v="NO APLICA"/>
    <s v="NO APLICA"/>
    <m/>
    <m/>
    <s v="Pago 1/3"/>
    <d v="2017-04-07T00:00:00"/>
    <n v="11788.72"/>
    <m/>
    <m/>
    <m/>
    <m/>
    <m/>
    <m/>
    <m/>
    <m/>
    <m/>
    <m/>
    <m/>
    <m/>
    <m/>
    <m/>
    <m/>
    <m/>
    <m/>
    <m/>
    <m/>
    <m/>
    <m/>
    <m/>
    <m/>
    <m/>
    <n v="11788.72"/>
    <m/>
    <m/>
    <m/>
    <m/>
    <m/>
    <m/>
    <m/>
    <n v="180"/>
    <s v="NOTIFICACIÓN DEL ADMINISTRADOR"/>
    <s v="DATO PENDIENTE"/>
    <s v="DATO PENDIENTE"/>
    <m/>
    <m/>
    <m/>
    <m/>
    <m/>
    <m/>
    <m/>
    <m/>
    <m/>
    <m/>
    <m/>
    <m/>
    <m/>
    <m/>
    <m/>
    <m/>
    <m/>
    <m/>
    <m/>
    <m/>
    <m/>
    <m/>
    <m/>
    <m/>
    <m/>
    <m/>
    <m/>
    <m/>
    <m/>
    <m/>
    <m/>
    <m/>
    <m/>
    <m/>
    <m/>
    <m/>
    <n v="0.6"/>
    <n v="0.6"/>
    <n v="0.6"/>
    <n v="0.6"/>
    <n v="1"/>
    <n v="1"/>
    <n v="1"/>
    <n v="1"/>
    <n v="1"/>
    <n v="1"/>
    <n v="1"/>
    <n v="1"/>
    <n v="1"/>
    <n v="1"/>
    <n v="1"/>
    <n v="1"/>
    <n v="1"/>
    <n v="1"/>
    <n v="1"/>
    <n v="1"/>
    <x v="0"/>
    <n v="1"/>
    <n v="1"/>
    <n v="1"/>
    <x v="0"/>
    <s v="no"/>
    <s v="si"/>
    <s v="si"/>
    <s v="si"/>
    <s v="si"/>
    <s v="si"/>
    <s v="si"/>
    <x v="0"/>
    <s v="si"/>
    <s v="si"/>
    <s v="si"/>
    <m/>
    <m/>
    <m/>
    <m/>
    <m/>
    <m/>
    <m/>
    <m/>
    <m/>
    <m/>
    <m/>
    <m/>
    <m/>
    <m/>
  </r>
  <r>
    <x v="18"/>
    <s v="CONSULTORIA INDIVIDUAL"/>
    <x v="0"/>
    <s v="Proyectos de expansión y refuerzo en el Sistema Nacional de Distribución"/>
    <x v="0"/>
    <x v="7"/>
    <x v="0"/>
    <s v="GUAYAS"/>
    <x v="74"/>
    <n v="7"/>
    <x v="0"/>
    <s v="BID2-RSND-CNELSTE-FI-CI-003"/>
    <s v=" FISCALIZACIÓN REPOTENCIACIÓN DE 31,9 KM DE REDES ABIERTAS A PREENSAMBLADAS Y 16 TRANSFORMADORES DE DISTRIBUCIÓN POR DIVISIÓN DE CIRCUITOS -DIVISIÓN PLAYAS"/>
    <m/>
    <s v="CCIN"/>
    <s v="ex-post"/>
    <s v="EJECUTADO EE"/>
    <m/>
    <m/>
    <m/>
    <m/>
    <m/>
    <s v="NO APLICA"/>
    <s v="NO APLICA"/>
    <m/>
    <m/>
    <m/>
    <n v="20000"/>
    <n v="0"/>
    <n v="24221.452566326301"/>
    <n v="0"/>
    <n v="24221.452566326301"/>
    <n v="0.12"/>
    <n v="2906.5743079591562"/>
    <n v="0"/>
    <n v="27128.026874285461"/>
    <n v="0"/>
    <n v="20000"/>
    <m/>
    <m/>
    <n v="24221.452566326258"/>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n v="1"/>
    <n v="1"/>
    <n v="1"/>
    <n v="1"/>
    <n v="1"/>
    <n v="1"/>
    <n v="1"/>
    <n v="1"/>
    <n v="1"/>
    <n v="1"/>
    <n v="1"/>
    <n v="1"/>
    <n v="1"/>
    <n v="1"/>
    <n v="1"/>
    <n v="1"/>
    <n v="1"/>
    <n v="1"/>
    <n v="1"/>
    <n v="1"/>
    <n v="1"/>
    <n v="1"/>
    <x v="0"/>
    <n v="1"/>
    <n v="1"/>
    <n v="1"/>
    <x v="0"/>
    <s v="no"/>
    <s v="no"/>
    <s v="no"/>
    <s v="no"/>
    <s v="no"/>
    <s v="no"/>
    <s v="no"/>
    <x v="3"/>
    <s v="ee"/>
    <s v="ee"/>
    <s v="ee"/>
    <m/>
    <m/>
    <m/>
    <m/>
    <m/>
    <m/>
    <m/>
    <m/>
    <m/>
    <m/>
    <s v="ESTE PROYECTO YA NO SE EJECUTARÁ POR CUANTO LA OBRA QUE SE PRETENDE FISCALIZAR YA TIENE SUSCRITA EL ACTA DE ENTREGA PROVISIONAL, REFORMA SOLICITUD DE CAMBIOS No. EN BASE A LA SOLICITUD DE LOS OFICIOS No.CNEL-STE-ADM-2016-1110 DEL 11 DE OCTUBRE Y Nro.CNEL-CORP-GG-2016-1001-O DEL 19 DE OCTUBRE DE 2016"/>
    <m/>
    <m/>
    <m/>
  </r>
  <r>
    <x v="18"/>
    <s v="CONSULTORIA INDIVIDUAL"/>
    <x v="0"/>
    <s v="Proyectos de expansión y refuerzo en el Sistema Nacional de Distribución"/>
    <x v="0"/>
    <x v="9"/>
    <x v="0"/>
    <s v="GUAYAS"/>
    <x v="74"/>
    <n v="7"/>
    <x v="0"/>
    <s v="BID2-RSND-CNELSTE-SP-CI-010"/>
    <s v="SUPERVISIÓN REPOTENCIACIÓN DE 31,9 KM DE REDES ABIERTAS A PREENSAMBLADAS Y 16 TRANSFORMADORES DE DISTRIBUCIÓN POR DIVISIÓN DE CIRCUITOS -DIVISIÓN PLAYAS"/>
    <m/>
    <s v="CCIN"/>
    <s v="ex-post"/>
    <s v="EJECUTADO BID"/>
    <s v="BID2-RSND-CNELSTE-SP-CI-010"/>
    <s v="ING. DANIEL EDUARDO CHICA GARCÍA"/>
    <s v="ECUATORIANA"/>
    <s v="PERSONA NATURAL"/>
    <n v="1204753527001"/>
    <s v="NO APLICA"/>
    <s v="NO APLICA"/>
    <m/>
    <m/>
    <m/>
    <n v="9984.52"/>
    <n v="0"/>
    <n v="17902.144800000002"/>
    <n v="7917.619999999999"/>
    <n v="25819.764800000001"/>
    <n v="0.12"/>
    <n v="2148.257376"/>
    <n v="950.11439999999982"/>
    <n v="28918.136576000004"/>
    <n v="17902.14"/>
    <n v="0"/>
    <m/>
    <m/>
    <n v="17902.144800000002"/>
    <m/>
    <n v="17902.144800000002"/>
    <m/>
    <m/>
    <m/>
    <m/>
    <m/>
    <m/>
    <m/>
    <m/>
    <m/>
    <m/>
    <m/>
    <m/>
    <m/>
    <m/>
    <n v="-7917.6248000000014"/>
    <n v="-7917.6248000000014"/>
    <m/>
    <s v="NO APLICA"/>
    <s v="NO APLICA"/>
    <m/>
    <m/>
    <m/>
    <m/>
    <m/>
    <m/>
    <m/>
    <m/>
    <m/>
    <m/>
    <m/>
    <m/>
    <s v="NO APLICA"/>
    <m/>
    <m/>
    <m/>
    <d v="2016-01-20T00:00:00"/>
    <s v="NO APLICA"/>
    <s v="NO APLICA"/>
    <s v="NO APLICA"/>
    <m/>
    <m/>
    <m/>
    <m/>
    <m/>
    <m/>
    <m/>
    <m/>
    <m/>
    <m/>
    <m/>
    <m/>
    <m/>
    <m/>
    <s v="NO APLICA"/>
    <s v="NO APLICA"/>
    <s v="NO APLICA"/>
    <m/>
    <m/>
    <m/>
    <d v="2016-10-30T00:00:00"/>
    <n v="17902.14"/>
    <m/>
    <m/>
    <m/>
    <m/>
    <m/>
    <m/>
    <m/>
    <m/>
    <m/>
    <m/>
    <m/>
    <m/>
    <m/>
    <m/>
    <m/>
    <m/>
    <m/>
    <m/>
    <m/>
    <m/>
    <m/>
    <m/>
    <m/>
    <m/>
    <n v="17902.14"/>
    <m/>
    <m/>
    <m/>
    <m/>
    <m/>
    <m/>
    <m/>
    <n v="180"/>
    <s v="NOTIFICACIÓN DEL ADMINISTRADOR"/>
    <s v="DATO PENDIENTE"/>
    <s v="DATO PENDIENTE"/>
    <m/>
    <m/>
    <m/>
    <m/>
    <m/>
    <m/>
    <m/>
    <m/>
    <m/>
    <m/>
    <m/>
    <m/>
    <m/>
    <m/>
    <m/>
    <m/>
    <m/>
    <m/>
    <m/>
    <m/>
    <m/>
    <m/>
    <m/>
    <m/>
    <m/>
    <m/>
    <m/>
    <m/>
    <m/>
    <m/>
    <m/>
    <m/>
    <m/>
    <m/>
    <n v="1"/>
    <n v="1"/>
    <n v="1"/>
    <n v="1"/>
    <n v="1"/>
    <n v="1"/>
    <n v="1"/>
    <n v="1"/>
    <n v="1"/>
    <n v="1"/>
    <n v="1"/>
    <n v="1"/>
    <n v="1"/>
    <n v="1"/>
    <n v="1"/>
    <n v="1"/>
    <n v="1"/>
    <n v="1"/>
    <n v="1"/>
    <n v="1"/>
    <n v="1"/>
    <n v="1"/>
    <x v="0"/>
    <n v="1"/>
    <n v="1"/>
    <n v="1"/>
    <x v="0"/>
    <s v="si"/>
    <s v="si"/>
    <s v="si"/>
    <s v="si"/>
    <s v="si"/>
    <s v="si"/>
    <s v="si"/>
    <x v="0"/>
    <s v="si"/>
    <s v="si"/>
    <s v="si"/>
    <m/>
    <m/>
    <m/>
    <m/>
    <m/>
    <m/>
    <m/>
    <m/>
    <m/>
    <m/>
    <m/>
    <m/>
    <m/>
    <m/>
  </r>
  <r>
    <x v="2"/>
    <s v="CONSULTORIA INDIVIDUAL"/>
    <x v="0"/>
    <s v="Proyectos de expansión y refuerzo en el Sistema Nacional de Distribución"/>
    <x v="0"/>
    <x v="9"/>
    <x v="0"/>
    <s v="SUCUMBIOS"/>
    <x v="84"/>
    <n v="7"/>
    <x v="0"/>
    <s v="BID2-RSND-CNELSUC-SP-CI-010"/>
    <s v="SUPERVISOR DE LOS PROCESOS (REFORZAMIENTO DE REDES RED TRIFASICA TARAPOA-LA “Y” DE CUYABENO, REFORZAMIENTO DE REDES EN EL SECTOR DE PACAYACU – LA GUARAPERA Y REFORZAMIENTO DE REDES EN  LAS COMUNIDADES AKISUYO, AKSIR, RUMPIPAMBA)"/>
    <m/>
    <s v="CCIN"/>
    <s v="ex-post"/>
    <s v="EJECUTADO EE"/>
    <m/>
    <m/>
    <m/>
    <m/>
    <m/>
    <s v="NO APLICA"/>
    <s v="NO APLICA"/>
    <m/>
    <m/>
    <m/>
    <n v="0"/>
    <n v="0"/>
    <m/>
    <n v="0"/>
    <n v="0"/>
    <n v="0.12"/>
    <n v="0"/>
    <n v="0"/>
    <n v="0"/>
    <m/>
    <m/>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n v="1"/>
    <n v="1"/>
    <n v="1"/>
    <n v="1"/>
    <n v="1"/>
    <n v="1"/>
    <n v="1"/>
    <n v="1"/>
    <n v="1"/>
    <n v="1"/>
    <n v="1"/>
    <n v="1"/>
    <n v="1"/>
    <n v="1"/>
    <n v="1"/>
    <n v="1"/>
    <n v="1"/>
    <n v="1"/>
    <n v="1"/>
    <n v="1"/>
    <n v="1"/>
    <n v="1"/>
    <x v="0"/>
    <n v="1"/>
    <n v="1"/>
    <n v="1"/>
    <x v="0"/>
    <s v="no"/>
    <s v="no"/>
    <s v="no"/>
    <s v="no"/>
    <s v="no"/>
    <s v="no"/>
    <s v="no"/>
    <x v="1"/>
    <s v="no"/>
    <s v="no"/>
    <s v="no"/>
    <m/>
    <m/>
    <m/>
    <m/>
    <m/>
    <m/>
    <m/>
    <m/>
    <m/>
    <m/>
    <s v="REAPERTURA DEL PROCESO BID2-RSND-CNELSTE-SP-CI-005, FORMULARIO DE CONTROL DE CAMBIOS, SOLICITUD No.3 DEL 06.ENE.2016. FISCALIZACIÓN CON PERSONAL PROPIO DE CNELSUC, FORMULARIO DE CONTROL DE CAMBIOS, SOLICITUD No.6 DEL 20.JUL.2016."/>
    <m/>
    <m/>
    <m/>
  </r>
  <r>
    <x v="2"/>
    <s v="CONSULTORIA INDIVIDUAL"/>
    <x v="0"/>
    <s v="Proyectos de expansión y refuerzo en el Sistema Nacional de Distribución"/>
    <x v="0"/>
    <x v="9"/>
    <x v="0"/>
    <s v="SUCUMBIOS"/>
    <x v="81"/>
    <n v="4"/>
    <x v="0"/>
    <s v="BID2-RSND-CNELSUC-SP-CI-010"/>
    <s v="SUPERVISOR DE LOS PROCESOS (REFORZAMIENTO DE REDES RED TRIFASICA TARAPOA-LA “Y” DE CUYABENO, REFORZAMIENTO DE REDES EN EL SECTOR DE PACAYACU – LA GUARAPERA Y REFORZAMIENTO DE REDES EN  LAS COMUNIDADES AKISUYO, AKSIR, RUMPIPAMBA)(1)"/>
    <m/>
    <s v="CCIN"/>
    <s v="ex-post"/>
    <s v="EJECUTADO EE"/>
    <m/>
    <m/>
    <m/>
    <m/>
    <m/>
    <s v="NO APLICA"/>
    <s v="NO APLICA"/>
    <m/>
    <m/>
    <m/>
    <n v="0"/>
    <n v="0"/>
    <m/>
    <n v="0"/>
    <n v="0"/>
    <n v="0.12"/>
    <n v="0"/>
    <n v="0"/>
    <n v="0"/>
    <m/>
    <m/>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n v="1"/>
    <n v="1"/>
    <n v="1"/>
    <n v="1"/>
    <n v="1"/>
    <n v="1"/>
    <n v="1"/>
    <n v="1"/>
    <n v="1"/>
    <n v="1"/>
    <n v="1"/>
    <n v="1"/>
    <n v="1"/>
    <n v="1"/>
    <n v="1"/>
    <n v="1"/>
    <n v="1"/>
    <n v="1"/>
    <n v="1"/>
    <n v="1"/>
    <n v="1"/>
    <n v="1"/>
    <x v="0"/>
    <n v="1"/>
    <n v="1"/>
    <n v="1"/>
    <x v="0"/>
    <s v="no"/>
    <s v="no"/>
    <s v="no"/>
    <s v="no"/>
    <s v="no"/>
    <s v="no"/>
    <s v="no"/>
    <x v="1"/>
    <s v="no"/>
    <s v="no"/>
    <s v="no"/>
    <m/>
    <m/>
    <m/>
    <m/>
    <m/>
    <m/>
    <m/>
    <m/>
    <m/>
    <m/>
    <s v="REAPERTURA DEL PROCESO BID2-RSND-CNELSTE-SP-CI-005, FORMULARIO DE CONTROL DE CAMBIOS, SOLICITUD No.3 DEL 06.ENE.2016. FISCALIZACIÓN CON PERSONAL PROPIO DE CNELSUC, FORMULARIO DE CONTROL DE CAMBIOS, SOLICITUD No.6 DEL 20.JUL.2016."/>
    <m/>
    <m/>
    <m/>
  </r>
  <r>
    <x v="2"/>
    <s v="CONSULTORIA INDIVIDUAL"/>
    <x v="0"/>
    <s v="Proyectos de expansión y refuerzo en el Sistema Nacional de Distribución"/>
    <x v="0"/>
    <x v="9"/>
    <x v="0"/>
    <s v="SUCUMBIOS"/>
    <x v="82"/>
    <n v="5"/>
    <x v="0"/>
    <s v="BID2-RSND-CNELSUC-SP-CI-010"/>
    <s v="SUPERVISOR DE LOS PROCESOS (REFORZAMIENTO DE REDES RED TRIFASICA TARAPOA-LA “Y” DE CUYABENO, REFORZAMIENTO DE REDES EN EL SECTOR DE PACAYACU – LA GUARAPERA Y REFORZAMIENTO DE REDES EN  LAS COMUNIDADES AKISUYO, AKSIR, RUMPIPAMBA) (2)"/>
    <m/>
    <s v="CCIN"/>
    <s v="ex-post"/>
    <s v="EJECUTADO EE"/>
    <m/>
    <m/>
    <m/>
    <m/>
    <m/>
    <s v="NO APLICA"/>
    <s v="NO APLICA"/>
    <m/>
    <m/>
    <m/>
    <n v="0"/>
    <n v="0"/>
    <m/>
    <n v="0"/>
    <n v="0"/>
    <n v="0.12"/>
    <n v="0"/>
    <n v="0"/>
    <n v="0"/>
    <m/>
    <m/>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n v="1"/>
    <n v="1"/>
    <n v="1"/>
    <n v="1"/>
    <n v="1"/>
    <n v="1"/>
    <n v="1"/>
    <n v="1"/>
    <n v="1"/>
    <n v="1"/>
    <n v="1"/>
    <n v="1"/>
    <n v="1"/>
    <n v="1"/>
    <n v="1"/>
    <n v="1"/>
    <n v="1"/>
    <n v="1"/>
    <n v="1"/>
    <n v="1"/>
    <n v="1"/>
    <n v="1"/>
    <x v="0"/>
    <n v="1"/>
    <n v="1"/>
    <n v="1"/>
    <x v="0"/>
    <s v="no"/>
    <s v="no"/>
    <s v="no"/>
    <s v="no"/>
    <s v="no"/>
    <s v="no"/>
    <s v="no"/>
    <x v="1"/>
    <s v="no"/>
    <s v="no"/>
    <s v="no"/>
    <m/>
    <m/>
    <m/>
    <m/>
    <m/>
    <m/>
    <m/>
    <m/>
    <m/>
    <m/>
    <s v="REAPERTURA DEL PROCESO BID2-RSND-CNELSTE-SP-CI-005, FORMULARIO DE CONTROL DE CAMBIOS, SOLICITUD No.3 DEL 06.ENE.2016. FISCALIZACIÓN CON PERSONAL PROPIO DE CNELSUC, FORMULARIO DE CONTROL DE CAMBIOS, SOLICITUD No.6 DEL 20.JUL.2016."/>
    <m/>
    <m/>
    <m/>
  </r>
  <r>
    <x v="2"/>
    <s v="CONSULTORIA INDIVIDUAL"/>
    <x v="0"/>
    <s v="Proyectos de expansión y refuerzo en el Sistema Nacional de Distribución"/>
    <x v="0"/>
    <x v="7"/>
    <x v="0"/>
    <s v="SUCUMBIOS"/>
    <x v="81"/>
    <n v="4"/>
    <x v="0"/>
    <s v="BID2-RSND-CNELSUC-FI-CI-007"/>
    <s v="FISCALIZACIÓN DE LOS PROCESOS (REFORZAMIENTO DE REDES RED TRIFASICA TARAPOA-LA “Y” DE CUYABENO, REFORZAMIENTO DE REDES EN EL SECTOR DE PACAYACU - LA GUARAPERA ) (1)"/>
    <m/>
    <s v="CCIN"/>
    <s v="ex-post"/>
    <s v="EJECUTADO EE"/>
    <m/>
    <m/>
    <m/>
    <m/>
    <m/>
    <s v="NO APLICA"/>
    <s v="NO APLICA"/>
    <m/>
    <m/>
    <m/>
    <n v="0"/>
    <n v="0"/>
    <m/>
    <n v="0"/>
    <n v="0"/>
    <n v="0.12"/>
    <n v="0"/>
    <n v="0"/>
    <n v="0"/>
    <m/>
    <m/>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n v="1"/>
    <n v="1"/>
    <n v="1"/>
    <n v="1"/>
    <n v="1"/>
    <n v="1"/>
    <n v="1"/>
    <n v="1"/>
    <n v="1"/>
    <n v="1"/>
    <n v="1"/>
    <n v="1"/>
    <n v="1"/>
    <n v="1"/>
    <n v="1"/>
    <n v="1"/>
    <n v="1"/>
    <n v="1"/>
    <n v="1"/>
    <n v="1"/>
    <n v="1"/>
    <n v="1"/>
    <x v="0"/>
    <n v="1"/>
    <n v="1"/>
    <n v="1"/>
    <x v="0"/>
    <s v="no"/>
    <s v="no"/>
    <s v="no"/>
    <s v="no"/>
    <s v="no"/>
    <s v="no"/>
    <s v="no"/>
    <x v="1"/>
    <s v="no"/>
    <s v="no"/>
    <s v="no"/>
    <m/>
    <m/>
    <m/>
    <m/>
    <m/>
    <m/>
    <m/>
    <m/>
    <m/>
    <m/>
    <s v="REAPERTURA DEL PROCESO BID2-RSND-CNELSUC-FI-CI-002,  FORMULARIO DE CONTROL DE CAMBIOS, SOLICITUD No.3 DEL 06.ENE.2016. FISCALIZACIÓN CON PERSONAL PROPIO DE CNELSUC, FORMULARIO DE CONTROL DE CAMBIOS, SOLICITUD No.6 DEL 20.JUL.2016."/>
    <m/>
    <m/>
    <m/>
  </r>
  <r>
    <x v="2"/>
    <s v="CONSULTORIA INDIVIDUAL"/>
    <x v="0"/>
    <s v="Proyectos de expansión y refuerzo en el Sistema Nacional de Distribución"/>
    <x v="0"/>
    <x v="7"/>
    <x v="0"/>
    <s v="SUCUMBIOS"/>
    <x v="82"/>
    <n v="5"/>
    <x v="0"/>
    <s v="BID2-RSND-CNELSUC-FI-CI-007"/>
    <s v="FISCALIZACIÓN DE LOS PROCESOS (REFORZAMIENTO DE REDES RED TRIFASICA TARAPOA-LA “Y” DE CUYABENO, REFORZAMIENTO DE REDES EN EL SECTOR DE PACAYACU - LA GUARAPERA ) (2)"/>
    <m/>
    <s v="CCIN"/>
    <s v="ex-post"/>
    <s v="EJECUTADO EE"/>
    <m/>
    <m/>
    <m/>
    <m/>
    <m/>
    <s v="NO APLICA"/>
    <s v="NO APLICA"/>
    <m/>
    <m/>
    <m/>
    <n v="0"/>
    <n v="0"/>
    <m/>
    <n v="0"/>
    <n v="0"/>
    <n v="0.12"/>
    <n v="0"/>
    <n v="0"/>
    <n v="0"/>
    <m/>
    <m/>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n v="1"/>
    <n v="1"/>
    <n v="1"/>
    <n v="1"/>
    <n v="1"/>
    <n v="1"/>
    <n v="1"/>
    <n v="1"/>
    <n v="1"/>
    <n v="1"/>
    <n v="1"/>
    <n v="1"/>
    <n v="1"/>
    <n v="1"/>
    <n v="1"/>
    <n v="1"/>
    <n v="1"/>
    <n v="1"/>
    <n v="1"/>
    <n v="1"/>
    <n v="1"/>
    <n v="1"/>
    <x v="0"/>
    <n v="1"/>
    <n v="1"/>
    <n v="1"/>
    <x v="0"/>
    <s v="no"/>
    <s v="no"/>
    <s v="no"/>
    <s v="no"/>
    <s v="no"/>
    <s v="no"/>
    <s v="no"/>
    <x v="1"/>
    <s v="no"/>
    <s v="no"/>
    <s v="no"/>
    <m/>
    <m/>
    <m/>
    <m/>
    <m/>
    <m/>
    <m/>
    <m/>
    <m/>
    <m/>
    <s v="REAPERTURA DEL PROCESO BID2-RSND-CNELSUC-FI-CI-002,  FORMULARIO DE CONTROL DE CAMBIOS, SOLICITUD No.3 DEL 06.ENE.2016. FISCALIZACIÓN CON PERSONAL PROPIO DE CNELSUC, FORMULARIO DE CONTROL DE CAMBIOS, SOLICITUD No.6 DEL 20.JUL.2016."/>
    <m/>
    <m/>
    <m/>
  </r>
  <r>
    <x v="2"/>
    <s v="CONSULTORIA INDIVIDUAL"/>
    <x v="0"/>
    <s v="Proyectos de expansión y refuerzo en el Sistema Nacional de Distribución"/>
    <x v="3"/>
    <x v="9"/>
    <x v="1"/>
    <s v="ORELLANA"/>
    <x v="80"/>
    <n v="3"/>
    <x v="0"/>
    <s v="BID2-RSND-CNELSUC-SP-CI-009"/>
    <s v="SUPERVISOR DE LOS PROCESOS: (REPOTENCIACIÓN LINEA DE SUBTRANSMISIÓN SACHA-ORELLANA 27 KM; INTERCONEXIÓN S/E TRANSELECTRIC JIVINO; APERTURA DE LA LÍNEA DE SUBTRANSMISIÓN JIVINO-LAGO AGRIO y REPOTENCIACIÓN DE LA RED DE MEDIA Y BAJA TENSIÓN ALIMENTADOR COCA 3)"/>
    <m/>
    <s v="CCIN"/>
    <s v="ex-post"/>
    <s v="EJECUTADO EE"/>
    <m/>
    <m/>
    <m/>
    <m/>
    <m/>
    <s v="NO APLICA"/>
    <s v="NO APLICA"/>
    <m/>
    <m/>
    <m/>
    <n v="0"/>
    <n v="0"/>
    <m/>
    <n v="0"/>
    <n v="0"/>
    <n v="0.12"/>
    <n v="0"/>
    <n v="0"/>
    <n v="0"/>
    <m/>
    <m/>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m/>
    <m/>
    <m/>
    <n v="1"/>
    <n v="1"/>
    <n v="1"/>
    <n v="1"/>
    <n v="1"/>
    <n v="1"/>
    <n v="1"/>
    <n v="1"/>
    <n v="1"/>
    <n v="1"/>
    <n v="1"/>
    <n v="1"/>
    <n v="1"/>
    <n v="1"/>
    <n v="1"/>
    <n v="1"/>
    <n v="1"/>
    <n v="1"/>
    <n v="1"/>
    <x v="0"/>
    <n v="1"/>
    <n v="1"/>
    <n v="1"/>
    <x v="0"/>
    <s v="no"/>
    <s v="no"/>
    <s v="no"/>
    <s v="no"/>
    <s v="no"/>
    <s v="no"/>
    <s v="no"/>
    <x v="1"/>
    <s v="no"/>
    <s v="no"/>
    <s v="no"/>
    <m/>
    <m/>
    <m/>
    <m/>
    <m/>
    <m/>
    <m/>
    <m/>
    <m/>
    <m/>
    <s v="REAPERTURA DEL PROCESO BID2-RSND-CNELSUC-SP-CI-004, FORMULARIO DE CONTROL DE CAMBIOS, SOLICITUD No.3 DEL 06.ENE.2016. FISCALIZACIÓN CON PERSONAL PROPIO DE CNELSUC, FORMULARIO DE CONTROL DE CAMBIOS, SOLICITUD No.6 DEL 20.JUL.2016."/>
    <m/>
    <m/>
    <m/>
  </r>
  <r>
    <x v="2"/>
    <s v="CONSULTORIA INDIVIDUAL"/>
    <x v="0"/>
    <s v="Proyectos de expansión y refuerzo en el Sistema Nacional de Distribución"/>
    <x v="3"/>
    <x v="9"/>
    <x v="1"/>
    <s v="SUCUMBIOS"/>
    <x v="86"/>
    <n v="9"/>
    <x v="0"/>
    <s v="BID2-RSND-CNELSUC-SP-CI-009"/>
    <m/>
    <m/>
    <s v="CCIN"/>
    <s v="ex-post"/>
    <s v="EJECUTADO EE"/>
    <m/>
    <m/>
    <m/>
    <m/>
    <m/>
    <s v="NO APLICA"/>
    <s v="NO APLICA"/>
    <m/>
    <m/>
    <m/>
    <n v="0"/>
    <n v="0"/>
    <m/>
    <n v="0"/>
    <n v="0"/>
    <n v="0.12"/>
    <n v="0"/>
    <n v="0"/>
    <n v="0"/>
    <m/>
    <m/>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m/>
    <m/>
    <m/>
    <n v="1"/>
    <n v="1"/>
    <n v="1"/>
    <n v="1"/>
    <n v="1"/>
    <n v="1"/>
    <n v="1"/>
    <n v="1"/>
    <n v="1"/>
    <n v="1"/>
    <n v="1"/>
    <n v="1"/>
    <n v="1"/>
    <n v="1"/>
    <n v="1"/>
    <n v="1"/>
    <n v="1"/>
    <n v="1"/>
    <n v="1"/>
    <x v="0"/>
    <n v="1"/>
    <n v="1"/>
    <n v="1"/>
    <x v="0"/>
    <s v="no"/>
    <s v="no"/>
    <s v="no"/>
    <s v="no"/>
    <s v="no"/>
    <s v="no"/>
    <s v="no"/>
    <x v="1"/>
    <s v="no"/>
    <s v="no"/>
    <s v="no"/>
    <m/>
    <m/>
    <m/>
    <m/>
    <m/>
    <m/>
    <m/>
    <m/>
    <m/>
    <m/>
    <s v="REAPERTURA DEL PROCESO BID2-RSND-CNELSUC-SP-CI-004, FORMULARIO DE CONTROL DE CAMBIOS, SOLICITUD No.3 DEL 06.ENE.2016. FISCALIZACIÓN CON PERSONAL PROPIO DE CNELSUC, FORMULARIO DE CONTROL DE CAMBIOS, SOLICITUD No.6 DEL 20.JUL.2016."/>
    <m/>
    <m/>
    <d v="2016-09-23T00:00:00"/>
  </r>
  <r>
    <x v="2"/>
    <s v="CONSULTORIA INDIVIDUAL"/>
    <x v="0"/>
    <s v="Proyectos de expansión y refuerzo en el Sistema Nacional de Distribución"/>
    <x v="3"/>
    <x v="9"/>
    <x v="0"/>
    <s v="SUCUMBIOS"/>
    <x v="86"/>
    <n v="9"/>
    <x v="0"/>
    <s v="BID2-RSND-CNELSUC-SP-CI-009"/>
    <m/>
    <m/>
    <s v="CCIN"/>
    <s v="ex-post"/>
    <s v="EJECUTADO EE"/>
    <m/>
    <m/>
    <m/>
    <m/>
    <m/>
    <s v="NO APLICA"/>
    <s v="NO APLICA"/>
    <m/>
    <m/>
    <m/>
    <n v="0"/>
    <n v="0"/>
    <m/>
    <n v="0"/>
    <n v="0"/>
    <n v="0.12"/>
    <n v="0"/>
    <n v="0"/>
    <n v="0"/>
    <m/>
    <m/>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m/>
    <m/>
    <m/>
    <n v="1"/>
    <n v="1"/>
    <n v="1"/>
    <n v="1"/>
    <n v="1"/>
    <n v="1"/>
    <n v="1"/>
    <n v="1"/>
    <n v="1"/>
    <n v="1"/>
    <n v="1"/>
    <n v="1"/>
    <n v="1"/>
    <n v="1"/>
    <n v="1"/>
    <n v="1"/>
    <n v="1"/>
    <n v="1"/>
    <n v="1"/>
    <x v="0"/>
    <n v="1"/>
    <n v="1"/>
    <n v="1"/>
    <x v="0"/>
    <s v="no"/>
    <s v="no"/>
    <s v="no"/>
    <s v="no"/>
    <s v="no"/>
    <s v="no"/>
    <s v="no"/>
    <x v="1"/>
    <s v="no"/>
    <s v="no"/>
    <s v="no"/>
    <m/>
    <m/>
    <m/>
    <m/>
    <m/>
    <m/>
    <m/>
    <m/>
    <m/>
    <m/>
    <s v="REAPERTURA DEL PROCESO BID2-RSND-CNELSUC-SP-CI-004, FORMULARIO DE CONTROL DE CAMBIOS, SOLICITUD No.3 DEL 06.ENE.2016. FISCALIZACIÓN CON PERSONAL PROPIO DE CNELSUC, FORMULARIO DE CONTROL DE CAMBIOS, SOLICITUD No.6 DEL 20.JUL.2016."/>
    <m/>
    <m/>
    <d v="2016-09-23T00:00:00"/>
  </r>
  <r>
    <x v="2"/>
    <s v="CONSULTORIA INDIVIDUAL"/>
    <x v="0"/>
    <s v="Proyectos de expansión y refuerzo en el Sistema Nacional de Distribución"/>
    <x v="0"/>
    <x v="9"/>
    <x v="0"/>
    <s v="ORELLANA"/>
    <x v="83"/>
    <n v="6"/>
    <x v="0"/>
    <s v="BID2-RSND-CNELSUC-SP-CI-009"/>
    <m/>
    <m/>
    <s v="CCIN"/>
    <s v="ex-post"/>
    <s v="EJECUTADO EE"/>
    <m/>
    <m/>
    <m/>
    <m/>
    <m/>
    <s v="NO APLICA"/>
    <s v="NO APLICA"/>
    <m/>
    <m/>
    <m/>
    <n v="0"/>
    <n v="0"/>
    <m/>
    <n v="0"/>
    <n v="0"/>
    <n v="0.12"/>
    <n v="0"/>
    <n v="0"/>
    <n v="0"/>
    <m/>
    <m/>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m/>
    <m/>
    <m/>
    <n v="1"/>
    <n v="1"/>
    <n v="1"/>
    <n v="1"/>
    <n v="1"/>
    <n v="1"/>
    <n v="1"/>
    <n v="1"/>
    <n v="1"/>
    <n v="1"/>
    <n v="1"/>
    <n v="1"/>
    <n v="1"/>
    <n v="1"/>
    <n v="1"/>
    <n v="1"/>
    <n v="1"/>
    <n v="1"/>
    <n v="1"/>
    <x v="0"/>
    <n v="1"/>
    <n v="1"/>
    <n v="1"/>
    <x v="0"/>
    <s v="no"/>
    <s v="no"/>
    <s v="no"/>
    <s v="no"/>
    <s v="no"/>
    <s v="no"/>
    <s v="no"/>
    <x v="1"/>
    <s v="no"/>
    <s v="no"/>
    <s v="no"/>
    <m/>
    <m/>
    <m/>
    <m/>
    <m/>
    <m/>
    <m/>
    <m/>
    <m/>
    <m/>
    <s v="REAPERTURA DEL PROCESO BID2-RSND-CNELSUC-SP-CI-004, FORMULARIO DE CONTROL DE CAMBIOS, SOLICITUD No.3 DEL 06.ENE.2016. FISCALIZACIÓN CON PERSONAL PROPIO DE CNELSUC, FORMULARIO DE CONTROL DE CAMBIOS, SOLICITUD No.6 DEL 20.JUL.2016."/>
    <m/>
    <m/>
    <m/>
  </r>
  <r>
    <x v="2"/>
    <s v="CONSULTORIA INDIVIDUAL"/>
    <x v="0"/>
    <s v="Proyectos de expansión y refuerzo en el Sistema Nacional de Distribución"/>
    <x v="3"/>
    <x v="7"/>
    <x v="1"/>
    <s v="ORELLANA"/>
    <x v="80"/>
    <n v="3"/>
    <x v="0"/>
    <s v="BID2-RSND-CNELSUC-FI-CI-001"/>
    <s v="FISCALIZACIÓN DE LOS PROCESOS: (REPOTENCIACIÓN LINEA DE SUBTRANSMISIÓN SACHA-ORELLANA; INTERCONEXIÓN S/E TRANSELECTRIC JIVINO; APERTURA DE LA LÍNEA DE SUBTRANSMISIÓN JIVINO-LAGO AGRIO) (1)"/>
    <m/>
    <s v="CCIN"/>
    <s v="ex-post"/>
    <s v="EJECUTADO EE"/>
    <m/>
    <m/>
    <m/>
    <m/>
    <m/>
    <s v="NO APLICA"/>
    <s v="NO APLICA"/>
    <m/>
    <m/>
    <m/>
    <n v="0"/>
    <n v="0"/>
    <m/>
    <n v="0"/>
    <n v="0"/>
    <n v="0.12"/>
    <n v="0"/>
    <n v="0"/>
    <n v="0"/>
    <m/>
    <m/>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m/>
    <m/>
    <m/>
    <n v="1"/>
    <n v="1"/>
    <n v="1"/>
    <n v="1"/>
    <n v="1"/>
    <n v="1"/>
    <n v="1"/>
    <n v="1"/>
    <n v="1"/>
    <n v="1"/>
    <n v="1"/>
    <n v="1"/>
    <n v="1"/>
    <n v="1"/>
    <n v="1"/>
    <n v="1"/>
    <n v="1"/>
    <n v="1"/>
    <n v="1"/>
    <x v="0"/>
    <n v="1"/>
    <n v="1"/>
    <n v="1"/>
    <x v="0"/>
    <s v="no"/>
    <s v="no"/>
    <s v="no"/>
    <s v="no"/>
    <s v="no"/>
    <s v="no"/>
    <s v="no"/>
    <x v="1"/>
    <s v="no"/>
    <s v="no"/>
    <s v="no"/>
    <m/>
    <m/>
    <m/>
    <m/>
    <m/>
    <m/>
    <m/>
    <m/>
    <m/>
    <m/>
    <s v="FISCALIZACIÓN CON PERSONAL PROPIO DE CNELSUC, FORMULARIO DE CONTROL DE CAMBIOS, SOLICITUD No.6 DEL 20.JUL.2016."/>
    <m/>
    <m/>
    <m/>
  </r>
  <r>
    <x v="2"/>
    <s v="CONSULTORIA INDIVIDUAL"/>
    <x v="0"/>
    <s v="Proyectos de expansión y refuerzo en el Sistema Nacional de Distribución"/>
    <x v="3"/>
    <x v="7"/>
    <x v="1"/>
    <s v="SUCUMBIOS"/>
    <x v="86"/>
    <n v="9"/>
    <x v="0"/>
    <s v="BID2-RSND-CNELSUC-FI-CI-001"/>
    <s v="FISCALIZACIÓN DE LOS PROCESOS: (REPOTENCIACIÓN LINEA DE SUBTRANSMISIÓN SACHA-ORELLANA; INTERCONEXIÓN S/E TRANSELECTRIC JIVINO; APERTURA DE LA LÍNEA DE SUBTRANSMISIÓN JIVINO-LAGO AGRIO) (2)"/>
    <m/>
    <s v="CCIN"/>
    <s v="ex-post"/>
    <s v="EJECUTADO EE"/>
    <m/>
    <m/>
    <m/>
    <m/>
    <m/>
    <s v="NO APLICA"/>
    <s v="NO APLICA"/>
    <m/>
    <m/>
    <m/>
    <n v="0"/>
    <n v="0"/>
    <m/>
    <n v="0"/>
    <n v="0"/>
    <n v="0.12"/>
    <n v="0"/>
    <n v="0"/>
    <n v="0"/>
    <m/>
    <m/>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m/>
    <m/>
    <m/>
    <n v="1"/>
    <n v="1"/>
    <n v="1"/>
    <n v="1"/>
    <n v="1"/>
    <n v="1"/>
    <n v="1"/>
    <n v="1"/>
    <n v="1"/>
    <n v="1"/>
    <n v="1"/>
    <n v="1"/>
    <n v="1"/>
    <n v="1"/>
    <n v="1"/>
    <n v="1"/>
    <n v="1"/>
    <n v="1"/>
    <n v="1"/>
    <x v="0"/>
    <n v="1"/>
    <n v="1"/>
    <n v="1"/>
    <x v="0"/>
    <s v="no"/>
    <s v="no"/>
    <s v="no"/>
    <s v="no"/>
    <s v="no"/>
    <s v="no"/>
    <s v="no"/>
    <x v="1"/>
    <s v="no"/>
    <s v="no"/>
    <s v="no"/>
    <m/>
    <m/>
    <m/>
    <m/>
    <m/>
    <m/>
    <m/>
    <m/>
    <m/>
    <m/>
    <s v="FISCALIZACIÓN CON PERSONAL PROPIO DE CNELSUC, FORMULARIO DE CONTROL DE CAMBIOS, SOLICITUD No.6 DEL 20.JUL.2016."/>
    <m/>
    <m/>
    <d v="2016-09-23T00:00:00"/>
  </r>
  <r>
    <x v="2"/>
    <s v="CONSULTORIA INDIVIDUAL"/>
    <x v="0"/>
    <s v="Proyectos de expansión y refuerzo en el Sistema Nacional de Distribución"/>
    <x v="0"/>
    <x v="7"/>
    <x v="0"/>
    <s v="SUCUMBIOS"/>
    <x v="84"/>
    <n v="7"/>
    <x v="0"/>
    <s v="BID2-RSND-CNELSUC-FI-CI-008"/>
    <s v="FISCALIZACIÓN DE LOS PROCESOS: (REPOTENCIACIÓN DE LA RED DE MEDIA Y BAJA TENSIÓN ALIMENTADOR COCA 3,  REFORZAMIENTO DE REDES EN  LAS COMUNIDADES AKISUYO, AKSIR, RUMPIPAMBA.)"/>
    <m/>
    <s v="CCIN"/>
    <s v="ex-post"/>
    <s v="EJECUTADO EE"/>
    <m/>
    <m/>
    <m/>
    <m/>
    <m/>
    <s v="NO APLICA"/>
    <s v="NO APLICA"/>
    <m/>
    <m/>
    <m/>
    <n v="0"/>
    <n v="0"/>
    <m/>
    <n v="0"/>
    <n v="0"/>
    <n v="0.12"/>
    <n v="0"/>
    <n v="0"/>
    <n v="0"/>
    <m/>
    <m/>
    <m/>
    <m/>
    <m/>
    <m/>
    <m/>
    <m/>
    <m/>
    <m/>
    <m/>
    <m/>
    <m/>
    <m/>
    <m/>
    <m/>
    <m/>
    <m/>
    <m/>
    <m/>
    <m/>
    <m/>
    <n v="0"/>
    <m/>
    <m/>
    <s v="NO APLICA"/>
    <m/>
    <m/>
    <m/>
    <m/>
    <m/>
    <m/>
    <m/>
    <m/>
    <m/>
    <m/>
    <m/>
    <m/>
    <m/>
    <m/>
    <m/>
    <m/>
    <m/>
    <s v="NO APLICA"/>
    <s v="NO APLICA"/>
    <s v="NO APLICA"/>
    <m/>
    <m/>
    <m/>
    <m/>
    <m/>
    <m/>
    <m/>
    <m/>
    <m/>
    <m/>
    <m/>
    <m/>
    <m/>
    <m/>
    <s v="NO APLICA"/>
    <s v="NO APLICA"/>
    <s v="NO APLICA"/>
    <m/>
    <m/>
    <m/>
    <m/>
    <m/>
    <m/>
    <m/>
    <m/>
    <m/>
    <m/>
    <m/>
    <m/>
    <m/>
    <m/>
    <m/>
    <m/>
    <m/>
    <m/>
    <m/>
    <m/>
    <m/>
    <m/>
    <m/>
    <m/>
    <m/>
    <m/>
    <m/>
    <m/>
    <m/>
    <n v="0"/>
    <m/>
    <m/>
    <m/>
    <m/>
    <m/>
    <m/>
    <m/>
    <m/>
    <m/>
    <m/>
    <m/>
    <m/>
    <m/>
    <m/>
    <m/>
    <m/>
    <m/>
    <m/>
    <m/>
    <m/>
    <m/>
    <m/>
    <m/>
    <m/>
    <m/>
    <m/>
    <m/>
    <m/>
    <m/>
    <m/>
    <m/>
    <m/>
    <m/>
    <m/>
    <m/>
    <m/>
    <m/>
    <m/>
    <m/>
    <m/>
    <m/>
    <m/>
    <m/>
    <m/>
    <m/>
    <m/>
    <m/>
    <m/>
    <n v="1"/>
    <n v="1"/>
    <n v="1"/>
    <n v="1"/>
    <n v="1"/>
    <n v="1"/>
    <n v="1"/>
    <n v="1"/>
    <n v="1"/>
    <n v="1"/>
    <n v="1"/>
    <n v="1"/>
    <n v="1"/>
    <n v="1"/>
    <n v="1"/>
    <n v="1"/>
    <n v="1"/>
    <n v="1"/>
    <n v="1"/>
    <x v="0"/>
    <n v="1"/>
    <n v="1"/>
    <n v="1"/>
    <x v="0"/>
    <s v="no"/>
    <s v="no"/>
    <s v="no"/>
    <s v="no"/>
    <s v="no"/>
    <s v="no"/>
    <s v="no"/>
    <x v="1"/>
    <s v="no"/>
    <s v="no"/>
    <s v="no"/>
    <m/>
    <m/>
    <m/>
    <m/>
    <m/>
    <m/>
    <m/>
    <m/>
    <m/>
    <m/>
    <s v="REAPERTURA DEL PROCESO BID2-RSND-CNELSUC-FI-CI-003, FORMULARIO DE CONTROL DE CAMBIOS, SOLICITUD No.3 DEL 06.ENE.2016. FISCALIZACIÓN CON PERSONAL PROPIO DE CNELSUC, FORMULARIO DE CONTROL DE CAMBIOS, SOLICITUD No.6 DEL 20.JUL.2016."/>
    <m/>
    <m/>
    <m/>
  </r>
  <r>
    <x v="2"/>
    <s v="CONSULTORIA INDIVIDUAL"/>
    <x v="0"/>
    <s v="Proyectos de expansión y refuerzo en el Sistema Nacional de Distribución"/>
    <x v="0"/>
    <x v="10"/>
    <x v="0"/>
    <s v="ORELLANA"/>
    <x v="80"/>
    <n v="3"/>
    <x v="0"/>
    <s v="BID2-RSND-CNELSUC-SO-CI-006"/>
    <s v=" SOCIALIZADOR DE LA UNIDAD DE NEGOCIO SUCUMBíOS PARA LOS PROYECTOS DEL PROGRAMA DE REFORZAMIENTO DEL SISTEMA NACIONAL DE DISTRIBUCIÓN (1)"/>
    <m/>
    <s v="CCIN"/>
    <s v="ex-post"/>
    <s v="EJECUTADO BID"/>
    <s v="BID2-RSND-CNELSUC-SO-CI-006"/>
    <s v="CRISTINA ALEXANDRA ULLOA MORENO"/>
    <s v="ECUATORIANA"/>
    <s v="PERSONA NATURAL"/>
    <n v="2100628706001"/>
    <s v="NO APLICA"/>
    <s v="NO APLICA"/>
    <s v="ING. WENDY LEON"/>
    <s v="DATO PENDIENTE"/>
    <n v="10478.870000000001"/>
    <n v="34036.879999999997"/>
    <n v="0"/>
    <n v="34036.879999999997"/>
    <n v="0"/>
    <n v="34036.879999999997"/>
    <n v="0.12"/>
    <n v="4084.4255999999996"/>
    <n v="0"/>
    <n v="38121.3056"/>
    <n v="24000"/>
    <n v="10036.879999999997"/>
    <m/>
    <m/>
    <n v="24000"/>
    <m/>
    <n v="24000"/>
    <n v="0.14000000000000001"/>
    <m/>
    <m/>
    <m/>
    <m/>
    <m/>
    <m/>
    <m/>
    <m/>
    <m/>
    <m/>
    <m/>
    <m/>
    <m/>
    <n v="10036.879999999997"/>
    <n v="10036.879999999997"/>
    <m/>
    <s v="NO APLICA"/>
    <s v="NO APLICA"/>
    <m/>
    <m/>
    <m/>
    <m/>
    <m/>
    <m/>
    <m/>
    <m/>
    <m/>
    <m/>
    <m/>
    <m/>
    <s v="NO APLICA"/>
    <d v="2015-12-07T00:00:00"/>
    <s v="NO APLICA"/>
    <s v="DATO PENDIENTE"/>
    <d v="2016-01-07T00:00:00"/>
    <s v="NO APLICA"/>
    <s v="NO APLICA"/>
    <s v="NO APLICA"/>
    <m/>
    <m/>
    <m/>
    <m/>
    <m/>
    <m/>
    <m/>
    <m/>
    <m/>
    <m/>
    <m/>
    <m/>
    <m/>
    <m/>
    <s v="NO APLICA"/>
    <s v="NO APLICA"/>
    <s v="NO APLICA"/>
    <s v="NO APLICA"/>
    <m/>
    <s v="Pago 1/10 - Planilla 1  12,50%"/>
    <d v="2016-02-11T00:00:00"/>
    <n v="3000"/>
    <s v="Pago 2/10 - Planilla 2  6,05%"/>
    <d v="2016-04-11T00:00:00"/>
    <n v="1451.55"/>
    <s v="Pago 3/10 - Planilla 3  12,50%"/>
    <d v="2016-05-12T00:00:00"/>
    <n v="3000"/>
    <s v="Pago 4/10 - Planilla 4   10,42%"/>
    <d v="2016-08-10T00:00:00"/>
    <n v="2500"/>
    <s v="Pago 5/10 - Planilla 5   12,50%"/>
    <d v="2016-09-07T00:00:00"/>
    <n v="3000"/>
    <s v="Pago 6/10 - Planilla 6   12,50%"/>
    <d v="2016-10-10T00:00:00"/>
    <n v="3000"/>
    <s v="Pago 7/10 - Planilla 7   12,50%"/>
    <d v="2016-11-16T00:00:00"/>
    <n v="3000"/>
    <s v="Pago 8/10 - Planilla 7 13%"/>
    <d v="2016-12-13T00:00:00"/>
    <n v="3000"/>
    <s v="Pago 9/10 - Liquidación 100%"/>
    <d v="2017-02-24T00:00:00"/>
    <n v="2048.4499999999998"/>
    <n v="24000"/>
    <m/>
    <m/>
    <m/>
    <m/>
    <m/>
    <m/>
    <m/>
    <n v="240"/>
    <s v="LA FECHA QUE SE INDICA EN LA CLAUSULA SEGUNDA DEL CONVENIO"/>
    <d v="2016-01-08T00:00:00"/>
    <d v="2016-09-04T00:00:00"/>
    <m/>
    <m/>
    <m/>
    <m/>
    <m/>
    <m/>
    <m/>
    <m/>
    <m/>
    <m/>
    <m/>
    <m/>
    <m/>
    <m/>
    <m/>
    <m/>
    <m/>
    <m/>
    <m/>
    <m/>
    <m/>
    <m/>
    <m/>
    <n v="0.1"/>
    <n v="0.2"/>
    <n v="0.3"/>
    <n v="0.4"/>
    <n v="0.55000000000000004"/>
    <n v="0.7"/>
    <n v="0.85"/>
    <n v="1"/>
    <n v="1"/>
    <n v="1"/>
    <n v="1"/>
    <n v="1"/>
    <n v="1"/>
    <n v="1"/>
    <n v="1"/>
    <n v="1"/>
    <n v="1"/>
    <n v="1"/>
    <n v="1"/>
    <n v="1"/>
    <n v="1"/>
    <n v="1"/>
    <n v="1"/>
    <n v="1"/>
    <n v="1"/>
    <n v="1"/>
    <n v="1"/>
    <n v="1"/>
    <n v="1"/>
    <n v="1"/>
    <n v="1"/>
    <n v="1"/>
    <n v="1"/>
    <x v="0"/>
    <n v="1"/>
    <n v="1"/>
    <n v="1"/>
    <x v="0"/>
    <s v="si"/>
    <s v="si"/>
    <s v="si"/>
    <s v="si"/>
    <s v="si"/>
    <s v="si"/>
    <s v="si"/>
    <x v="0"/>
    <s v="si"/>
    <s v="si"/>
    <s v="si"/>
    <m/>
    <m/>
    <m/>
    <m/>
    <m/>
    <m/>
    <m/>
    <m/>
    <m/>
    <m/>
    <s v="ESTE PROCESO COMPRENDE PROYECTOS DE DISTRIBUCIÓN Y SUBTRANSMISIÓN"/>
    <m/>
    <m/>
    <m/>
  </r>
  <r>
    <x v="2"/>
    <s v="CONSULTORIA INDIVIDUAL"/>
    <x v="0"/>
    <s v="Proyectos de expansión y refuerzo en el Sistema Nacional de Distribución"/>
    <x v="3"/>
    <x v="10"/>
    <x v="0"/>
    <s v="SUCUMBIOS"/>
    <x v="86"/>
    <n v="9"/>
    <x v="0"/>
    <s v="BID2-RSND-CNELSUC-SO-CI-006"/>
    <s v=" SOCIALIZADOR DE LA UNIDAD DE NEGOCIO SUCUMBíOS PARA LOS PROYECTOS DEL PROGRAMA DE REFORZAMIENTO DEL SISTEMA NACIONAL DE DISTRIBUCIÓN (2)"/>
    <m/>
    <s v="CCIN"/>
    <s v="ex-post"/>
    <s v="EJECUTADO BID"/>
    <s v="BID2-RSND-CNELSUC-SO-CI-006"/>
    <s v="CRISTINA ALEXANDRA ULLOA MORENO"/>
    <s v="ECUATORIANA"/>
    <s v="PERSONA NATURAL"/>
    <n v="2100628706001"/>
    <s v="NO APLICA"/>
    <s v="NO APLICA"/>
    <s v="ING. WENDY LEON"/>
    <s v="DATO PENDIENTE"/>
    <n v="1977.1"/>
    <m/>
    <n v="0"/>
    <m/>
    <n v="0"/>
    <n v="0"/>
    <n v="0.12"/>
    <n v="0"/>
    <n v="0"/>
    <n v="0"/>
    <n v="0"/>
    <m/>
    <m/>
    <m/>
    <m/>
    <m/>
    <m/>
    <n v="0.14000000000000001"/>
    <m/>
    <m/>
    <m/>
    <m/>
    <m/>
    <m/>
    <m/>
    <m/>
    <m/>
    <m/>
    <m/>
    <m/>
    <m/>
    <n v="0"/>
    <n v="0"/>
    <m/>
    <s v="NO APLICA"/>
    <s v="NO APLICA"/>
    <m/>
    <m/>
    <m/>
    <m/>
    <m/>
    <m/>
    <m/>
    <m/>
    <m/>
    <m/>
    <m/>
    <m/>
    <s v="NO APLICA"/>
    <d v="2015-12-07T00:00:00"/>
    <s v="NO APLICA"/>
    <s v="DATO PENDIENTE"/>
    <d v="2016-01-07T00:00:00"/>
    <s v="NO APLICA"/>
    <s v="NO APLICA"/>
    <s v="NO APLICA"/>
    <m/>
    <m/>
    <m/>
    <m/>
    <m/>
    <m/>
    <m/>
    <m/>
    <m/>
    <m/>
    <m/>
    <m/>
    <m/>
    <m/>
    <s v="NO APLICA"/>
    <s v="NO APLICA"/>
    <s v="NO APLICA"/>
    <s v="NO APLICA"/>
    <m/>
    <s v="Pago 1/10 - Planilla 1  12,50%"/>
    <d v="2016-02-11T00:00:00"/>
    <m/>
    <s v="Pago 2/10 - Planilla 2  6,05%"/>
    <d v="2016-04-11T00:00:00"/>
    <m/>
    <s v="Pago 3/10 - Planilla 3  12,50%"/>
    <d v="2016-05-12T00:00:00"/>
    <m/>
    <s v="Pago 4/10 - Planilla 4   10,42%"/>
    <d v="2016-08-10T00:00:00"/>
    <m/>
    <s v="Pago 5/10 - Planilla 5   12,50%"/>
    <d v="2016-09-07T00:00:00"/>
    <m/>
    <s v="Pago 6/10 - Planilla 6   12,50%"/>
    <d v="2016-10-10T00:00:00"/>
    <m/>
    <s v="Pago 7/10 - Planilla 7   12,50%"/>
    <d v="2016-11-16T00:00:00"/>
    <m/>
    <s v="Pago 8/10 - Planilla 7 13%"/>
    <d v="2016-12-13T00:00:00"/>
    <m/>
    <s v="Pago 9/10 - Liquidación 100%"/>
    <d v="2017-02-24T00:00:00"/>
    <m/>
    <n v="0"/>
    <m/>
    <m/>
    <m/>
    <m/>
    <m/>
    <m/>
    <m/>
    <n v="240"/>
    <s v="LA FECHA QUE SE INDICA EN LA CLAUSULA SEGUNDA DEL CONVENIO"/>
    <d v="2016-01-08T00:00:00"/>
    <d v="2016-09-04T00:00:00"/>
    <m/>
    <m/>
    <m/>
    <m/>
    <m/>
    <m/>
    <m/>
    <m/>
    <m/>
    <m/>
    <m/>
    <m/>
    <m/>
    <m/>
    <m/>
    <m/>
    <m/>
    <m/>
    <m/>
    <m/>
    <m/>
    <m/>
    <m/>
    <n v="0.1"/>
    <n v="0.2"/>
    <n v="0.3"/>
    <n v="0.4"/>
    <n v="0.55000000000000004"/>
    <n v="0.7"/>
    <n v="0.85"/>
    <n v="1"/>
    <n v="1"/>
    <n v="1"/>
    <n v="1"/>
    <n v="1"/>
    <n v="1"/>
    <n v="1"/>
    <n v="1"/>
    <n v="1"/>
    <n v="1"/>
    <n v="1"/>
    <n v="1"/>
    <n v="1"/>
    <n v="1"/>
    <n v="1"/>
    <n v="1"/>
    <n v="1"/>
    <n v="1"/>
    <n v="1"/>
    <n v="1"/>
    <n v="1"/>
    <n v="1"/>
    <n v="1"/>
    <n v="1"/>
    <n v="1"/>
    <n v="1"/>
    <x v="0"/>
    <n v="1"/>
    <n v="1"/>
    <n v="1"/>
    <x v="0"/>
    <s v="si"/>
    <s v="si"/>
    <s v="si"/>
    <s v="si"/>
    <s v="si"/>
    <s v="si"/>
    <s v="si"/>
    <x v="0"/>
    <s v="si"/>
    <s v="si"/>
    <s v="si"/>
    <m/>
    <m/>
    <m/>
    <m/>
    <m/>
    <m/>
    <m/>
    <m/>
    <m/>
    <m/>
    <s v="ESTE PROCESO COMPRENDE PROYECTOS DE DISTRIBUCIÓN Y SUBTRANSMISIÓN"/>
    <m/>
    <m/>
    <d v="2016-09-23T00:00:00"/>
  </r>
  <r>
    <x v="2"/>
    <s v="CONSULTORIA INDIVIDUAL"/>
    <x v="0"/>
    <s v="Proyectos de expansión y refuerzo en el Sistema Nacional de Distribución"/>
    <x v="0"/>
    <x v="10"/>
    <x v="0"/>
    <s v="SUCUMBIOS"/>
    <x v="81"/>
    <n v="4"/>
    <x v="0"/>
    <s v="BID2-RSND-CNELSUC-SO-CI-006"/>
    <s v=" SOCIALIZADOR DE LA UNIDAD DE NEGOCIO SUCUMBíOS PARA LOS PROYECTOS DEL PROGRAMA DE REFORZAMIENTO DEL SISTEMA NACIONAL DE DISTRIBUCIÓN (3)"/>
    <m/>
    <s v="CCIN"/>
    <s v="ex-post"/>
    <s v="EJECUTADO BID"/>
    <s v="BID2-RSND-CNELSUC-SO-CI-006"/>
    <s v="CRISTINA ALEXANDRA ULLOA MORENO"/>
    <s v="ECUATORIANA"/>
    <s v="PERSONA NATURAL"/>
    <n v="2100628706001"/>
    <s v="NO APLICA"/>
    <s v="NO APLICA"/>
    <s v="ING. WENDY LEON"/>
    <s v="DATO PENDIENTE"/>
    <n v="5148.25"/>
    <n v="0"/>
    <n v="0"/>
    <m/>
    <n v="0"/>
    <n v="0"/>
    <n v="0.12"/>
    <n v="0"/>
    <n v="0"/>
    <n v="0"/>
    <m/>
    <m/>
    <m/>
    <m/>
    <m/>
    <m/>
    <m/>
    <n v="0.14000000000000001"/>
    <m/>
    <m/>
    <m/>
    <m/>
    <m/>
    <m/>
    <m/>
    <m/>
    <m/>
    <m/>
    <m/>
    <m/>
    <m/>
    <n v="0"/>
    <n v="0"/>
    <m/>
    <s v="NO APLICA"/>
    <s v="NO APLICA"/>
    <m/>
    <m/>
    <m/>
    <m/>
    <m/>
    <m/>
    <m/>
    <m/>
    <m/>
    <m/>
    <m/>
    <m/>
    <s v="NO APLICA"/>
    <d v="2015-12-07T00:00:00"/>
    <s v="NO APLICA"/>
    <s v="DATO PENDIENTE"/>
    <d v="2016-01-07T00:00:00"/>
    <s v="NO APLICA"/>
    <s v="NO APLICA"/>
    <s v="NO APLICA"/>
    <m/>
    <m/>
    <m/>
    <m/>
    <m/>
    <m/>
    <m/>
    <m/>
    <m/>
    <m/>
    <m/>
    <m/>
    <m/>
    <m/>
    <s v="NO APLICA"/>
    <s v="NO APLICA"/>
    <s v="NO APLICA"/>
    <s v="NO APLICA"/>
    <m/>
    <s v="Pago 1/10 - Planilla 1  12,50%"/>
    <d v="2016-02-11T00:00:00"/>
    <m/>
    <s v="Pago 2/10 - Planilla 2  6,05%"/>
    <d v="2016-04-11T00:00:00"/>
    <m/>
    <s v="Pago 3/10 - Planilla 3  12,50%"/>
    <d v="2016-05-12T00:00:00"/>
    <m/>
    <s v="Pago 4/10 - Planilla 4   10,42%"/>
    <d v="2016-08-10T00:00:00"/>
    <m/>
    <s v="Pago 5/10 - Planilla 5   12,50%"/>
    <d v="2016-09-07T00:00:00"/>
    <m/>
    <s v="Pago 6/10 - Planilla 6   12,50%"/>
    <d v="2016-10-10T00:00:00"/>
    <m/>
    <s v="Pago 7/10 - Planilla 7   12,50%"/>
    <d v="2016-11-16T00:00:00"/>
    <m/>
    <s v="Pago 8/10 - Planilla 7 13%"/>
    <d v="2016-12-13T00:00:00"/>
    <m/>
    <s v="Pago 9/10 - Liquidación 100%"/>
    <d v="2017-02-24T00:00:00"/>
    <m/>
    <n v="0"/>
    <m/>
    <m/>
    <m/>
    <m/>
    <m/>
    <m/>
    <m/>
    <n v="240"/>
    <s v="LA FECHA QUE SE INDICA EN LA CLAUSULA SEGUNDA DEL CONVENIO"/>
    <d v="2016-01-08T00:00:00"/>
    <d v="2016-09-04T00:00:00"/>
    <m/>
    <m/>
    <m/>
    <m/>
    <m/>
    <m/>
    <m/>
    <m/>
    <m/>
    <m/>
    <m/>
    <m/>
    <m/>
    <m/>
    <m/>
    <m/>
    <m/>
    <m/>
    <m/>
    <m/>
    <m/>
    <m/>
    <m/>
    <n v="0.1"/>
    <n v="0.2"/>
    <n v="0.3"/>
    <n v="0.4"/>
    <n v="0.55000000000000004"/>
    <n v="0.7"/>
    <n v="0.85"/>
    <n v="1"/>
    <n v="1"/>
    <n v="1"/>
    <n v="1"/>
    <n v="1"/>
    <n v="1"/>
    <n v="1"/>
    <n v="1"/>
    <n v="1"/>
    <n v="1"/>
    <n v="1"/>
    <n v="1"/>
    <n v="1"/>
    <n v="1"/>
    <n v="1"/>
    <n v="1"/>
    <n v="1"/>
    <n v="1"/>
    <n v="1"/>
    <n v="1"/>
    <n v="1"/>
    <n v="1"/>
    <n v="1"/>
    <n v="1"/>
    <n v="1"/>
    <n v="1"/>
    <x v="0"/>
    <n v="1"/>
    <n v="1"/>
    <n v="1"/>
    <x v="0"/>
    <s v="si"/>
    <s v="si"/>
    <s v="si"/>
    <s v="si"/>
    <s v="si"/>
    <s v="si"/>
    <s v="si"/>
    <x v="0"/>
    <s v="si"/>
    <s v="si"/>
    <s v="si"/>
    <m/>
    <m/>
    <m/>
    <m/>
    <m/>
    <m/>
    <m/>
    <m/>
    <m/>
    <m/>
    <s v="ESTE PROCESO COMPRENDE PROYECTOS DE DISTRIBUCIÓN Y SUBTRANSMISIÓN"/>
    <m/>
    <m/>
    <m/>
  </r>
  <r>
    <x v="2"/>
    <s v="CONSULTORIA INDIVIDUAL"/>
    <x v="0"/>
    <s v="Proyectos de expansión y refuerzo en el Sistema Nacional de Distribución"/>
    <x v="0"/>
    <x v="10"/>
    <x v="0"/>
    <s v="SUCUMBIOS"/>
    <x v="82"/>
    <n v="5"/>
    <x v="0"/>
    <s v="BID2-RSND-CNELSUC-SO-CI-006"/>
    <s v=" SOCIALIZADOR DE LA UNIDAD DE NEGOCIO SUCUMBíOS PARA LOS PROYECTOS DEL PROGRAMA DE REFORZAMIENTO DEL SISTEMA NACIONAL DE DISTRIBUCIÓN (4)"/>
    <m/>
    <s v="CCIN"/>
    <s v="ex-post"/>
    <s v="EJECUTADO BID"/>
    <s v="BID2-RSND-CNELSUC-SO-CI-006"/>
    <s v="CRISTINA ALEXANDRA ULLOA MORENO"/>
    <s v="ECUATORIANA"/>
    <s v="PERSONA NATURAL"/>
    <n v="2100628706001"/>
    <s v="NO APLICA"/>
    <s v="NO APLICA"/>
    <s v="ING. WENDY LEON"/>
    <s v="DATO PENDIENTE"/>
    <n v="6480.75"/>
    <n v="0"/>
    <n v="0"/>
    <m/>
    <n v="0"/>
    <n v="0"/>
    <n v="0.12"/>
    <n v="0"/>
    <n v="0"/>
    <n v="0"/>
    <m/>
    <m/>
    <m/>
    <m/>
    <m/>
    <m/>
    <m/>
    <n v="0.14000000000000001"/>
    <m/>
    <m/>
    <m/>
    <m/>
    <m/>
    <m/>
    <m/>
    <m/>
    <m/>
    <m/>
    <m/>
    <m/>
    <m/>
    <n v="0"/>
    <n v="0"/>
    <m/>
    <s v="NO APLICA"/>
    <s v="NO APLICA"/>
    <m/>
    <m/>
    <m/>
    <m/>
    <m/>
    <m/>
    <m/>
    <m/>
    <m/>
    <m/>
    <m/>
    <m/>
    <s v="NO APLICA"/>
    <d v="2015-12-07T00:00:00"/>
    <s v="NO APLICA"/>
    <s v="DATO PENDIENTE"/>
    <d v="2016-01-07T00:00:00"/>
    <s v="NO APLICA"/>
    <s v="NO APLICA"/>
    <s v="NO APLICA"/>
    <m/>
    <m/>
    <m/>
    <m/>
    <m/>
    <m/>
    <m/>
    <m/>
    <m/>
    <m/>
    <m/>
    <m/>
    <m/>
    <m/>
    <s v="NO APLICA"/>
    <s v="NO APLICA"/>
    <s v="NO APLICA"/>
    <s v="NO APLICA"/>
    <m/>
    <s v="Pago 1/10 - Planilla 1  12,50%"/>
    <d v="2016-02-11T00:00:00"/>
    <m/>
    <s v="Pago 2/10 - Planilla 2  6,05%"/>
    <d v="2016-04-11T00:00:00"/>
    <m/>
    <s v="Pago 3/10 - Planilla 3  12,50%"/>
    <d v="2016-05-12T00:00:00"/>
    <m/>
    <s v="Pago 4/10 - Planilla 4   10,42%"/>
    <d v="2016-08-10T00:00:00"/>
    <m/>
    <s v="Pago 5/10 - Planilla 5   12,50%"/>
    <d v="2016-09-07T00:00:00"/>
    <m/>
    <s v="Pago 6/10 - Planilla 6   12,50%"/>
    <d v="2016-10-10T00:00:00"/>
    <m/>
    <s v="Pago 7/10 - Planilla 7   12,50%"/>
    <d v="2016-11-16T00:00:00"/>
    <m/>
    <s v="Pago 8/10 - Planilla 7 13%"/>
    <d v="2016-12-13T00:00:00"/>
    <m/>
    <s v="Pago 9/10 - Liquidación 100%"/>
    <d v="2017-02-24T00:00:00"/>
    <m/>
    <n v="0"/>
    <m/>
    <m/>
    <m/>
    <m/>
    <m/>
    <m/>
    <m/>
    <n v="240"/>
    <s v="LA FECHA QUE SE INDICA EN LA CLAUSULA SEGUNDA DEL CONVENIO"/>
    <d v="2016-01-08T00:00:00"/>
    <d v="2016-09-04T00:00:00"/>
    <m/>
    <m/>
    <m/>
    <m/>
    <m/>
    <m/>
    <m/>
    <m/>
    <m/>
    <m/>
    <m/>
    <m/>
    <m/>
    <m/>
    <m/>
    <m/>
    <m/>
    <m/>
    <m/>
    <m/>
    <m/>
    <m/>
    <m/>
    <n v="0.1"/>
    <n v="0.2"/>
    <n v="0.3"/>
    <n v="0.4"/>
    <n v="0.55000000000000004"/>
    <n v="0.7"/>
    <n v="0.85"/>
    <n v="1"/>
    <n v="1"/>
    <n v="1"/>
    <n v="1"/>
    <n v="1"/>
    <n v="1"/>
    <n v="1"/>
    <n v="1"/>
    <n v="1"/>
    <n v="1"/>
    <n v="1"/>
    <n v="1"/>
    <n v="1"/>
    <n v="1"/>
    <n v="1"/>
    <n v="1"/>
    <n v="1"/>
    <n v="1"/>
    <n v="1"/>
    <n v="1"/>
    <n v="1"/>
    <n v="1"/>
    <n v="1"/>
    <n v="1"/>
    <n v="1"/>
    <n v="1"/>
    <x v="0"/>
    <n v="1"/>
    <n v="1"/>
    <n v="1"/>
    <x v="0"/>
    <s v="si"/>
    <s v="si"/>
    <s v="si"/>
    <s v="si"/>
    <s v="si"/>
    <s v="si"/>
    <s v="si"/>
    <x v="0"/>
    <s v="si"/>
    <s v="si"/>
    <s v="si"/>
    <m/>
    <m/>
    <m/>
    <m/>
    <m/>
    <m/>
    <m/>
    <m/>
    <m/>
    <m/>
    <s v="ESTE PROCESO COMPRENDE PROYECTOS DE DISTRIBUCIÓN Y SUBTRANSMISIÓN"/>
    <m/>
    <m/>
    <m/>
  </r>
  <r>
    <x v="2"/>
    <s v="CONSULTORIA INDIVIDUAL"/>
    <x v="0"/>
    <s v="Proyectos de expansión y refuerzo en el Sistema Nacional de Distribución"/>
    <x v="3"/>
    <x v="10"/>
    <x v="0"/>
    <s v="ORELLANA"/>
    <x v="83"/>
    <n v="6"/>
    <x v="0"/>
    <s v="BID2-RSND-CNELSUC-SO-CI-006"/>
    <s v=" SOCIALIZADOR DE LA UNIDAD DE NEGOCIO SUCUMBíOS PARA LOS PROYECTOS DEL PROGRAMA DE REFORZAMIENTO DEL SISTEMA NACIONAL DE DISTRIBUCIÓN (5)"/>
    <m/>
    <s v="CCIN"/>
    <s v="ex-post"/>
    <s v="EJECUTADO BID"/>
    <s v="BID2-RSND-CNELSUC-SO-CI-006"/>
    <s v="CRISTINA ALEXANDRA ULLOA MORENO"/>
    <s v="ECUATORIANA"/>
    <s v="PERSONA NATURAL"/>
    <n v="2100628706001"/>
    <s v="NO APLICA"/>
    <s v="NO APLICA"/>
    <s v="ING. WENDY LEON"/>
    <s v="DATO PENDIENTE"/>
    <n v="8134.81"/>
    <n v="0"/>
    <n v="0"/>
    <m/>
    <n v="0"/>
    <n v="0"/>
    <n v="0.12"/>
    <n v="0"/>
    <n v="0"/>
    <n v="0"/>
    <m/>
    <m/>
    <m/>
    <m/>
    <m/>
    <m/>
    <m/>
    <n v="0.14000000000000001"/>
    <m/>
    <m/>
    <m/>
    <m/>
    <m/>
    <m/>
    <m/>
    <m/>
    <m/>
    <m/>
    <m/>
    <m/>
    <m/>
    <n v="0"/>
    <n v="0"/>
    <m/>
    <s v="NO APLICA"/>
    <s v="NO APLICA"/>
    <m/>
    <m/>
    <m/>
    <m/>
    <m/>
    <m/>
    <m/>
    <m/>
    <m/>
    <m/>
    <m/>
    <m/>
    <s v="NO APLICA"/>
    <d v="2015-12-07T00:00:00"/>
    <s v="NO APLICA"/>
    <s v="DATO PENDIENTE"/>
    <d v="2016-01-07T00:00:00"/>
    <s v="NO APLICA"/>
    <s v="NO APLICA"/>
    <s v="NO APLICA"/>
    <m/>
    <m/>
    <m/>
    <m/>
    <m/>
    <m/>
    <m/>
    <m/>
    <m/>
    <m/>
    <m/>
    <m/>
    <m/>
    <m/>
    <s v="NO APLICA"/>
    <s v="NO APLICA"/>
    <s v="NO APLICA"/>
    <s v="NO APLICA"/>
    <n v="0"/>
    <m/>
    <m/>
    <m/>
    <m/>
    <m/>
    <m/>
    <m/>
    <m/>
    <m/>
    <m/>
    <m/>
    <m/>
    <m/>
    <m/>
    <m/>
    <m/>
    <m/>
    <m/>
    <m/>
    <m/>
    <m/>
    <m/>
    <m/>
    <m/>
    <m/>
    <m/>
    <m/>
    <n v="0"/>
    <m/>
    <m/>
    <m/>
    <m/>
    <m/>
    <m/>
    <m/>
    <n v="240"/>
    <s v="LA FECHA QUE SE INDICA EN LA CLAUSULA SEGUNDA DEL CONVENIO"/>
    <d v="2016-01-08T00:00:00"/>
    <d v="2016-09-04T00:00:00"/>
    <m/>
    <m/>
    <m/>
    <m/>
    <m/>
    <m/>
    <m/>
    <m/>
    <m/>
    <m/>
    <m/>
    <m/>
    <m/>
    <m/>
    <m/>
    <m/>
    <m/>
    <m/>
    <m/>
    <m/>
    <m/>
    <m/>
    <m/>
    <n v="0.1"/>
    <n v="0.2"/>
    <n v="0.3"/>
    <n v="0.4"/>
    <n v="0.55000000000000004"/>
    <n v="0.7"/>
    <n v="0.85"/>
    <n v="1"/>
    <n v="1"/>
    <n v="1"/>
    <n v="1"/>
    <n v="1"/>
    <n v="1"/>
    <n v="1"/>
    <n v="1"/>
    <n v="1"/>
    <n v="1"/>
    <n v="1"/>
    <n v="1"/>
    <n v="1"/>
    <n v="1"/>
    <n v="1"/>
    <n v="1"/>
    <n v="1"/>
    <n v="1"/>
    <n v="1"/>
    <n v="1"/>
    <n v="1"/>
    <n v="1"/>
    <n v="1"/>
    <n v="1"/>
    <n v="1"/>
    <n v="1"/>
    <x v="0"/>
    <n v="1"/>
    <n v="1"/>
    <n v="1"/>
    <x v="0"/>
    <s v="si"/>
    <s v="si"/>
    <s v="si"/>
    <s v="si"/>
    <s v="si"/>
    <s v="si"/>
    <s v="si"/>
    <x v="0"/>
    <s v="si"/>
    <s v="si"/>
    <s v="si"/>
    <m/>
    <m/>
    <m/>
    <m/>
    <m/>
    <m/>
    <m/>
    <m/>
    <m/>
    <m/>
    <s v="ESTE PROCESO COMPRENDE PROYECTOS DE DISTRIBUCIÓN Y SUBTRANSMISIÓN"/>
    <m/>
    <m/>
    <m/>
  </r>
  <r>
    <x v="2"/>
    <s v="CONSULTORIA INDIVIDUAL"/>
    <x v="0"/>
    <s v="Proyectos de expansión y refuerzo en el Sistema Nacional de Distribución"/>
    <x v="3"/>
    <x v="10"/>
    <x v="0"/>
    <s v="SUCUMBIOS"/>
    <x v="84"/>
    <n v="7"/>
    <x v="0"/>
    <s v="BID2-RSND-CNELSUC-SO-CI-006"/>
    <s v=" SOCIALIZADOR DE LA UNIDAD DE NEGOCIO SUCUMBíOS PARA LOS PROYECTOS DEL PROGRAMA DE REFORZAMIENTO DEL SISTEMA NACIONAL DE DISTRIBUCIÓN (6)"/>
    <m/>
    <s v="CCIN"/>
    <s v="ex-post"/>
    <s v="EJECUTADO BID"/>
    <s v="BID2-RSND-CNELSUC-SO-CI-006"/>
    <s v="CRISTINA ALEXANDRA ULLOA MORENO"/>
    <s v="ECUATORIANA"/>
    <s v="PERSONA NATURAL"/>
    <n v="2100628706001"/>
    <s v="NO APLICA"/>
    <s v="NO APLICA"/>
    <s v="ING. WENDY LEON"/>
    <s v="DATO PENDIENTE"/>
    <n v="1817.1"/>
    <n v="0"/>
    <n v="0"/>
    <m/>
    <n v="0"/>
    <n v="0"/>
    <n v="0.12"/>
    <n v="0"/>
    <n v="0"/>
    <n v="0"/>
    <m/>
    <m/>
    <m/>
    <m/>
    <m/>
    <m/>
    <m/>
    <n v="0.14000000000000001"/>
    <m/>
    <m/>
    <m/>
    <m/>
    <m/>
    <m/>
    <m/>
    <m/>
    <m/>
    <m/>
    <m/>
    <m/>
    <m/>
    <n v="0"/>
    <n v="0"/>
    <m/>
    <s v="NO APLICA"/>
    <s v="NO APLICA"/>
    <m/>
    <m/>
    <m/>
    <m/>
    <m/>
    <m/>
    <m/>
    <m/>
    <m/>
    <m/>
    <m/>
    <m/>
    <s v="NO APLICA"/>
    <d v="2015-12-07T00:00:00"/>
    <s v="NO APLICA"/>
    <s v="DATO PENDIENTE"/>
    <d v="2016-01-07T00:00:00"/>
    <s v="NO APLICA"/>
    <s v="NO APLICA"/>
    <s v="NO APLICA"/>
    <m/>
    <m/>
    <m/>
    <m/>
    <m/>
    <m/>
    <m/>
    <m/>
    <m/>
    <m/>
    <m/>
    <m/>
    <m/>
    <m/>
    <s v="NO APLICA"/>
    <s v="NO APLICA"/>
    <s v="NO APLICA"/>
    <s v="NO APLICA"/>
    <n v="0"/>
    <m/>
    <m/>
    <m/>
    <m/>
    <m/>
    <m/>
    <m/>
    <m/>
    <m/>
    <m/>
    <m/>
    <m/>
    <m/>
    <m/>
    <m/>
    <m/>
    <m/>
    <m/>
    <m/>
    <m/>
    <m/>
    <m/>
    <m/>
    <m/>
    <m/>
    <m/>
    <m/>
    <n v="0"/>
    <m/>
    <m/>
    <m/>
    <m/>
    <m/>
    <m/>
    <m/>
    <n v="240"/>
    <s v="LA FECHA QUE SE INDICA EN LA CLAUSULA SEGUNDA DEL CONVENIO"/>
    <d v="2016-01-08T00:00:00"/>
    <d v="2016-09-04T00:00:00"/>
    <m/>
    <m/>
    <m/>
    <m/>
    <m/>
    <m/>
    <m/>
    <m/>
    <m/>
    <m/>
    <m/>
    <m/>
    <m/>
    <m/>
    <m/>
    <m/>
    <m/>
    <m/>
    <m/>
    <m/>
    <m/>
    <m/>
    <m/>
    <n v="0.1"/>
    <n v="0.2"/>
    <n v="0.3"/>
    <n v="0.4"/>
    <n v="0.55000000000000004"/>
    <n v="0.7"/>
    <n v="0.85"/>
    <n v="1"/>
    <n v="1"/>
    <n v="1"/>
    <n v="1"/>
    <n v="1"/>
    <n v="1"/>
    <n v="1"/>
    <n v="1"/>
    <n v="1"/>
    <n v="1"/>
    <n v="1"/>
    <n v="1"/>
    <n v="1"/>
    <n v="1"/>
    <n v="1"/>
    <n v="1"/>
    <n v="1"/>
    <n v="1"/>
    <n v="1"/>
    <n v="1"/>
    <n v="1"/>
    <n v="1"/>
    <n v="1"/>
    <n v="1"/>
    <n v="1"/>
    <n v="1"/>
    <x v="0"/>
    <n v="1"/>
    <n v="1"/>
    <n v="1"/>
    <x v="0"/>
    <s v="si"/>
    <s v="si"/>
    <s v="si"/>
    <s v="si"/>
    <s v="si"/>
    <s v="si"/>
    <s v="si"/>
    <x v="0"/>
    <s v="si"/>
    <s v="si"/>
    <s v="si"/>
    <m/>
    <m/>
    <m/>
    <m/>
    <m/>
    <m/>
    <m/>
    <m/>
    <m/>
    <m/>
    <s v="ESTE PROCESO COMPRENDE PROYECTOS DE DISTRIBUCIÓN Y SUBTRANSMISIÓN"/>
    <m/>
    <m/>
    <m/>
  </r>
  <r>
    <x v="2"/>
    <s v="CONSULTORIA INDIVIDUAL"/>
    <x v="1"/>
    <s v="Mejoramiento de la eficiencia y fiabilidad de la red"/>
    <x v="2"/>
    <x v="7"/>
    <x v="0"/>
    <s v="SUCUMBIOS"/>
    <x v="86"/>
    <n v="8"/>
    <x v="0"/>
    <s v="BID2-RSND-CNELSUC-FI-CI-011"/>
    <s v="FISCALIZACIÓN DE LA AUTOMATIZACIÓN E IMPLANTACIÓN DE LA BAHÍA A 69 KV DE LA SUBESTACIÓN JIVINO DE CELEC TRANSELECTRIC PARA MEJORAR LA CALIDAD DE SERVICIO Y LA GESTIÓN DE LA DEMANDA EN CNEL UN SUCUMBIOS"/>
    <m/>
    <s v="CCIN"/>
    <s v="ex-post"/>
    <s v="EJECUTADO EE"/>
    <m/>
    <m/>
    <m/>
    <m/>
    <m/>
    <s v="NO APLICA"/>
    <s v="NO APLICA"/>
    <m/>
    <m/>
    <m/>
    <n v="20422.13"/>
    <n v="0"/>
    <m/>
    <n v="0"/>
    <n v="0"/>
    <n v="0.12"/>
    <n v="0"/>
    <n v="0"/>
    <n v="0"/>
    <n v="0"/>
    <n v="20422.13"/>
    <m/>
    <m/>
    <m/>
    <m/>
    <m/>
    <m/>
    <m/>
    <m/>
    <m/>
    <m/>
    <m/>
    <m/>
    <m/>
    <m/>
    <m/>
    <m/>
    <m/>
    <m/>
    <m/>
    <m/>
    <n v="0"/>
    <m/>
    <s v="NO APLICA"/>
    <s v="NO APLICA"/>
    <m/>
    <m/>
    <m/>
    <m/>
    <m/>
    <m/>
    <m/>
    <m/>
    <m/>
    <m/>
    <m/>
    <m/>
    <s v="NO APLICA"/>
    <m/>
    <m/>
    <m/>
    <m/>
    <s v="NO APLICA"/>
    <s v="NO APLICA"/>
    <s v="NO APLICA"/>
    <m/>
    <m/>
    <m/>
    <m/>
    <m/>
    <m/>
    <m/>
    <m/>
    <m/>
    <m/>
    <m/>
    <m/>
    <m/>
    <m/>
    <s v="NO APLICA"/>
    <s v="NO APLICA"/>
    <s v="NO APLICA"/>
    <m/>
    <m/>
    <m/>
    <m/>
    <m/>
    <m/>
    <m/>
    <m/>
    <m/>
    <m/>
    <m/>
    <m/>
    <m/>
    <m/>
    <m/>
    <m/>
    <m/>
    <m/>
    <m/>
    <m/>
    <m/>
    <m/>
    <m/>
    <m/>
    <m/>
    <m/>
    <m/>
    <m/>
    <m/>
    <n v="0"/>
    <m/>
    <m/>
    <m/>
    <m/>
    <m/>
    <m/>
    <m/>
    <m/>
    <m/>
    <m/>
    <m/>
    <m/>
    <m/>
    <m/>
    <m/>
    <m/>
    <m/>
    <m/>
    <m/>
    <m/>
    <m/>
    <m/>
    <m/>
    <m/>
    <m/>
    <m/>
    <m/>
    <m/>
    <m/>
    <m/>
    <m/>
    <m/>
    <m/>
    <m/>
    <m/>
    <m/>
    <m/>
    <m/>
    <m/>
    <m/>
    <m/>
    <m/>
    <m/>
    <m/>
    <m/>
    <m/>
    <m/>
    <m/>
    <n v="0"/>
    <n v="0"/>
    <n v="0"/>
    <n v="0"/>
    <n v="0"/>
    <n v="0"/>
    <n v="0"/>
    <n v="0"/>
    <n v="0.95"/>
    <n v="0.95"/>
    <n v="0.95"/>
    <n v="0.95"/>
    <n v="1"/>
    <n v="1"/>
    <n v="1"/>
    <n v="1"/>
    <n v="1"/>
    <n v="1"/>
    <n v="1"/>
    <x v="0"/>
    <n v="1"/>
    <n v="1"/>
    <n v="1"/>
    <x v="0"/>
    <s v="no"/>
    <s v="no"/>
    <s v="no"/>
    <s v="no"/>
    <s v="no"/>
    <s v="no"/>
    <s v="no"/>
    <x v="3"/>
    <s v="ee"/>
    <s v="ee"/>
    <s v="ee"/>
    <s v="En liquidación, obra concluida"/>
    <m/>
    <m/>
    <m/>
    <m/>
    <m/>
    <m/>
    <m/>
    <m/>
    <m/>
    <s v="NUEVO PROCESO, FORMULARIO DE CONTROL DE CAMBIOS, SOLICITUD No.5 DEL 02.SEP.2016. REFORMA, SOLICITUD: Oficio Nro.CNEL-SUC-ADM-2017-0569-O del 06 de octubre de 2017. RESPUESTA: Oficio Nro.MEER-SDCE-2017-1194-OF del 10 de octubre de 2017."/>
    <m/>
    <s v="AUTORIZADO MEDIANTE OFICIO Nro. MINFIN-SRF-2017-0216-O DE 17 DE MARZO DE 2017"/>
    <d v="2016-09-23T00:00:00"/>
  </r>
  <r>
    <x v="2"/>
    <s v="CONSULTORIA INDIVIDUAL"/>
    <x v="1"/>
    <s v="Mejoramiento de la eficiencia y fiabilidad de la red"/>
    <x v="2"/>
    <x v="7"/>
    <x v="0"/>
    <s v="SUCUMBIOS"/>
    <x v="4"/>
    <n v="8"/>
    <x v="0"/>
    <s v="BID2-RSND-CNELSUC-SP-CI-012"/>
    <s v="SUPERVISIÓN DE LA AUTOMATIZACIÓN E IMPLANTACIÓN DE LA BAHÍA A 69 KV DE LA SUBESTACIÓN JIVINO DE CELEC TRANSELECTRIC PARA MEJORAR LA CALIDAD DE SERVICIO Y LA GESTIÓN DE LA DEMANDA EN CNEL UN SUCUMBIOS"/>
    <m/>
    <s v="CCIN"/>
    <s v="ex-post"/>
    <s v="EJECUTADO EE"/>
    <m/>
    <m/>
    <m/>
    <m/>
    <m/>
    <s v="NO APLICA"/>
    <s v="NO APLICA"/>
    <m/>
    <m/>
    <m/>
    <n v="13614.75"/>
    <n v="0"/>
    <m/>
    <n v="0"/>
    <n v="0"/>
    <n v="0.12"/>
    <n v="0"/>
    <n v="0"/>
    <n v="0"/>
    <n v="0"/>
    <n v="13614.75"/>
    <m/>
    <m/>
    <m/>
    <m/>
    <m/>
    <m/>
    <m/>
    <m/>
    <m/>
    <m/>
    <m/>
    <m/>
    <m/>
    <m/>
    <m/>
    <m/>
    <m/>
    <m/>
    <m/>
    <m/>
    <n v="0"/>
    <m/>
    <s v="NO APLICA"/>
    <s v="NO APLICA"/>
    <m/>
    <m/>
    <m/>
    <m/>
    <m/>
    <m/>
    <m/>
    <m/>
    <m/>
    <m/>
    <m/>
    <m/>
    <s v="NO APLICA"/>
    <m/>
    <m/>
    <m/>
    <m/>
    <s v="NO APLICA"/>
    <s v="NO APLICA"/>
    <s v="NO APLICA"/>
    <m/>
    <m/>
    <m/>
    <m/>
    <m/>
    <m/>
    <m/>
    <m/>
    <m/>
    <m/>
    <m/>
    <m/>
    <m/>
    <m/>
    <s v="NO APLICA"/>
    <s v="NO APLICA"/>
    <s v="NO APLICA"/>
    <m/>
    <m/>
    <m/>
    <m/>
    <m/>
    <m/>
    <m/>
    <m/>
    <m/>
    <m/>
    <m/>
    <m/>
    <m/>
    <m/>
    <m/>
    <m/>
    <m/>
    <m/>
    <m/>
    <m/>
    <m/>
    <m/>
    <m/>
    <m/>
    <m/>
    <m/>
    <m/>
    <m/>
    <m/>
    <n v="0"/>
    <m/>
    <m/>
    <m/>
    <m/>
    <m/>
    <m/>
    <m/>
    <m/>
    <m/>
    <m/>
    <m/>
    <m/>
    <m/>
    <m/>
    <m/>
    <m/>
    <m/>
    <m/>
    <m/>
    <m/>
    <m/>
    <m/>
    <m/>
    <m/>
    <m/>
    <m/>
    <m/>
    <m/>
    <m/>
    <m/>
    <m/>
    <m/>
    <m/>
    <m/>
    <m/>
    <m/>
    <m/>
    <m/>
    <m/>
    <m/>
    <m/>
    <m/>
    <m/>
    <m/>
    <m/>
    <m/>
    <m/>
    <m/>
    <n v="0"/>
    <n v="0"/>
    <n v="0"/>
    <n v="0"/>
    <n v="0"/>
    <n v="0"/>
    <n v="0"/>
    <n v="0"/>
    <n v="0.95"/>
    <n v="0.95"/>
    <n v="0.95"/>
    <n v="0.95"/>
    <n v="1"/>
    <n v="1"/>
    <n v="1"/>
    <n v="1"/>
    <n v="1"/>
    <n v="1"/>
    <n v="1"/>
    <x v="0"/>
    <n v="1"/>
    <n v="1"/>
    <n v="1"/>
    <x v="0"/>
    <s v="no"/>
    <s v="no"/>
    <s v="no"/>
    <s v="no"/>
    <s v="no"/>
    <s v="no"/>
    <s v="no"/>
    <x v="3"/>
    <s v="ee"/>
    <s v="ee"/>
    <s v="ee"/>
    <s v="En liquidación, obra concluida"/>
    <m/>
    <m/>
    <m/>
    <m/>
    <m/>
    <m/>
    <m/>
    <m/>
    <m/>
    <s v="NUEVO PROCESO, FORMULARIO DE CONTROL DE CAMBIOS, SOLICITUD No.5 DEL 02.SEP.2016. REFORMA, SOLICITUD: Oficio Nro.CNEL-SUC-ADM-2017-0569-O del 06 de octubre de 2017. RESPUESTA:  Oficio Nro.MEER-SDCE-2017-1194-OF del 10 de octubre de 2017."/>
    <m/>
    <s v="AUTORIZADO MEDIANTE OFICIO Nro. MINFIN-SRF-2017-0216-O DE 17 DE MARZO DE 2017"/>
    <d v="2016-09-23T00:00:00"/>
  </r>
  <r>
    <x v="2"/>
    <s v="CONSULTORIA INDIVIDUAL"/>
    <x v="0"/>
    <s v="Proyectos de expansión y refuerzo en el Sistema Nacional de Distribución"/>
    <x v="3"/>
    <x v="7"/>
    <x v="1"/>
    <s v="ORELLANA"/>
    <x v="80"/>
    <n v="3"/>
    <x v="0"/>
    <s v="BID2-RSND-CNELSUC-FI-CI-013"/>
    <s v="FISCALIZACIÓN DE LA REPOTENCIACIÓN LINEA DE SUBTRANSMISIÓN SACHA-ORELLANA "/>
    <m/>
    <s v="CCIN"/>
    <s v="ex-post"/>
    <s v="EJECUTADO EE"/>
    <m/>
    <m/>
    <m/>
    <m/>
    <m/>
    <s v="NO APLICA"/>
    <s v="NO APLICA"/>
    <m/>
    <m/>
    <m/>
    <n v="12515.91"/>
    <n v="0"/>
    <n v="12515.91"/>
    <n v="0"/>
    <n v="12515.91"/>
    <n v="0.12"/>
    <n v="1501.9091999999998"/>
    <n v="0"/>
    <n v="14017.819200000002"/>
    <n v="0"/>
    <n v="12515.91"/>
    <m/>
    <m/>
    <m/>
    <m/>
    <m/>
    <m/>
    <m/>
    <m/>
    <m/>
    <m/>
    <m/>
    <m/>
    <m/>
    <m/>
    <m/>
    <m/>
    <m/>
    <m/>
    <m/>
    <m/>
    <n v="0"/>
    <m/>
    <s v="NO APLICA"/>
    <s v="NO APLICA"/>
    <m/>
    <m/>
    <m/>
    <m/>
    <m/>
    <m/>
    <m/>
    <m/>
    <m/>
    <m/>
    <m/>
    <m/>
    <s v="NO APLICA"/>
    <m/>
    <m/>
    <m/>
    <m/>
    <s v="NO APLICA"/>
    <s v="NO APLICA"/>
    <s v="NO APLICA"/>
    <m/>
    <m/>
    <m/>
    <m/>
    <m/>
    <m/>
    <m/>
    <m/>
    <m/>
    <m/>
    <m/>
    <m/>
    <m/>
    <m/>
    <s v="NO APLICA"/>
    <s v="NO APLICA"/>
    <s v="NO APLICA"/>
    <m/>
    <m/>
    <m/>
    <m/>
    <m/>
    <m/>
    <m/>
    <m/>
    <m/>
    <m/>
    <m/>
    <m/>
    <m/>
    <m/>
    <m/>
    <m/>
    <m/>
    <m/>
    <m/>
    <m/>
    <m/>
    <m/>
    <m/>
    <m/>
    <m/>
    <m/>
    <m/>
    <m/>
    <m/>
    <n v="0"/>
    <m/>
    <m/>
    <m/>
    <m/>
    <m/>
    <m/>
    <m/>
    <m/>
    <m/>
    <m/>
    <m/>
    <m/>
    <m/>
    <m/>
    <m/>
    <m/>
    <m/>
    <m/>
    <m/>
    <m/>
    <m/>
    <m/>
    <m/>
    <m/>
    <m/>
    <m/>
    <m/>
    <m/>
    <m/>
    <m/>
    <m/>
    <m/>
    <m/>
    <m/>
    <m/>
    <m/>
    <m/>
    <m/>
    <m/>
    <m/>
    <m/>
    <m/>
    <m/>
    <m/>
    <m/>
    <m/>
    <m/>
    <m/>
    <m/>
    <m/>
    <m/>
    <m/>
    <m/>
    <m/>
    <m/>
    <m/>
    <n v="1"/>
    <n v="1"/>
    <n v="1"/>
    <n v="1"/>
    <n v="1"/>
    <n v="1"/>
    <n v="1"/>
    <n v="1"/>
    <n v="1"/>
    <n v="1"/>
    <n v="1"/>
    <x v="0"/>
    <n v="1"/>
    <n v="1"/>
    <n v="1"/>
    <x v="0"/>
    <s v="no"/>
    <s v="no"/>
    <s v="no"/>
    <s v="no"/>
    <s v="no"/>
    <s v="no"/>
    <s v="no"/>
    <x v="3"/>
    <s v="ee"/>
    <s v="ee"/>
    <s v="ee"/>
    <m/>
    <m/>
    <m/>
    <m/>
    <m/>
    <m/>
    <m/>
    <m/>
    <m/>
    <m/>
    <s v=" MEDIANTE EL OFICIO Nro.CNEL-SUC-ADM-2017-0111-O DEL 07 DE MARZO DE 2017,  SE INDICA QUE ESTA FISCALIZACIÓN SE REALIZARÁ CON PERSONAL PROPIO. SE EMITIÓ RESPUESTA POR PARTE DE LA COORDINACIÓN DE LA UNIDAD EJECUTORA MEDIANTE OFICIO Nro. MEER-SDCE-2017-0291-OF DE 13 DE MARZO DE 2017"/>
    <m/>
    <s v="AUTORIZADO MEDIANTE OFICIO Nro. MINFIN-SRF-2017-0216-O DE 17 DE MARZO DE 2017"/>
    <d v="2017-03-13T00:00:00"/>
  </r>
  <r>
    <x v="2"/>
    <s v="CONSULTORIA INDIVIDUAL"/>
    <x v="0"/>
    <s v="Proyectos de expansión y refuerzo en el Sistema Nacional de Distribución"/>
    <x v="3"/>
    <x v="9"/>
    <x v="1"/>
    <s v="ORELLANA"/>
    <x v="80"/>
    <n v="3"/>
    <x v="0"/>
    <s v="BID2-RSND-CNELSUC-SP-CI-014"/>
    <s v=" SUPERVISIÓN DE LA REPOTENCIACIÓN LINEA DE SUBTRANSMISIÓN SACHA-ORELLANA "/>
    <m/>
    <s v="CCIN"/>
    <s v="ex-post"/>
    <s v="EJECUTADO EE"/>
    <m/>
    <m/>
    <m/>
    <m/>
    <m/>
    <s v="NO APLICA"/>
    <s v="NO APLICA"/>
    <m/>
    <m/>
    <m/>
    <n v="10148.040000000001"/>
    <n v="0"/>
    <n v="10148.040000000001"/>
    <n v="0"/>
    <n v="10148.040000000001"/>
    <n v="0.12"/>
    <n v="1217.7648000000002"/>
    <n v="0"/>
    <n v="11365.804800000002"/>
    <n v="0"/>
    <n v="10148.040000000001"/>
    <m/>
    <m/>
    <m/>
    <m/>
    <m/>
    <m/>
    <m/>
    <m/>
    <m/>
    <m/>
    <m/>
    <m/>
    <m/>
    <m/>
    <m/>
    <m/>
    <m/>
    <m/>
    <m/>
    <m/>
    <n v="0"/>
    <m/>
    <s v="NO APLICA"/>
    <s v="NO APLICA"/>
    <m/>
    <m/>
    <m/>
    <m/>
    <m/>
    <m/>
    <m/>
    <m/>
    <m/>
    <m/>
    <m/>
    <m/>
    <s v="NO APLICA"/>
    <m/>
    <m/>
    <m/>
    <m/>
    <s v="NO APLICA"/>
    <s v="NO APLICA"/>
    <s v="NO APLICA"/>
    <m/>
    <m/>
    <m/>
    <m/>
    <m/>
    <m/>
    <m/>
    <m/>
    <m/>
    <m/>
    <m/>
    <m/>
    <m/>
    <m/>
    <s v="NO APLICA"/>
    <s v="NO APLICA"/>
    <s v="NO APLICA"/>
    <m/>
    <m/>
    <m/>
    <m/>
    <m/>
    <m/>
    <m/>
    <m/>
    <m/>
    <m/>
    <m/>
    <m/>
    <m/>
    <m/>
    <m/>
    <m/>
    <m/>
    <m/>
    <m/>
    <m/>
    <m/>
    <m/>
    <m/>
    <m/>
    <m/>
    <m/>
    <m/>
    <m/>
    <m/>
    <n v="0"/>
    <m/>
    <m/>
    <m/>
    <m/>
    <m/>
    <m/>
    <m/>
    <m/>
    <m/>
    <m/>
    <m/>
    <m/>
    <m/>
    <m/>
    <m/>
    <m/>
    <m/>
    <m/>
    <m/>
    <m/>
    <m/>
    <m/>
    <m/>
    <m/>
    <m/>
    <m/>
    <m/>
    <m/>
    <m/>
    <m/>
    <m/>
    <m/>
    <m/>
    <m/>
    <m/>
    <m/>
    <m/>
    <m/>
    <m/>
    <m/>
    <m/>
    <m/>
    <m/>
    <m/>
    <m/>
    <m/>
    <m/>
    <m/>
    <m/>
    <m/>
    <m/>
    <m/>
    <m/>
    <m/>
    <m/>
    <m/>
    <n v="1"/>
    <n v="1"/>
    <n v="1"/>
    <n v="1"/>
    <n v="1"/>
    <n v="1"/>
    <n v="1"/>
    <n v="1"/>
    <n v="1"/>
    <n v="1"/>
    <n v="1"/>
    <x v="0"/>
    <n v="1"/>
    <n v="1"/>
    <n v="1"/>
    <x v="0"/>
    <s v="no"/>
    <s v="no"/>
    <s v="no"/>
    <s v="no"/>
    <s v="no"/>
    <s v="no"/>
    <s v="no"/>
    <x v="3"/>
    <s v="ee"/>
    <s v="ee"/>
    <s v="ee"/>
    <m/>
    <m/>
    <m/>
    <m/>
    <m/>
    <m/>
    <m/>
    <m/>
    <m/>
    <m/>
    <s v=" MEDIANTE EL OFICIO Nro.CNEL-SUC-ADM-2017-0111-O DEL 07 DE MARZO DE 2017,  SE INDICA QUE ESTA FISCALIZACIÓN SE REALIZARÁ CON PERSONAL PROPIO. SE EMITIÓ RESPUESTA POR PARTE DE LA COORDINACIÓN DE LA UNIDAD EJECUTORA MEDIANTE OFICIO Nro. MEER-SDCE-2017-0291-OF DE 13 DE MARZO DE 2017"/>
    <m/>
    <s v="AUTORIZADO MEDIANTE OFICIO Nro. MINFIN-SRF-2017-0216-O DE 17 DE MARZO DE 2017"/>
    <d v="2017-03-13T00:00:00"/>
  </r>
  <r>
    <x v="2"/>
    <s v="CONSULTORIA INDIVIDUAL"/>
    <x v="0"/>
    <s v="Proyectos de expansión y refuerzo en el Sistema Nacional de Distribución"/>
    <x v="0"/>
    <x v="7"/>
    <x v="0"/>
    <s v="ORELLANA"/>
    <x v="83"/>
    <n v="6"/>
    <x v="0"/>
    <s v="BID2-RSND-CNELSUC-FI-CI-015"/>
    <s v="FISCALIZACIÓN DE LA REPOTENCIACIÓN DE LA RED DE MEDIA Y BAJA TENSIÓN ALIMENTADOR COCA 3"/>
    <m/>
    <s v="CCIN"/>
    <s v="ex-post"/>
    <s v="EJECUTADO EE"/>
    <m/>
    <m/>
    <m/>
    <m/>
    <m/>
    <s v="NO APLICA"/>
    <s v="NO APLICA"/>
    <m/>
    <m/>
    <m/>
    <n v="9684.09"/>
    <n v="0"/>
    <n v="9684.09"/>
    <n v="0"/>
    <n v="9684.09"/>
    <n v="0.12"/>
    <n v="1162.0907999999999"/>
    <n v="0"/>
    <n v="10846.180800000002"/>
    <n v="0"/>
    <n v="9684.09"/>
    <m/>
    <m/>
    <m/>
    <m/>
    <m/>
    <m/>
    <m/>
    <m/>
    <m/>
    <m/>
    <m/>
    <m/>
    <m/>
    <m/>
    <m/>
    <m/>
    <m/>
    <m/>
    <m/>
    <m/>
    <n v="0"/>
    <m/>
    <s v="NO APLICA"/>
    <s v="NO APLICA"/>
    <m/>
    <m/>
    <m/>
    <m/>
    <m/>
    <m/>
    <m/>
    <m/>
    <m/>
    <m/>
    <m/>
    <m/>
    <s v="NO APLICA"/>
    <m/>
    <m/>
    <m/>
    <m/>
    <s v="NO APLICA"/>
    <s v="NO APLICA"/>
    <s v="NO APLICA"/>
    <m/>
    <m/>
    <m/>
    <m/>
    <m/>
    <m/>
    <m/>
    <m/>
    <m/>
    <m/>
    <m/>
    <m/>
    <m/>
    <m/>
    <s v="NO APLICA"/>
    <s v="NO APLICA"/>
    <s v="NO APLICA"/>
    <m/>
    <m/>
    <m/>
    <m/>
    <m/>
    <m/>
    <m/>
    <m/>
    <m/>
    <m/>
    <m/>
    <m/>
    <m/>
    <m/>
    <m/>
    <m/>
    <m/>
    <m/>
    <m/>
    <m/>
    <m/>
    <m/>
    <m/>
    <m/>
    <m/>
    <m/>
    <m/>
    <m/>
    <m/>
    <n v="0"/>
    <m/>
    <m/>
    <m/>
    <m/>
    <m/>
    <m/>
    <m/>
    <m/>
    <m/>
    <m/>
    <m/>
    <m/>
    <m/>
    <m/>
    <m/>
    <m/>
    <m/>
    <m/>
    <m/>
    <m/>
    <m/>
    <m/>
    <m/>
    <m/>
    <m/>
    <m/>
    <m/>
    <m/>
    <m/>
    <m/>
    <m/>
    <m/>
    <m/>
    <m/>
    <m/>
    <m/>
    <m/>
    <m/>
    <m/>
    <m/>
    <m/>
    <m/>
    <m/>
    <m/>
    <m/>
    <m/>
    <m/>
    <n v="0.65"/>
    <m/>
    <m/>
    <m/>
    <m/>
    <m/>
    <m/>
    <m/>
    <m/>
    <n v="1"/>
    <n v="1"/>
    <n v="1"/>
    <n v="1"/>
    <n v="1"/>
    <n v="1"/>
    <n v="1"/>
    <n v="1"/>
    <n v="1"/>
    <n v="1"/>
    <n v="1"/>
    <x v="0"/>
    <n v="1"/>
    <n v="1"/>
    <n v="1"/>
    <x v="0"/>
    <s v="no"/>
    <s v="no"/>
    <s v="no"/>
    <s v="no"/>
    <s v="no"/>
    <s v="no"/>
    <s v="no"/>
    <x v="3"/>
    <s v="ee"/>
    <s v="ee"/>
    <s v="ee"/>
    <m/>
    <m/>
    <m/>
    <m/>
    <m/>
    <m/>
    <m/>
    <m/>
    <m/>
    <m/>
    <s v=" MEDIANTE EL OFICIO Nro.CNEL-SUC-ADM-2017-0111-O DEL 07 DE MARZO DE 2017,  SE INDICA QUE ESTA FISCALIZACIÓN SE REALIZARÁ CON PERSONAL PROPIO. SE EMITIÓ RESPUESTA POR PARTE DE LA COORDINACIÓN DE LA UNIDAD EJECUTORA MEDIANTE OFICIO Nro. MEER-SDCE-2017-0291-OF DE 13 DE MARZO DE 2017"/>
    <m/>
    <s v="AUTORIZADO MEDIANTE OFICIO Nro. MINFIN-SRF-2017-0216-O DE 17 DE MARZO DE 2017"/>
    <d v="2017-03-13T00:00:00"/>
  </r>
  <r>
    <x v="2"/>
    <s v="CONSULTORIA INDIVIDUAL"/>
    <x v="0"/>
    <s v="Proyectos de expansión y refuerzo en el Sistema Nacional de Distribución"/>
    <x v="0"/>
    <x v="9"/>
    <x v="0"/>
    <s v="ORELLANA"/>
    <x v="83"/>
    <n v="6"/>
    <x v="0"/>
    <s v="BID2-RSND-CNELSUC-SP-CI-016"/>
    <s v=" SUPERVISIÓN DE LA REPOTENCIACIÓN DE LA RED DE MEDIA Y BAJA TENSIÓN ALIMENTADOR COCA 3"/>
    <m/>
    <s v="CCIN"/>
    <s v="ex-post"/>
    <s v="EJECUTADO EE"/>
    <m/>
    <m/>
    <m/>
    <m/>
    <m/>
    <s v="NO APLICA"/>
    <s v="NO APLICA"/>
    <m/>
    <m/>
    <m/>
    <n v="7851.96"/>
    <n v="0"/>
    <n v="7851.96"/>
    <n v="0"/>
    <n v="7851.96"/>
    <n v="0.12"/>
    <n v="942.23519999999996"/>
    <n v="0"/>
    <n v="8794.1952000000001"/>
    <n v="0"/>
    <n v="7851.96"/>
    <m/>
    <m/>
    <m/>
    <m/>
    <m/>
    <m/>
    <m/>
    <m/>
    <m/>
    <m/>
    <m/>
    <m/>
    <m/>
    <m/>
    <m/>
    <m/>
    <m/>
    <m/>
    <m/>
    <m/>
    <n v="0"/>
    <m/>
    <s v="NO APLICA"/>
    <s v="NO APLICA"/>
    <m/>
    <m/>
    <m/>
    <m/>
    <m/>
    <m/>
    <m/>
    <m/>
    <m/>
    <m/>
    <m/>
    <m/>
    <s v="NO APLICA"/>
    <m/>
    <m/>
    <m/>
    <m/>
    <s v="NO APLICA"/>
    <s v="NO APLICA"/>
    <s v="NO APLICA"/>
    <m/>
    <m/>
    <m/>
    <m/>
    <m/>
    <m/>
    <m/>
    <m/>
    <m/>
    <m/>
    <m/>
    <m/>
    <m/>
    <m/>
    <s v="NO APLICA"/>
    <s v="NO APLICA"/>
    <s v="NO APLICA"/>
    <m/>
    <m/>
    <m/>
    <m/>
    <m/>
    <m/>
    <m/>
    <m/>
    <m/>
    <m/>
    <m/>
    <m/>
    <m/>
    <m/>
    <m/>
    <m/>
    <m/>
    <m/>
    <m/>
    <m/>
    <m/>
    <m/>
    <m/>
    <m/>
    <m/>
    <m/>
    <m/>
    <m/>
    <m/>
    <n v="0"/>
    <m/>
    <m/>
    <m/>
    <m/>
    <m/>
    <m/>
    <m/>
    <m/>
    <m/>
    <m/>
    <m/>
    <m/>
    <m/>
    <m/>
    <m/>
    <m/>
    <m/>
    <m/>
    <m/>
    <m/>
    <m/>
    <m/>
    <m/>
    <m/>
    <m/>
    <m/>
    <m/>
    <m/>
    <m/>
    <m/>
    <m/>
    <m/>
    <m/>
    <m/>
    <m/>
    <m/>
    <m/>
    <m/>
    <m/>
    <m/>
    <m/>
    <m/>
    <m/>
    <m/>
    <m/>
    <m/>
    <m/>
    <m/>
    <m/>
    <m/>
    <m/>
    <m/>
    <m/>
    <m/>
    <m/>
    <m/>
    <n v="1"/>
    <n v="1"/>
    <n v="1"/>
    <n v="1"/>
    <n v="1"/>
    <n v="1"/>
    <n v="1"/>
    <n v="1"/>
    <n v="1"/>
    <n v="1"/>
    <n v="1"/>
    <x v="0"/>
    <n v="1"/>
    <n v="1"/>
    <n v="1"/>
    <x v="0"/>
    <s v="no"/>
    <s v="no"/>
    <s v="no"/>
    <s v="no"/>
    <s v="no"/>
    <s v="no"/>
    <s v="no"/>
    <x v="3"/>
    <s v="ee"/>
    <s v="ee"/>
    <s v="ee"/>
    <m/>
    <m/>
    <m/>
    <m/>
    <m/>
    <m/>
    <m/>
    <m/>
    <m/>
    <m/>
    <s v=" MEDIANTE EL OFICIO Nro.CNEL-SUC-ADM-2017-0111-O DEL 07 DE MARZO DE 2017,  SE INDICA QUE ESTA FISCALIZACIÓN SE REALIZARÁ CON PERSONAL PROPIO. SE EMITIÓ RESPUESTA POR PARTE DE LA COORDINACIÓN DE LA UNIDAD EJECUTORA MEDIANTE OFICIO Nro. MEER-SDCE-2017-0291-OF DE 13 DE MARZO DE 2017"/>
    <m/>
    <s v="AUTORIZADO MEDIANTE OFICIO Nro. MINFIN-SRF-2017-0216-O DE 17 DE MARZO DE 2017"/>
    <d v="2017-03-13T00:00:00"/>
  </r>
  <r>
    <x v="3"/>
    <s v="CONSULTORIA INDIVIDUAL"/>
    <x v="0"/>
    <s v="Proyectos de expansión y refuerzo en el Sistema Nacional de Distribución"/>
    <x v="3"/>
    <x v="7"/>
    <x v="0"/>
    <s v="CAÑAR"/>
    <x v="92"/>
    <n v="2"/>
    <x v="0"/>
    <s v="BID2-RSND-EEAZ-FI-CI-004"/>
    <s v="FISCALIZACIÓN ELECTRICA DE LA CONCLUSIÓN INTEGRACIÓN DE LOS SISTEMAS DE SUBTRANSMISIÓN DE LAS EMPRESAS AZOGUEZ - CENTRO SUR - CELEC EP HIDROAZOGUEZ"/>
    <m/>
    <s v="CCIN"/>
    <s v="ex-post"/>
    <s v="CONTRATADO"/>
    <s v="122-AJ-BID"/>
    <s v="ING. RÓMULO ANDRADE ROJAS"/>
    <s v="ECUATORIANA"/>
    <s v="PERSONA NATURAL"/>
    <s v="0 102969136001"/>
    <s v="NO APLICA"/>
    <s v="NO APLICA"/>
    <s v="ING. PATRICIO GONZÁLEZ"/>
    <s v="TELF. (07) 2240-377     EXT. 171        CEL. 0984-891-849"/>
    <m/>
    <n v="28114.38"/>
    <n v="0"/>
    <n v="28114.38"/>
    <n v="0"/>
    <n v="28114.38"/>
    <n v="0.12"/>
    <n v="3373.7256000000002"/>
    <n v="0"/>
    <n v="31488.105600000003"/>
    <m/>
    <m/>
    <m/>
    <m/>
    <n v="28114.38"/>
    <m/>
    <n v="28114.38"/>
    <n v="0.14000000000000001"/>
    <n v="3936.0132000000003"/>
    <n v="32050.393199999999"/>
    <m/>
    <m/>
    <m/>
    <m/>
    <m/>
    <m/>
    <m/>
    <m/>
    <m/>
    <m/>
    <m/>
    <n v="0"/>
    <n v="0"/>
    <s v="LLAMADO  EXPRESIÓN DE INTERES"/>
    <s v="NO APLICA"/>
    <s v="NO APLICA"/>
    <m/>
    <m/>
    <m/>
    <d v="2016-07-19T00:00:00"/>
    <s v="NO APLICA"/>
    <s v="NO APLICA"/>
    <d v="2016-07-22T00:00:00"/>
    <s v="NO APLICA"/>
    <d v="2016-07-22T00:00:00"/>
    <d v="2016-07-25T00:00:00"/>
    <s v="NO APLICA"/>
    <s v="NO APLICA"/>
    <s v="NO APLICA"/>
    <d v="2016-08-30T00:00:00"/>
    <s v="NO APLICA"/>
    <d v="2016-08-31T00:00:00"/>
    <d v="2016-09-30T00:00:00"/>
    <s v="NO APLICA"/>
    <s v="NO APLICA"/>
    <s v="NO APLICA"/>
    <m/>
    <m/>
    <m/>
    <m/>
    <m/>
    <m/>
    <m/>
    <m/>
    <m/>
    <m/>
    <m/>
    <m/>
    <m/>
    <m/>
    <s v="NO APLICA"/>
    <s v="NO APLICA"/>
    <s v="NO APLICA"/>
    <d v="2016-10-11T00:00:00"/>
    <n v="8434.31"/>
    <m/>
    <m/>
    <m/>
    <m/>
    <m/>
    <m/>
    <m/>
    <m/>
    <m/>
    <m/>
    <m/>
    <m/>
    <m/>
    <m/>
    <m/>
    <m/>
    <m/>
    <m/>
    <m/>
    <m/>
    <m/>
    <m/>
    <m/>
    <m/>
    <m/>
    <m/>
    <m/>
    <n v="8434.31"/>
    <m/>
    <m/>
    <m/>
    <m/>
    <m/>
    <m/>
    <m/>
    <n v="300"/>
    <s v="DATO PENDIENTE"/>
    <s v="DATO PENDIENTE"/>
    <s v="DATO PENDIENTE"/>
    <m/>
    <m/>
    <m/>
    <m/>
    <m/>
    <m/>
    <m/>
    <m/>
    <m/>
    <m/>
    <m/>
    <m/>
    <m/>
    <m/>
    <m/>
    <m/>
    <m/>
    <m/>
    <m/>
    <m/>
    <m/>
    <m/>
    <m/>
    <m/>
    <m/>
    <m/>
    <m/>
    <m/>
    <m/>
    <m/>
    <m/>
    <m/>
    <m/>
    <m/>
    <m/>
    <m/>
    <s v="17.5%"/>
    <n v="0.17499999999999999"/>
    <n v="0.17499999999999999"/>
    <n v="0.17499999999999999"/>
    <n v="0.2"/>
    <n v="0.2"/>
    <n v="0.44"/>
    <n v="0.44"/>
    <n v="0.44"/>
    <n v="0.65"/>
    <n v="0.65"/>
    <n v="0.65"/>
    <n v="0.65"/>
    <n v="0.65"/>
    <n v="0.65"/>
    <n v="0.65"/>
    <n v="0.65"/>
    <n v="0.65"/>
    <n v="0.65"/>
    <n v="0.65"/>
    <x v="6"/>
    <n v="0.65"/>
    <n v="0.75"/>
    <n v="0.8"/>
    <x v="4"/>
    <s v="no"/>
    <s v="no"/>
    <s v="no"/>
    <s v="no"/>
    <s v="no"/>
    <s v="no"/>
    <s v="no"/>
    <x v="1"/>
    <s v="no"/>
    <s v="no"/>
    <s v="no"/>
    <s v="Se realizaron acuerdos con la Centrosur para en Octubre 2018 concluir la obra"/>
    <m/>
    <m/>
    <s v="Suspendido"/>
    <s v="Suspendido"/>
    <m/>
    <m/>
    <m/>
    <m/>
    <m/>
    <m/>
    <m/>
    <m/>
    <m/>
  </r>
  <r>
    <x v="3"/>
    <s v="CONSULTORIA INDIVIDUAL"/>
    <x v="0"/>
    <s v="Proyectos de expansión y refuerzo en el Sistema Nacional de Distribución"/>
    <x v="3"/>
    <x v="7"/>
    <x v="0"/>
    <s v="CAÑAR"/>
    <x v="92"/>
    <n v="2"/>
    <x v="0"/>
    <s v="BID2-RSND-EEAZ-FI-CI-005"/>
    <s v=" FISCALIZACIÓN DE COMUNICACIONES DE LA  CONCLUSIÓN INTEGRACIÓN DE LOS SISTEMAS DE SUBTRANSMISIÓN DE LAS EMPRESAS AZOGUEZ - CENTRO SUR - CELEC EP HIDROAZOGUEZ"/>
    <m/>
    <s v="CCIN"/>
    <s v="ex-post"/>
    <s v="CONTRATADO"/>
    <s v="119-AJ-BID"/>
    <s v="ING. EDGAR PATRICIO ALVAREZ ROJAS"/>
    <s v="ECUATORIANA"/>
    <s v="PERSONA NATURAL"/>
    <s v="0 301464137001"/>
    <s v="NO APLICA"/>
    <s v="NO APLICA"/>
    <s v="ING. CRISTIAN PEREZ"/>
    <s v="TELF. (07) 2240-377       EXT.  146         CEL. 0987-214-812."/>
    <m/>
    <n v="28114.38"/>
    <n v="0"/>
    <n v="28114.38"/>
    <n v="0"/>
    <n v="28114.38"/>
    <n v="0.12"/>
    <n v="3373.7256000000002"/>
    <n v="0"/>
    <n v="31488.105600000003"/>
    <m/>
    <m/>
    <m/>
    <m/>
    <n v="28114.38"/>
    <m/>
    <n v="28114.38"/>
    <n v="0.14000000000000001"/>
    <n v="3936.0132000000003"/>
    <n v="32050.393199999999"/>
    <m/>
    <m/>
    <m/>
    <m/>
    <m/>
    <m/>
    <m/>
    <m/>
    <m/>
    <m/>
    <m/>
    <n v="0"/>
    <n v="0"/>
    <s v="LLAMADO  EXPRESIÓN DE INTERES"/>
    <s v="NO APLICA"/>
    <s v="NO APLICA"/>
    <m/>
    <m/>
    <m/>
    <d v="2016-07-18T00:00:00"/>
    <s v="NO APLICA"/>
    <s v="NO APLICA"/>
    <d v="2016-07-22T00:00:00"/>
    <s v="NO APLICA"/>
    <d v="2016-07-22T00:00:00"/>
    <d v="2016-07-25T00:00:00"/>
    <s v="NO APLICA"/>
    <s v="NO APLICA"/>
    <s v="NO APLICA"/>
    <d v="2016-08-30T00:00:00"/>
    <s v="NO APLICA"/>
    <d v="2016-08-30T00:00:00"/>
    <d v="2016-09-22T00:00:00"/>
    <s v="NO APLICA"/>
    <s v="NO APLICA"/>
    <s v="NO APLICA"/>
    <m/>
    <m/>
    <m/>
    <m/>
    <m/>
    <m/>
    <m/>
    <m/>
    <m/>
    <m/>
    <m/>
    <m/>
    <m/>
    <m/>
    <s v="NO APLICA"/>
    <s v="NO APLICA"/>
    <s v="NO APLICA"/>
    <d v="2016-10-07T00:00:00"/>
    <n v="8434.31"/>
    <m/>
    <m/>
    <m/>
    <m/>
    <m/>
    <m/>
    <m/>
    <m/>
    <m/>
    <m/>
    <m/>
    <m/>
    <m/>
    <m/>
    <m/>
    <m/>
    <m/>
    <m/>
    <m/>
    <m/>
    <m/>
    <m/>
    <m/>
    <m/>
    <m/>
    <m/>
    <m/>
    <n v="8434.31"/>
    <m/>
    <m/>
    <m/>
    <m/>
    <m/>
    <m/>
    <m/>
    <n v="300"/>
    <s v="DATO PENDIENTE"/>
    <s v="DATO PENDIENTE"/>
    <s v="DATO PENDIENTE"/>
    <m/>
    <m/>
    <m/>
    <m/>
    <m/>
    <m/>
    <m/>
    <m/>
    <m/>
    <m/>
    <m/>
    <m/>
    <m/>
    <m/>
    <m/>
    <m/>
    <m/>
    <m/>
    <m/>
    <m/>
    <m/>
    <m/>
    <m/>
    <m/>
    <m/>
    <m/>
    <m/>
    <m/>
    <m/>
    <m/>
    <m/>
    <m/>
    <m/>
    <m/>
    <m/>
    <m/>
    <s v="17.5%"/>
    <n v="0.17499999999999999"/>
    <n v="0.17499999999999999"/>
    <n v="0.17499999999999999"/>
    <n v="0.2"/>
    <n v="0.2"/>
    <n v="0.44"/>
    <n v="0.44"/>
    <n v="0.44"/>
    <n v="0.65"/>
    <n v="0.65"/>
    <n v="0.65"/>
    <n v="0.65"/>
    <n v="0.65"/>
    <n v="0.65"/>
    <n v="0.65"/>
    <n v="0.65"/>
    <n v="0.65"/>
    <n v="0.65"/>
    <n v="0.65"/>
    <x v="6"/>
    <n v="0.65"/>
    <n v="0.75"/>
    <n v="0.8"/>
    <x v="4"/>
    <s v="no"/>
    <s v="no"/>
    <s v="no"/>
    <s v="no"/>
    <s v="no"/>
    <s v="no"/>
    <s v="no"/>
    <x v="1"/>
    <s v="no"/>
    <s v="no"/>
    <s v="no"/>
    <s v="Se realizaron acuerdos con la Centrosur para en Octubre 2018 concluir la obra"/>
    <m/>
    <m/>
    <s v="Suspendido"/>
    <s v="Suspendido"/>
    <m/>
    <m/>
    <m/>
    <m/>
    <m/>
    <m/>
    <m/>
    <m/>
    <m/>
  </r>
  <r>
    <x v="3"/>
    <s v="CONSULTORIA INDIVIDUAL"/>
    <x v="0"/>
    <s v="Proyectos de expansión y refuerzo en el Sistema Nacional de Distribución"/>
    <x v="3"/>
    <x v="7"/>
    <x v="1"/>
    <s v="CAÑAR"/>
    <x v="93"/>
    <n v="3"/>
    <x v="0"/>
    <s v="BID2-RSND-EEAZ-FI-CI-008"/>
    <s v="FISCALIZACIÓN POSICION DE LÍNEA PARA S/E GUAPAN UCEM EN LA S/E AZOGUES 1"/>
    <m/>
    <s v="CCIN"/>
    <s v="ex-post"/>
    <s v="CONTRATADO"/>
    <s v="115-AJ-BID 2"/>
    <s v="ING. AGUSTÍN PEÑAHERRERA WILCHES"/>
    <s v="ECUATORIANA"/>
    <s v="PERSONA NATURAL"/>
    <s v="0 102260882001"/>
    <s v="NO APLICA"/>
    <s v="NO APLICA"/>
    <s v="ING. PATRICIO GONZÁLEZ"/>
    <s v="TELF. (07) 2240-377     EXT. 171        CEL. 0984-891-849"/>
    <m/>
    <n v="19660.84"/>
    <n v="0"/>
    <n v="19660.84"/>
    <n v="0"/>
    <n v="19660.84"/>
    <n v="0.12"/>
    <n v="2359.3008"/>
    <n v="0"/>
    <n v="22020.140800000001"/>
    <m/>
    <m/>
    <m/>
    <m/>
    <n v="19660.84"/>
    <m/>
    <n v="19660.830000000002"/>
    <n v="0.14000000000000001"/>
    <n v="2752.5162000000005"/>
    <n v="22413.3462"/>
    <m/>
    <m/>
    <m/>
    <m/>
    <m/>
    <m/>
    <m/>
    <m/>
    <m/>
    <m/>
    <m/>
    <n v="9.9999999983992893E-3"/>
    <n v="9.9999999983992893E-3"/>
    <s v="LLAMADO  EXPRESIÓN DE INTERES"/>
    <s v="NO APLICA"/>
    <s v="NO APLICA"/>
    <m/>
    <m/>
    <m/>
    <d v="2016-07-18T00:00:00"/>
    <s v="NO APLICA"/>
    <s v="NO APLICA"/>
    <d v="2016-07-22T00:00:00"/>
    <s v="NO APLICA"/>
    <d v="2016-07-22T00:00:00"/>
    <d v="2016-07-25T00:00:00"/>
    <s v="NO APLICA"/>
    <s v="NO APLICA"/>
    <s v="NO APLICA"/>
    <d v="2016-10-12T00:00:00"/>
    <s v="NO APLICA"/>
    <s v="DATO PENDIENTE"/>
    <d v="2016-10-19T00:00:00"/>
    <s v="NO APLICA"/>
    <s v="NO APLICA"/>
    <s v="NO APLICA"/>
    <m/>
    <m/>
    <m/>
    <m/>
    <m/>
    <m/>
    <m/>
    <m/>
    <m/>
    <m/>
    <m/>
    <m/>
    <m/>
    <m/>
    <s v="NO APLICA"/>
    <s v="NO APLICA"/>
    <s v="NO APLICA"/>
    <d v="2016-12-09T00:00:00"/>
    <n v="5898.25"/>
    <m/>
    <m/>
    <m/>
    <m/>
    <m/>
    <m/>
    <m/>
    <m/>
    <m/>
    <m/>
    <m/>
    <m/>
    <m/>
    <m/>
    <m/>
    <m/>
    <m/>
    <m/>
    <m/>
    <m/>
    <m/>
    <m/>
    <m/>
    <m/>
    <m/>
    <m/>
    <m/>
    <n v="5898.25"/>
    <m/>
    <m/>
    <m/>
    <m/>
    <m/>
    <m/>
    <m/>
    <n v="300"/>
    <s v="DESDE LA FECHA DE INICIO DE LA OBRA"/>
    <d v="2016-08-23T00:00:00"/>
    <d v="2017-06-19T00:00:00"/>
    <m/>
    <m/>
    <m/>
    <m/>
    <m/>
    <m/>
    <m/>
    <m/>
    <m/>
    <m/>
    <m/>
    <m/>
    <m/>
    <m/>
    <m/>
    <m/>
    <m/>
    <m/>
    <m/>
    <m/>
    <m/>
    <m/>
    <m/>
    <m/>
    <m/>
    <m/>
    <m/>
    <m/>
    <m/>
    <m/>
    <m/>
    <m/>
    <m/>
    <m/>
    <m/>
    <m/>
    <s v="17.5%"/>
    <n v="0.17499999999999999"/>
    <n v="0.17499999999999999"/>
    <n v="0.17499999999999999"/>
    <n v="0.2"/>
    <n v="0.2"/>
    <n v="0.4"/>
    <n v="0.4"/>
    <n v="0.4"/>
    <n v="0.4"/>
    <n v="0.4"/>
    <n v="0.4"/>
    <n v="0.4"/>
    <n v="0.4"/>
    <n v="0.44"/>
    <n v="0.44"/>
    <n v="0.44"/>
    <n v="0.44"/>
    <n v="0.44"/>
    <n v="0.44"/>
    <x v="5"/>
    <n v="0.98"/>
    <n v="1"/>
    <n v="1"/>
    <x v="0"/>
    <s v="no"/>
    <s v="no"/>
    <s v="no"/>
    <s v="no"/>
    <s v="no"/>
    <s v="no"/>
    <s v="no"/>
    <x v="1"/>
    <s v="no"/>
    <s v="no"/>
    <s v="no"/>
    <s v="Se realizaron acuerdos con la Centrosur para en Octubre 2018 concluir la obra"/>
    <m/>
    <m/>
    <s v="En ejecución"/>
    <s v="En ejecución"/>
    <m/>
    <m/>
    <m/>
    <m/>
    <m/>
    <m/>
    <m/>
    <m/>
    <m/>
  </r>
  <r>
    <x v="4"/>
    <s v="CONSULTORIA INDIVIDUAL"/>
    <x v="0"/>
    <s v="Proyectos de expansión y refuerzo en el Sistema Nacional de Distribución"/>
    <x v="0"/>
    <x v="7"/>
    <x v="0"/>
    <s v="COTOPAXI"/>
    <x v="94"/>
    <n v="2"/>
    <x v="0"/>
    <s v="BID2-RSND-ELEPCO-FI-CI-001"/>
    <s v="FISCALIZACIÓN DEL REFORZAMIENTO DE REDES CALLE 19 DE MAYO (LA MANÁ)"/>
    <m/>
    <s v="CCIN"/>
    <s v="ex-post"/>
    <s v="EJECUTADO EE"/>
    <m/>
    <m/>
    <m/>
    <m/>
    <m/>
    <s v="NO APLICA"/>
    <s v="NO APLICA"/>
    <m/>
    <m/>
    <m/>
    <n v="0"/>
    <n v="0"/>
    <m/>
    <n v="0"/>
    <n v="0"/>
    <n v="0.12"/>
    <n v="0"/>
    <n v="0"/>
    <n v="0"/>
    <m/>
    <m/>
    <m/>
    <m/>
    <m/>
    <m/>
    <m/>
    <m/>
    <m/>
    <m/>
    <m/>
    <m/>
    <m/>
    <m/>
    <m/>
    <m/>
    <m/>
    <m/>
    <m/>
    <m/>
    <m/>
    <m/>
    <n v="0"/>
    <m/>
    <m/>
    <s v="NO APLICA"/>
    <m/>
    <m/>
    <m/>
    <m/>
    <m/>
    <m/>
    <m/>
    <m/>
    <m/>
    <m/>
    <m/>
    <m/>
    <m/>
    <m/>
    <m/>
    <m/>
    <m/>
    <s v="NO APLICA"/>
    <s v="NO APLICA"/>
    <s v="NO APLICA"/>
    <s v="NO APLICA"/>
    <s v="NO APLICA"/>
    <s v="NO APLICA"/>
    <s v="NO APLICA"/>
    <s v="NO APLICA"/>
    <s v="NO APLICA"/>
    <s v="NO APLICA"/>
    <s v="NO APLICA"/>
    <s v="NO APLICA"/>
    <s v="NO APLICA"/>
    <s v="NO APLICA"/>
    <s v="NO APLICA"/>
    <s v="NO APLICA"/>
    <s v="NO APLICA"/>
    <s v="NO APLICA"/>
    <s v="NO APLICA"/>
    <s v="NO APLICA"/>
    <m/>
    <m/>
    <m/>
    <m/>
    <m/>
    <m/>
    <m/>
    <m/>
    <m/>
    <m/>
    <m/>
    <m/>
    <m/>
    <m/>
    <m/>
    <m/>
    <m/>
    <m/>
    <m/>
    <m/>
    <m/>
    <m/>
    <m/>
    <m/>
    <m/>
    <m/>
    <m/>
    <m/>
    <m/>
    <n v="0"/>
    <m/>
    <m/>
    <m/>
    <m/>
    <m/>
    <m/>
    <m/>
    <m/>
    <m/>
    <m/>
    <m/>
    <m/>
    <m/>
    <m/>
    <m/>
    <m/>
    <m/>
    <m/>
    <m/>
    <m/>
    <m/>
    <m/>
    <m/>
    <m/>
    <m/>
    <m/>
    <m/>
    <m/>
    <m/>
    <m/>
    <m/>
    <m/>
    <m/>
    <m/>
    <m/>
    <m/>
    <m/>
    <m/>
    <m/>
    <m/>
    <m/>
    <m/>
    <m/>
    <m/>
    <m/>
    <m/>
    <m/>
    <m/>
    <n v="1"/>
    <n v="1"/>
    <n v="1"/>
    <n v="1"/>
    <n v="1"/>
    <n v="1"/>
    <n v="1"/>
    <n v="1"/>
    <n v="1"/>
    <n v="1"/>
    <n v="1"/>
    <n v="1"/>
    <n v="1"/>
    <n v="1"/>
    <n v="1"/>
    <n v="1"/>
    <n v="1"/>
    <n v="1"/>
    <n v="1"/>
    <x v="0"/>
    <n v="1"/>
    <n v="1"/>
    <n v="1"/>
    <x v="0"/>
    <s v="no"/>
    <s v="no"/>
    <s v="no"/>
    <s v="no"/>
    <s v="no"/>
    <s v="no"/>
    <s v="no"/>
    <x v="1"/>
    <s v="no"/>
    <s v="no"/>
    <s v="no"/>
    <m/>
    <m/>
    <m/>
    <m/>
    <m/>
    <m/>
    <m/>
    <m/>
    <m/>
    <m/>
    <s v="ESTE PROCESO SE REEMPLAZARÁ POR  EL PROYECTO BARRIO ALÁQUEZ ORIENTE, ESTA PENDIENTE LA MEMORIA TÉCNICA PARA LA APROBACIÓN RESPECTIVA (Oficio Nro.ELEPCOSA-PE-DP-2016-0433-OF de 17 de febrero de 2016"/>
    <m/>
    <m/>
    <m/>
  </r>
  <r>
    <x v="7"/>
    <s v="CONSULTORIA INDIVIDUAL"/>
    <x v="0"/>
    <s v=" Proyectos de expansión y refuerzo en el Sistema Nacional de Distribución"/>
    <x v="0"/>
    <x v="7"/>
    <x v="0"/>
    <s v="IMBABURA"/>
    <x v="117"/>
    <n v="1"/>
    <x v="0"/>
    <s v="BID2-RSND-EMELNORTE-FI-CI-001"/>
    <s v="FISCALIZACIÓN READECUACIÓN ALIMENTADOR CALLE MALDONADO Y MEJIA"/>
    <m/>
    <s v="CCIN"/>
    <s v="ex-post"/>
    <s v="EJECUTADO BID"/>
    <s v="BID2-RSND-EMELNORTE-FI-CI-001"/>
    <s v="ING. PAÚL RECALDE ROJAS"/>
    <s v="ECUATORIANA"/>
    <s v="PERSONA NATURAL"/>
    <n v="1001993300001"/>
    <s v="NO APLICA"/>
    <s v="NO APLICA"/>
    <s v="ING. LUIS FELIPE AGUIRRE"/>
    <m/>
    <m/>
    <n v="21000"/>
    <n v="0"/>
    <n v="21000"/>
    <n v="0"/>
    <n v="21000"/>
    <n v="0.12"/>
    <n v="2520"/>
    <n v="0"/>
    <n v="23520.000000000004"/>
    <n v="20676.399999999998"/>
    <n v="323.60000000000218"/>
    <m/>
    <m/>
    <n v="21000"/>
    <m/>
    <n v="20676.41"/>
    <m/>
    <m/>
    <m/>
    <m/>
    <m/>
    <m/>
    <m/>
    <m/>
    <m/>
    <m/>
    <m/>
    <m/>
    <m/>
    <m/>
    <n v="323.59000000000015"/>
    <n v="323.59000000000015"/>
    <s v="CONSTA EN LA INVITACIÓN "/>
    <s v="NO APLICA"/>
    <s v="NO APLICA"/>
    <m/>
    <m/>
    <m/>
    <s v="NO HAY FECHA EN LA INVITACIÓN"/>
    <s v="NO APLICA"/>
    <s v="NO APLICA"/>
    <d v="2015-10-14T00:00:00"/>
    <s v="NO APLICA"/>
    <s v="NO APLICA"/>
    <s v="NO APLICA"/>
    <s v="NO APLICA"/>
    <s v="NO APLICA"/>
    <s v="NO APLICA"/>
    <s v="NO APLICA"/>
    <s v="NO APLICA"/>
    <d v="2015-10-29T00:00:00"/>
    <d v="2015-11-17T00:00:00"/>
    <s v="NO APLICA"/>
    <s v="NO APLICA"/>
    <s v="NO APLICA"/>
    <m/>
    <m/>
    <m/>
    <m/>
    <m/>
    <m/>
    <m/>
    <m/>
    <m/>
    <m/>
    <m/>
    <m/>
    <m/>
    <m/>
    <s v="NO APLICA"/>
    <s v="NO APLICA"/>
    <s v="NO APLICA"/>
    <d v="2016-08-29T00:00:00"/>
    <n v="7236.74"/>
    <s v="Pago 2/4 - planilla 1 - 35%"/>
    <d v="2016-10-04T00:00:00"/>
    <n v="7236.74"/>
    <s v="Pago 3/4 - planilla 3 - 20%"/>
    <d v="2016-11-16T00:00:00"/>
    <n v="4135.28"/>
    <s v="Pago 4/4 - planilla 4 - 10%"/>
    <d v="2017-03-27T00:00:00"/>
    <n v="2067.64"/>
    <m/>
    <m/>
    <m/>
    <m/>
    <m/>
    <m/>
    <m/>
    <m/>
    <m/>
    <m/>
    <m/>
    <m/>
    <m/>
    <m/>
    <m/>
    <m/>
    <m/>
    <m/>
    <n v="20676.399999999998"/>
    <m/>
    <m/>
    <m/>
    <m/>
    <m/>
    <m/>
    <m/>
    <n v="180"/>
    <s v="NOTIFICACIÓN DEL ADMINISTRADOR"/>
    <d v="2015-12-17T00:00:00"/>
    <d v="2016-06-14T00:00:00"/>
    <m/>
    <m/>
    <m/>
    <m/>
    <m/>
    <m/>
    <m/>
    <m/>
    <m/>
    <m/>
    <m/>
    <m/>
    <m/>
    <m/>
    <m/>
    <m/>
    <m/>
    <m/>
    <m/>
    <m/>
    <m/>
    <m/>
    <m/>
    <n v="0.1"/>
    <n v="0.18"/>
    <n v="0.28999999999999998"/>
    <n v="0.49880000000000002"/>
    <n v="0.67920000000000003"/>
    <n v="0.99"/>
    <n v="1"/>
    <n v="1"/>
    <n v="1"/>
    <n v="1"/>
    <n v="1"/>
    <n v="1"/>
    <n v="1"/>
    <n v="1"/>
    <n v="1"/>
    <n v="1"/>
    <n v="1"/>
    <n v="1"/>
    <n v="1"/>
    <n v="1"/>
    <n v="1"/>
    <n v="1"/>
    <n v="1"/>
    <n v="1"/>
    <n v="1"/>
    <n v="1"/>
    <n v="1"/>
    <n v="1"/>
    <n v="1"/>
    <n v="1"/>
    <n v="1"/>
    <n v="1"/>
    <n v="1"/>
    <x v="0"/>
    <n v="1"/>
    <n v="1"/>
    <n v="1"/>
    <x v="0"/>
    <s v="si"/>
    <s v="si"/>
    <s v="si"/>
    <s v="si"/>
    <s v="si"/>
    <s v="si"/>
    <s v="si"/>
    <x v="0"/>
    <s v="si"/>
    <s v="si"/>
    <s v="si"/>
    <m/>
    <m/>
    <m/>
    <m/>
    <m/>
    <m/>
    <m/>
    <m/>
    <m/>
    <m/>
    <m/>
    <m/>
    <m/>
    <m/>
  </r>
  <r>
    <x v="7"/>
    <s v="CONSULTORIA INDIVIDUAL"/>
    <x v="0"/>
    <s v=" Proyectos de expansión y refuerzo en el Sistema Nacional de Distribución"/>
    <x v="0"/>
    <x v="7"/>
    <x v="0"/>
    <s v="IMBABURA"/>
    <x v="118"/>
    <n v="2"/>
    <x v="0"/>
    <s v="BID2-RSND-EMELNORTE-FI-CI-002"/>
    <s v="FISCALIZACIÓN ALIMENTADOR EXPRESO CHOTA PIMAMPIRO"/>
    <m/>
    <s v="CCIN"/>
    <s v="ex-post"/>
    <s v="EJECUTADO BID"/>
    <s v="BID2-RSND-EMELNORTE-FI-CI-002"/>
    <s v="ING. ALEJANDRO VLADIMIR ECHEVERRIA GUEVARA"/>
    <s v="ECUATORIANA"/>
    <s v="PERSONA NATURAL"/>
    <n v="1002344909001"/>
    <s v="NO APLICA"/>
    <s v="NO APLICA"/>
    <s v="ING. JOSÉ ANGAMARCA"/>
    <m/>
    <m/>
    <n v="21000"/>
    <n v="0"/>
    <n v="21000"/>
    <n v="0"/>
    <n v="21000"/>
    <n v="0.12"/>
    <n v="2520"/>
    <n v="0"/>
    <n v="23520.000000000004"/>
    <n v="20506.600000000002"/>
    <n v="493.39999999999782"/>
    <m/>
    <m/>
    <n v="21000"/>
    <m/>
    <n v="20506.59"/>
    <m/>
    <m/>
    <m/>
    <m/>
    <m/>
    <m/>
    <m/>
    <m/>
    <m/>
    <m/>
    <m/>
    <m/>
    <m/>
    <m/>
    <n v="493.40999999999985"/>
    <n v="493.40999999999985"/>
    <s v="CONSTA EN LA INVITACIÓN "/>
    <s v="NO APLICA"/>
    <s v="NO APLICA"/>
    <m/>
    <m/>
    <m/>
    <s v="NO HAY FECHA EN LA INVITACIÓN"/>
    <s v="NO APLICA"/>
    <s v="NO APLICA"/>
    <d v="2015-10-14T00:00:00"/>
    <s v="NO APLICA"/>
    <s v="NO APLICA"/>
    <s v="NO APLICA"/>
    <s v="NO APLICA"/>
    <s v="NO APLICA"/>
    <s v="NO APLICA"/>
    <s v="NO APLICA"/>
    <s v="NO APLICA"/>
    <d v="2015-10-29T00:00:00"/>
    <d v="2015-11-11T00:00:00"/>
    <s v="NO APLICA"/>
    <s v="NO APLICA"/>
    <s v="NO APLICA"/>
    <m/>
    <m/>
    <m/>
    <m/>
    <m/>
    <m/>
    <m/>
    <m/>
    <m/>
    <m/>
    <m/>
    <m/>
    <m/>
    <m/>
    <s v="NO APLICA"/>
    <s v="NO APLICA"/>
    <s v="NO APLICA"/>
    <m/>
    <m/>
    <m/>
    <d v="2016-08-23T00:00:00"/>
    <n v="7177.31"/>
    <m/>
    <d v="2016-08-23T00:00:00"/>
    <n v="7177.31"/>
    <m/>
    <d v="2016-11-15T00:00:00"/>
    <n v="4101.32"/>
    <m/>
    <m/>
    <m/>
    <m/>
    <m/>
    <m/>
    <m/>
    <m/>
    <m/>
    <m/>
    <m/>
    <m/>
    <m/>
    <m/>
    <m/>
    <m/>
    <m/>
    <m/>
    <n v="18455.940000000002"/>
    <m/>
    <m/>
    <m/>
    <m/>
    <m/>
    <m/>
    <m/>
    <n v="180"/>
    <s v="NOTIFICACIÓN DEL ADMINISTRADOR"/>
    <d v="2015-12-15T00:00:00"/>
    <d v="2016-06-12T00:00:00"/>
    <m/>
    <m/>
    <m/>
    <m/>
    <m/>
    <m/>
    <m/>
    <m/>
    <m/>
    <m/>
    <m/>
    <m/>
    <m/>
    <m/>
    <m/>
    <m/>
    <m/>
    <m/>
    <m/>
    <m/>
    <m/>
    <m/>
    <m/>
    <n v="0.15"/>
    <n v="0.28000000000000003"/>
    <n v="0.3"/>
    <n v="0.5"/>
    <n v="0.75"/>
    <n v="0.8"/>
    <n v="0.88"/>
    <n v="1"/>
    <n v="1"/>
    <n v="1"/>
    <n v="1"/>
    <n v="1"/>
    <n v="1"/>
    <n v="1"/>
    <n v="1"/>
    <n v="1"/>
    <n v="1"/>
    <n v="1"/>
    <n v="1"/>
    <n v="1"/>
    <n v="1"/>
    <n v="1"/>
    <n v="1"/>
    <n v="1"/>
    <n v="1"/>
    <n v="1"/>
    <n v="1"/>
    <n v="1"/>
    <n v="1"/>
    <n v="1"/>
    <n v="1"/>
    <n v="1"/>
    <n v="1"/>
    <x v="0"/>
    <n v="1"/>
    <n v="1"/>
    <n v="1"/>
    <x v="0"/>
    <s v="si"/>
    <s v="si"/>
    <s v="si"/>
    <s v="si"/>
    <s v="si"/>
    <s v="si"/>
    <s v="si"/>
    <x v="0"/>
    <s v="si"/>
    <s v="si"/>
    <s v="si"/>
    <m/>
    <m/>
    <m/>
    <m/>
    <m/>
    <m/>
    <m/>
    <m/>
    <m/>
    <m/>
    <m/>
    <m/>
    <m/>
    <m/>
  </r>
  <r>
    <x v="7"/>
    <s v="CONSULTORIA INDIVIDUAL"/>
    <x v="0"/>
    <s v=" Proyectos de expansión y refuerzo en el Sistema Nacional de Distribución"/>
    <x v="0"/>
    <x v="7"/>
    <x v="0"/>
    <s v="IMBABURA"/>
    <x v="119"/>
    <n v="3"/>
    <x v="0"/>
    <s v="BID2-RSND-EMELNORTE-FI-CI-003"/>
    <s v="FISCALIZACIÓN CAMBIO DE REDES DE MT CONVENCIONALES A SEMIAISLADA EN ALIMENTADORES DE LAS SE CAYAMBE Y LA ESPERANZA"/>
    <m/>
    <s v="CCIN"/>
    <s v="ex-post"/>
    <s v="EJECUTADO BID"/>
    <s v="BID2-RSND-EMELNORTE-FI-CI-003"/>
    <s v="ING. CLAUDIO EDISON GUALOTUÑA"/>
    <s v="ECUATORIANA"/>
    <s v="PERSONA NATURAL"/>
    <n v="1712452745001"/>
    <s v="NO APLICA"/>
    <s v="NO APLICA"/>
    <s v="ING. STALIN YUGSI"/>
    <m/>
    <m/>
    <n v="25319.53"/>
    <n v="0"/>
    <n v="25319.531857142905"/>
    <n v="0"/>
    <n v="25319.531857142905"/>
    <n v="0.12"/>
    <n v="3038.3438228571486"/>
    <n v="0"/>
    <n v="28357.875680000056"/>
    <n v="24050"/>
    <n v="1269.5299999999988"/>
    <m/>
    <m/>
    <n v="25319.531857142905"/>
    <m/>
    <n v="24050"/>
    <m/>
    <m/>
    <m/>
    <m/>
    <m/>
    <m/>
    <m/>
    <m/>
    <m/>
    <m/>
    <m/>
    <m/>
    <m/>
    <m/>
    <n v="1269.5299999999988"/>
    <n v="1269.5299999999988"/>
    <s v="CONSTA EN LA INVITACIÓN "/>
    <s v="NO APLICA"/>
    <s v="NO APLICA"/>
    <m/>
    <m/>
    <m/>
    <s v="NO HAY FECHA EN LA INVITACIÓN"/>
    <s v="NO APLICA"/>
    <s v="NO APLICA"/>
    <d v="2015-10-14T00:00:00"/>
    <s v="NO APLICA"/>
    <s v="NO APLICA"/>
    <s v="NO APLICA"/>
    <s v="NO APLICA"/>
    <s v="NO APLICA"/>
    <s v="NO APLICA"/>
    <s v="NO APLICA"/>
    <s v="NO APLICA"/>
    <d v="2015-12-04T00:00:00"/>
    <d v="2015-12-15T00:00:00"/>
    <s v="NO APLICA"/>
    <s v="NO APLICA"/>
    <s v="NO APLICA"/>
    <m/>
    <m/>
    <m/>
    <m/>
    <m/>
    <m/>
    <m/>
    <m/>
    <m/>
    <m/>
    <m/>
    <m/>
    <m/>
    <m/>
    <s v="NO APLICA"/>
    <s v="NO APLICA"/>
    <s v="NO APLICA"/>
    <m/>
    <m/>
    <s v="Pago 1/4 - planilla 1 - 35%"/>
    <d v="2016-11-16T00:00:00"/>
    <n v="8417.5"/>
    <s v="Pago 2/4 - planilla 2 -35 %"/>
    <d v="2016-12-30T00:00:00"/>
    <n v="8417.5"/>
    <s v="Pago 3/4 - planilla 3 -20 %"/>
    <d v="2017-04-04T00:00:00"/>
    <n v="4810"/>
    <m/>
    <m/>
    <m/>
    <m/>
    <m/>
    <m/>
    <m/>
    <m/>
    <m/>
    <m/>
    <m/>
    <m/>
    <m/>
    <m/>
    <m/>
    <m/>
    <m/>
    <m/>
    <n v="21645"/>
    <m/>
    <m/>
    <m/>
    <m/>
    <m/>
    <m/>
    <m/>
    <n v="240"/>
    <s v="NOTIFICACIÓN DEL ADMINISTRADOR"/>
    <d v="2016-01-28T00:00:00"/>
    <d v="2016-09-24T00:00:00"/>
    <m/>
    <m/>
    <m/>
    <m/>
    <m/>
    <m/>
    <m/>
    <m/>
    <m/>
    <m/>
    <m/>
    <m/>
    <m/>
    <m/>
    <m/>
    <m/>
    <m/>
    <m/>
    <m/>
    <m/>
    <m/>
    <m/>
    <m/>
    <m/>
    <m/>
    <m/>
    <m/>
    <m/>
    <n v="0.23"/>
    <n v="0.39240000000000003"/>
    <n v="0.52100000000000002"/>
    <n v="0.7177"/>
    <n v="0.8"/>
    <n v="0.98"/>
    <n v="1"/>
    <n v="1"/>
    <n v="1"/>
    <n v="1"/>
    <n v="1"/>
    <n v="1"/>
    <n v="1"/>
    <n v="1"/>
    <n v="1"/>
    <n v="1"/>
    <n v="1"/>
    <n v="1"/>
    <n v="1"/>
    <n v="1"/>
    <n v="1"/>
    <n v="1"/>
    <n v="1"/>
    <n v="1"/>
    <n v="1"/>
    <n v="1"/>
    <n v="1"/>
    <n v="1"/>
    <x v="0"/>
    <n v="1"/>
    <n v="1"/>
    <n v="1"/>
    <x v="0"/>
    <s v="si"/>
    <s v="si"/>
    <s v="si"/>
    <s v="si"/>
    <s v="si"/>
    <s v="si"/>
    <s v="si"/>
    <x v="0"/>
    <s v="si"/>
    <s v="si"/>
    <s v="si"/>
    <m/>
    <m/>
    <m/>
    <m/>
    <m/>
    <m/>
    <m/>
    <m/>
    <m/>
    <m/>
    <m/>
    <m/>
    <m/>
    <m/>
  </r>
  <r>
    <x v="8"/>
    <s v="CONSULTORIA INDIVIDUAL"/>
    <x v="0"/>
    <s v="Proyectos de expansión y refuerzo en el Sistema Nacional de Distribución"/>
    <x v="0"/>
    <x v="7"/>
    <x v="0"/>
    <s v="PICHINCHA"/>
    <x v="136"/>
    <n v="1"/>
    <x v="0"/>
    <s v="BID2-RSND-EEQ-FI-CI-001"/>
    <s v=" FISCALIZACIÓN REFORZAMIENTO DE SISTEMAS DE MEDICIÓN CONCENTRADOS ZONA NORTE DE LA EMPRESA ELÉCTRICA QUITO."/>
    <m/>
    <s v="CCIN"/>
    <s v="ex-post"/>
    <s v="EJECUTADO BID"/>
    <s v="SG 572-2015"/>
    <s v="ING. FAUSTO JESUS TELLO LLERENA"/>
    <s v="ECUATORIANA"/>
    <s v="PERSONA NATURAL"/>
    <s v="1710537521001"/>
    <s v="NO APLICA"/>
    <s v="NO APLICA"/>
    <m/>
    <m/>
    <m/>
    <n v="35000"/>
    <n v="0"/>
    <n v="35000"/>
    <n v="0"/>
    <n v="35000"/>
    <n v="0.12"/>
    <n v="4200"/>
    <n v="0"/>
    <n v="39200.000000000007"/>
    <n v="35000"/>
    <n v="0"/>
    <m/>
    <m/>
    <n v="35000"/>
    <m/>
    <n v="35000"/>
    <m/>
    <m/>
    <m/>
    <m/>
    <m/>
    <m/>
    <m/>
    <m/>
    <m/>
    <m/>
    <m/>
    <m/>
    <m/>
    <m/>
    <n v="0"/>
    <n v="0"/>
    <m/>
    <s v="NO APLICA"/>
    <s v="NO APLICA"/>
    <m/>
    <m/>
    <m/>
    <m/>
    <m/>
    <m/>
    <m/>
    <m/>
    <m/>
    <m/>
    <d v="2015-12-14T00:00:00"/>
    <d v="2015-12-15T00:00:00"/>
    <s v="NO APLICA"/>
    <s v="NO APLICA"/>
    <s v="NO APLICA"/>
    <s v="NO APLICA"/>
    <d v="2015-12-24T00:00:00"/>
    <s v="NO APLICA"/>
    <s v="NO APLICA"/>
    <s v="NO APLICA"/>
    <m/>
    <m/>
    <m/>
    <m/>
    <m/>
    <m/>
    <m/>
    <m/>
    <m/>
    <m/>
    <m/>
    <m/>
    <m/>
    <m/>
    <s v="NO APLICA"/>
    <s v="NO APLICA"/>
    <s v="NO APLICA"/>
    <m/>
    <m/>
    <s v="Pago 1-Planilla 1- 10%"/>
    <d v="2016-09-08T00:00:00"/>
    <n v="3500"/>
    <s v="Pago 2-Planilla 2-10%"/>
    <d v="2016-09-27T00:00:00"/>
    <n v="8750"/>
    <s v="Pago 3/5-Planilla 3-25%"/>
    <d v="2017-01-06T00:00:00"/>
    <n v="8750"/>
    <s v="Pago 4/5-Planilla 4-25%"/>
    <d v="2017-01-06T00:00:00"/>
    <n v="10500"/>
    <s v="Pago 5/5-Planilla 5-10%"/>
    <d v="2017-02-09T00:00:00"/>
    <n v="3500"/>
    <m/>
    <m/>
    <m/>
    <m/>
    <m/>
    <m/>
    <m/>
    <m/>
    <m/>
    <m/>
    <m/>
    <m/>
    <n v="35000"/>
    <m/>
    <m/>
    <m/>
    <m/>
    <m/>
    <m/>
    <m/>
    <n v="360"/>
    <m/>
    <s v="DATO PENDIENTE"/>
    <s v="DATO PENDIENTE"/>
    <m/>
    <m/>
    <m/>
    <m/>
    <m/>
    <m/>
    <m/>
    <m/>
    <m/>
    <m/>
    <m/>
    <m/>
    <m/>
    <m/>
    <m/>
    <m/>
    <m/>
    <m/>
    <m/>
    <m/>
    <m/>
    <m/>
    <m/>
    <m/>
    <m/>
    <m/>
    <m/>
    <m/>
    <m/>
    <m/>
    <m/>
    <m/>
    <n v="0.5"/>
    <n v="0.5"/>
    <n v="0.5"/>
    <n v="0.8"/>
    <n v="0.8"/>
    <n v="0.85"/>
    <n v="0.85"/>
    <n v="0.85"/>
    <n v="0.91"/>
    <n v="1"/>
    <n v="1"/>
    <n v="1"/>
    <n v="1"/>
    <n v="1"/>
    <n v="1"/>
    <n v="1"/>
    <n v="1"/>
    <n v="1"/>
    <n v="1"/>
    <n v="1"/>
    <n v="1"/>
    <n v="1"/>
    <n v="1"/>
    <n v="1"/>
    <x v="0"/>
    <n v="1"/>
    <n v="1"/>
    <n v="1"/>
    <x v="0"/>
    <s v="si"/>
    <s v="si"/>
    <s v="si"/>
    <s v="si"/>
    <s v="si"/>
    <s v="si"/>
    <s v="si"/>
    <x v="0"/>
    <s v="si"/>
    <s v="si"/>
    <s v="si"/>
    <m/>
    <m/>
    <m/>
    <m/>
    <m/>
    <m/>
    <m/>
    <m/>
    <m/>
    <m/>
    <m/>
    <m/>
    <m/>
    <m/>
  </r>
  <r>
    <x v="8"/>
    <s v="CONSULTORIA INDIVIDUAL"/>
    <x v="0"/>
    <s v="Proyectos de expansión y refuerzo en el Sistema Nacional de Distribución"/>
    <x v="0"/>
    <x v="7"/>
    <x v="0"/>
    <s v="PICHINCHA"/>
    <x v="136"/>
    <n v="1"/>
    <x v="0"/>
    <s v="BID2-RSND-EEQ-FI-CI-002"/>
    <s v=" FISCALIZACIÓN REFORZAMIENTO DE SISTEMAS DE MEDICIÓN CONCENTRADOS ZONA SUR"/>
    <m/>
    <s v="CCIN"/>
    <s v="ex-post"/>
    <s v="EJECUTADO BID"/>
    <s v="SG-573-2015"/>
    <s v="ING. OSCAR MAURICIO MORALES MORALES"/>
    <s v="ECUATORIANA"/>
    <s v="PERSONA NATURAL"/>
    <s v="1717321929001"/>
    <s v="NO APLICA"/>
    <s v="NO APLICA"/>
    <m/>
    <m/>
    <m/>
    <n v="35000"/>
    <n v="0"/>
    <n v="35000"/>
    <n v="0"/>
    <n v="35000"/>
    <n v="0.12"/>
    <n v="4200"/>
    <n v="0"/>
    <n v="39200.000000000007"/>
    <n v="35000"/>
    <n v="0"/>
    <m/>
    <m/>
    <n v="35000"/>
    <m/>
    <n v="35000"/>
    <m/>
    <m/>
    <m/>
    <m/>
    <m/>
    <m/>
    <m/>
    <m/>
    <m/>
    <m/>
    <m/>
    <m/>
    <m/>
    <m/>
    <n v="0"/>
    <n v="0"/>
    <m/>
    <s v="NO APLICA"/>
    <s v="NO APLICA"/>
    <m/>
    <m/>
    <m/>
    <m/>
    <m/>
    <m/>
    <m/>
    <m/>
    <m/>
    <m/>
    <d v="2015-12-15T00:00:00"/>
    <d v="2015-12-15T00:00:00"/>
    <s v="NO APLICA"/>
    <s v="NO APLICA"/>
    <s v="NO APLICA"/>
    <s v="NO APLICA"/>
    <d v="2015-12-24T00:00:00"/>
    <s v="NO APLICA"/>
    <s v="NO APLICA"/>
    <s v="NO APLICA"/>
    <m/>
    <m/>
    <m/>
    <m/>
    <m/>
    <m/>
    <m/>
    <m/>
    <m/>
    <m/>
    <m/>
    <m/>
    <m/>
    <m/>
    <s v="NO APLICA"/>
    <s v="NO APLICA"/>
    <s v="NO APLICA"/>
    <m/>
    <m/>
    <s v="Pago 1/5 - Planilla 1 -10%"/>
    <d v="2016-10-28T00:00:00"/>
    <n v="3500"/>
    <s v="Pago 1/5 - Planilla 1 -25%"/>
    <d v="2016-10-28T00:00:00"/>
    <n v="8750"/>
    <s v="Pago 3/5 - Planilla 1 -25%"/>
    <d v="2017-01-06T00:00:00"/>
    <n v="8750"/>
    <s v="Pago 4/5 - Planilla 1 -30%"/>
    <d v="2017-01-06T00:00:00"/>
    <n v="10500"/>
    <s v="Pago 5/5 - Planilla 5 -30%"/>
    <d v="2017-02-09T00:00:00"/>
    <n v="3500"/>
    <m/>
    <m/>
    <m/>
    <m/>
    <m/>
    <m/>
    <m/>
    <m/>
    <m/>
    <m/>
    <m/>
    <m/>
    <n v="35000"/>
    <m/>
    <m/>
    <m/>
    <m/>
    <m/>
    <m/>
    <m/>
    <n v="360"/>
    <m/>
    <s v="DATO PENDIENTE"/>
    <s v="DATO PENDIENTE"/>
    <m/>
    <m/>
    <m/>
    <m/>
    <m/>
    <m/>
    <m/>
    <m/>
    <m/>
    <m/>
    <m/>
    <m/>
    <m/>
    <m/>
    <m/>
    <m/>
    <m/>
    <m/>
    <m/>
    <m/>
    <m/>
    <m/>
    <m/>
    <m/>
    <m/>
    <m/>
    <m/>
    <m/>
    <m/>
    <m/>
    <m/>
    <m/>
    <n v="0.5"/>
    <n v="0.5"/>
    <n v="0.5"/>
    <n v="0.8"/>
    <n v="0.8"/>
    <n v="0.85"/>
    <n v="0.85"/>
    <n v="0.85"/>
    <n v="0.91"/>
    <n v="1"/>
    <n v="1"/>
    <n v="1"/>
    <n v="1"/>
    <n v="1"/>
    <n v="1"/>
    <n v="1"/>
    <n v="1"/>
    <n v="1"/>
    <n v="1"/>
    <n v="1"/>
    <n v="1"/>
    <n v="1"/>
    <n v="1"/>
    <n v="1"/>
    <x v="0"/>
    <n v="1"/>
    <n v="1"/>
    <n v="1"/>
    <x v="0"/>
    <s v="si"/>
    <s v="si"/>
    <s v="si"/>
    <s v="si"/>
    <s v="si"/>
    <s v="si"/>
    <s v="si"/>
    <x v="0"/>
    <s v="si"/>
    <s v="si"/>
    <s v="si"/>
    <m/>
    <m/>
    <m/>
    <m/>
    <m/>
    <m/>
    <m/>
    <m/>
    <m/>
    <m/>
    <m/>
    <m/>
    <m/>
    <m/>
  </r>
  <r>
    <x v="8"/>
    <s v="CONSULTORIA INDIVIDUAL"/>
    <x v="0"/>
    <s v="Proyectos de expansión y refuerzo en el Sistema Nacional de Distribución"/>
    <x v="0"/>
    <x v="7"/>
    <x v="0"/>
    <s v="PICHINCHA"/>
    <x v="137"/>
    <n v="2"/>
    <x v="0"/>
    <s v="BID2-RSND-EEQ-FI-CI-003"/>
    <s v=" FISCALIZACIÓN  REFORZAMIENTO DE REDES DE MEDIO Y BAJO VOLTAJE CON REPOTENCIACION DE TRANSFORMADORES ACOMETIDAS Y MEDIDORES EN EL PRIMARIO CUMBAYA 29D"/>
    <m/>
    <s v="CCIN"/>
    <s v="ex-post"/>
    <s v="EJECUTADO BID"/>
    <s v="SG 563-2015"/>
    <s v="ING. MANUEL ANDRES QUISHPE CAILLAGUA"/>
    <s v="ECUATORIANA"/>
    <s v="PERSONA NATURAL"/>
    <s v="1711443265001"/>
    <s v="NO APLICA"/>
    <s v="NO APLICA"/>
    <m/>
    <m/>
    <m/>
    <n v="46900"/>
    <n v="0"/>
    <n v="46900"/>
    <n v="0"/>
    <n v="46900"/>
    <n v="0.12"/>
    <n v="5628"/>
    <n v="0"/>
    <n v="52528.000000000007"/>
    <n v="46900"/>
    <n v="0"/>
    <m/>
    <m/>
    <n v="46900"/>
    <m/>
    <n v="46900"/>
    <m/>
    <m/>
    <m/>
    <m/>
    <m/>
    <m/>
    <m/>
    <m/>
    <m/>
    <m/>
    <m/>
    <m/>
    <m/>
    <m/>
    <n v="0"/>
    <n v="0"/>
    <m/>
    <s v="NO APLICA"/>
    <s v="NO APLICA"/>
    <m/>
    <m/>
    <m/>
    <m/>
    <m/>
    <m/>
    <m/>
    <m/>
    <m/>
    <m/>
    <d v="2015-12-01T00:00:00"/>
    <d v="2015-12-15T00:00:00"/>
    <s v="NO APLICA"/>
    <s v="NO APLICA"/>
    <s v="NO APLICA"/>
    <s v="NO APLICA"/>
    <d v="2015-12-22T00:00:00"/>
    <s v="NO APLICA"/>
    <s v="NO APLICA"/>
    <s v="NO APLICA"/>
    <m/>
    <m/>
    <m/>
    <m/>
    <m/>
    <m/>
    <m/>
    <m/>
    <m/>
    <m/>
    <m/>
    <m/>
    <m/>
    <m/>
    <s v="NO APLICA"/>
    <s v="NO APLICA"/>
    <s v="NO APLICA"/>
    <m/>
    <m/>
    <m/>
    <d v="2016-07-25T00:00:00"/>
    <n v="4690"/>
    <m/>
    <d v="2016-11-29T00:00:00"/>
    <n v="11725"/>
    <m/>
    <m/>
    <m/>
    <m/>
    <m/>
    <m/>
    <m/>
    <m/>
    <m/>
    <m/>
    <m/>
    <m/>
    <m/>
    <m/>
    <m/>
    <m/>
    <m/>
    <m/>
    <m/>
    <m/>
    <m/>
    <n v="16415"/>
    <m/>
    <m/>
    <m/>
    <m/>
    <m/>
    <m/>
    <m/>
    <n v="420"/>
    <s v="NOTIFICACIÓN DEL ADMINISTRADOR"/>
    <d v="2016-03-23T00:00:00"/>
    <d v="2017-05-17T00:00:00"/>
    <m/>
    <m/>
    <m/>
    <m/>
    <m/>
    <m/>
    <m/>
    <m/>
    <m/>
    <m/>
    <m/>
    <m/>
    <m/>
    <m/>
    <m/>
    <m/>
    <m/>
    <m/>
    <m/>
    <m/>
    <m/>
    <m/>
    <m/>
    <m/>
    <m/>
    <m/>
    <m/>
    <m/>
    <m/>
    <m/>
    <m/>
    <m/>
    <m/>
    <n v="0.2"/>
    <n v="0.2"/>
    <n v="0.5"/>
    <n v="0.5"/>
    <n v="0.55000000000000004"/>
    <n v="0.55000000000000004"/>
    <n v="0.55000000000000004"/>
    <n v="0.55000000000000004"/>
    <n v="0.55000000000000004"/>
    <n v="0.55000000000000004"/>
    <n v="0.55000000000000004"/>
    <n v="0.55000000000000004"/>
    <n v="0.55000000000000004"/>
    <n v="0.55000000000000004"/>
    <n v="1"/>
    <n v="1"/>
    <n v="1"/>
    <n v="1"/>
    <n v="1"/>
    <n v="1"/>
    <n v="1"/>
    <n v="1"/>
    <n v="1"/>
    <x v="0"/>
    <n v="1"/>
    <n v="1"/>
    <n v="1"/>
    <x v="0"/>
    <s v="no"/>
    <s v="si"/>
    <s v="si"/>
    <s v="si"/>
    <s v="si"/>
    <s v="si"/>
    <s v="si"/>
    <x v="0"/>
    <s v="si"/>
    <s v="si"/>
    <s v="si"/>
    <m/>
    <m/>
    <m/>
    <m/>
    <m/>
    <m/>
    <m/>
    <m/>
    <m/>
    <m/>
    <m/>
    <m/>
    <m/>
    <m/>
  </r>
  <r>
    <x v="8"/>
    <s v="CONSULTORIA INDIVIDUAL"/>
    <x v="0"/>
    <s v="Proyectos de expansión y refuerzo en el Sistema Nacional de Distribución"/>
    <x v="0"/>
    <x v="7"/>
    <x v="0"/>
    <s v="PICHINCHA"/>
    <x v="137"/>
    <n v="3"/>
    <x v="0"/>
    <s v="BID2-RSND-EEQ-FI-CI-004"/>
    <s v="FISCALIZACIÓN REFORZAMIENTO DE REDES DE MEDIO Y BAJO VOLTAJE CON REPOTENCIACION DE TRANSFORMADORES ACOMETIDAS Y MEDIDORES EN EL PRIMARIO TABABELA 31A"/>
    <m/>
    <s v="CCIN"/>
    <s v="ex-post"/>
    <s v="EJECUTADO BID"/>
    <s v="SG 567-2015"/>
    <s v="ING. JAIME FABIAN ASIMBAYA TUTILLO"/>
    <s v="ECUATORIANA"/>
    <s v="PERSONA NATURAL"/>
    <s v="1705297966001"/>
    <s v="NO APLICA"/>
    <s v="NO APLICA"/>
    <m/>
    <m/>
    <m/>
    <n v="43228.61"/>
    <n v="0"/>
    <n v="43228.61"/>
    <n v="0"/>
    <n v="43228.61"/>
    <n v="0.12"/>
    <n v="5187.4331999999995"/>
    <n v="0"/>
    <n v="48416.043200000007"/>
    <n v="43228.6"/>
    <n v="1.0000000002037268E-2"/>
    <m/>
    <m/>
    <n v="43228.61"/>
    <m/>
    <n v="43228.61"/>
    <m/>
    <m/>
    <m/>
    <m/>
    <m/>
    <m/>
    <m/>
    <m/>
    <m/>
    <m/>
    <m/>
    <m/>
    <m/>
    <m/>
    <n v="0"/>
    <n v="0"/>
    <m/>
    <s v="NO APLICA"/>
    <s v="NO APLICA"/>
    <m/>
    <m/>
    <m/>
    <m/>
    <m/>
    <m/>
    <m/>
    <m/>
    <m/>
    <m/>
    <d v="2015-12-01T00:00:00"/>
    <d v="2015-12-15T00:00:00"/>
    <s v="NO APLICA"/>
    <s v="NO APLICA"/>
    <s v="NO APLICA"/>
    <s v="NO APLICA"/>
    <d v="2015-12-22T00:00:00"/>
    <s v="NO APLICA"/>
    <s v="NO APLICA"/>
    <s v="NO APLICA"/>
    <m/>
    <m/>
    <m/>
    <m/>
    <m/>
    <m/>
    <m/>
    <m/>
    <m/>
    <m/>
    <m/>
    <m/>
    <m/>
    <m/>
    <s v="NO APLICA"/>
    <s v="NO APLICA"/>
    <s v="NO APLICA"/>
    <m/>
    <m/>
    <s v="Pago 1/10 - Planilla 1 - 10%"/>
    <d v="2016-06-29T00:00:00"/>
    <n v="4322.8599999999997"/>
    <s v="Pago 2/5 - Planilla 2 - 10%"/>
    <d v="2016-11-24T00:00:00"/>
    <n v="10807.15"/>
    <s v="Pago 3/5 - Planilla 2 - 25%"/>
    <d v="2017-01-06T00:00:00"/>
    <n v="10807.15"/>
    <m/>
    <m/>
    <m/>
    <m/>
    <m/>
    <m/>
    <m/>
    <m/>
    <m/>
    <m/>
    <m/>
    <m/>
    <m/>
    <m/>
    <m/>
    <m/>
    <m/>
    <m/>
    <n v="25937.159999999996"/>
    <m/>
    <m/>
    <m/>
    <m/>
    <m/>
    <m/>
    <m/>
    <n v="420"/>
    <s v="NOTIFICACIÓN DEL ADMINISTRADOR"/>
    <d v="2016-01-21T00:00:00"/>
    <d v="2017-03-16T00:00:00"/>
    <m/>
    <m/>
    <m/>
    <m/>
    <m/>
    <m/>
    <m/>
    <m/>
    <m/>
    <m/>
    <m/>
    <m/>
    <m/>
    <m/>
    <m/>
    <m/>
    <m/>
    <m/>
    <m/>
    <m/>
    <m/>
    <m/>
    <m/>
    <m/>
    <m/>
    <m/>
    <m/>
    <m/>
    <m/>
    <m/>
    <m/>
    <m/>
    <m/>
    <n v="0.2"/>
    <n v="0.2"/>
    <n v="0.2"/>
    <n v="0.5"/>
    <n v="0.55000000000000004"/>
    <n v="0.55000000000000004"/>
    <n v="0.55000000000000004"/>
    <n v="0.55000000000000004"/>
    <n v="0.82"/>
    <n v="0.82"/>
    <n v="0.82"/>
    <n v="0.82"/>
    <n v="0.82"/>
    <n v="0.82"/>
    <n v="1"/>
    <n v="1"/>
    <n v="1"/>
    <n v="1"/>
    <n v="1"/>
    <n v="1"/>
    <n v="1"/>
    <n v="1"/>
    <n v="1"/>
    <x v="0"/>
    <n v="1"/>
    <n v="1"/>
    <n v="1"/>
    <x v="0"/>
    <s v="no"/>
    <s v="si"/>
    <s v="si"/>
    <s v="si"/>
    <s v="si"/>
    <s v="si"/>
    <s v="si"/>
    <x v="0"/>
    <s v="si"/>
    <s v="si"/>
    <s v="si"/>
    <m/>
    <m/>
    <m/>
    <m/>
    <m/>
    <m/>
    <m/>
    <m/>
    <m/>
    <m/>
    <m/>
    <m/>
    <m/>
    <m/>
  </r>
  <r>
    <x v="8"/>
    <s v="CONSULTORIA INDIVIDUAL"/>
    <x v="0"/>
    <s v="Proyectos de expansión y refuerzo en el Sistema Nacional de Distribución"/>
    <x v="0"/>
    <x v="7"/>
    <x v="0"/>
    <s v="PICHINCHA"/>
    <x v="137"/>
    <n v="4"/>
    <x v="0"/>
    <s v="BID2-RSND-EEQ-FI-CI-005"/>
    <s v="FISCALIZACIÓN REFORZAMIENTO DE REDES DE MEDIO Y BAJO VOLTAJE CON REPOTENCIACION DE TRANSFORMADORES ACOMETIDAS Y MEDIDORES EN EL PRIMARIO TUMBACO 36D"/>
    <m/>
    <s v="CCIN"/>
    <s v="ex-post"/>
    <s v="EJECUTADO BID"/>
    <s v="SG 568-2015"/>
    <s v="ING. LUIS FERNANDO LLUMIGUSIN DUCHI"/>
    <s v="ECUATORIANA"/>
    <s v="PERSONA NATURAL"/>
    <s v="1706346705001"/>
    <s v="NO APLICA"/>
    <s v="NO APLICA"/>
    <m/>
    <m/>
    <m/>
    <n v="49900"/>
    <n v="0"/>
    <n v="49900"/>
    <n v="0"/>
    <n v="49900"/>
    <n v="0.12"/>
    <n v="5988"/>
    <n v="0"/>
    <n v="55888.000000000007"/>
    <n v="49900"/>
    <n v="0"/>
    <m/>
    <m/>
    <n v="49900"/>
    <m/>
    <n v="49900"/>
    <m/>
    <m/>
    <m/>
    <m/>
    <m/>
    <m/>
    <m/>
    <m/>
    <m/>
    <m/>
    <m/>
    <m/>
    <m/>
    <m/>
    <n v="0"/>
    <n v="0"/>
    <m/>
    <s v="NO APLICA"/>
    <s v="NO APLICA"/>
    <m/>
    <m/>
    <m/>
    <m/>
    <m/>
    <m/>
    <m/>
    <m/>
    <m/>
    <m/>
    <d v="2016-12-01T00:00:00"/>
    <d v="2015-12-15T00:00:00"/>
    <s v="NO APLICA"/>
    <s v="NO APLICA"/>
    <s v="NO APLICA"/>
    <s v="NO APLICA"/>
    <d v="2015-12-22T00:00:00"/>
    <s v="NO APLICA"/>
    <s v="NO APLICA"/>
    <s v="NO APLICA"/>
    <m/>
    <m/>
    <m/>
    <m/>
    <m/>
    <m/>
    <m/>
    <m/>
    <m/>
    <m/>
    <m/>
    <m/>
    <m/>
    <m/>
    <s v="NO APLICA"/>
    <s v="NO APLICA"/>
    <s v="NO APLICA"/>
    <m/>
    <m/>
    <s v="Pago 1 de 5 planilla 1   10%"/>
    <d v="2016-08-19T00:00:00"/>
    <n v="4990"/>
    <s v="Pago 2/5 Planilla 2 - 25,45%"/>
    <d v="2016-12-08T00:00:00"/>
    <n v="12475"/>
    <s v="Pago 3/5 Planilla 3 - 25%"/>
    <d v="2017-01-06T00:00:00"/>
    <n v="12475"/>
    <m/>
    <m/>
    <m/>
    <m/>
    <m/>
    <m/>
    <m/>
    <m/>
    <m/>
    <m/>
    <m/>
    <m/>
    <m/>
    <m/>
    <m/>
    <m/>
    <m/>
    <m/>
    <n v="29940"/>
    <m/>
    <m/>
    <m/>
    <m/>
    <m/>
    <m/>
    <m/>
    <n v="420"/>
    <s v="NOTIFICACIÓN DEL ADMINISTRADOR"/>
    <s v="DATO PENDIENTE"/>
    <s v="DATO PENDIENTE"/>
    <m/>
    <m/>
    <m/>
    <m/>
    <m/>
    <m/>
    <m/>
    <m/>
    <m/>
    <m/>
    <m/>
    <m/>
    <m/>
    <m/>
    <m/>
    <m/>
    <m/>
    <m/>
    <m/>
    <m/>
    <m/>
    <m/>
    <m/>
    <m/>
    <m/>
    <m/>
    <m/>
    <m/>
    <m/>
    <m/>
    <m/>
    <m/>
    <m/>
    <n v="0.2"/>
    <n v="0.2"/>
    <n v="0.5"/>
    <n v="0.5"/>
    <n v="0.55000000000000004"/>
    <n v="0.55000000000000004"/>
    <n v="0.55000000000000004"/>
    <n v="0.82"/>
    <n v="0.82"/>
    <n v="0.82"/>
    <n v="0.82"/>
    <n v="0.82"/>
    <n v="0.82"/>
    <n v="0.82"/>
    <n v="1"/>
    <n v="1"/>
    <n v="1"/>
    <n v="1"/>
    <n v="1"/>
    <n v="1"/>
    <n v="1"/>
    <n v="1"/>
    <n v="1"/>
    <x v="0"/>
    <n v="1"/>
    <n v="1"/>
    <n v="1"/>
    <x v="0"/>
    <s v="no"/>
    <s v="si"/>
    <s v="si"/>
    <s v="si"/>
    <s v="si"/>
    <s v="si"/>
    <s v="si"/>
    <x v="0"/>
    <s v="si"/>
    <s v="si"/>
    <s v="si"/>
    <m/>
    <m/>
    <m/>
    <m/>
    <m/>
    <m/>
    <m/>
    <m/>
    <m/>
    <m/>
    <m/>
    <m/>
    <m/>
    <m/>
  </r>
  <r>
    <x v="8"/>
    <s v="CONSULTORIA INDIVIDUAL"/>
    <x v="0"/>
    <s v="Proyectos de expansión y refuerzo en el Sistema Nacional de Distribución"/>
    <x v="0"/>
    <x v="7"/>
    <x v="0"/>
    <s v="PICHINCHA"/>
    <x v="140"/>
    <n v="6"/>
    <x v="0"/>
    <s v="BID2-RSND-EEQ-FI-CI-006"/>
    <s v=" FISCALIZACIÓN  REFORZAMIENTO DE REDES DE MEDIO Y BAJO VOLTAJE CON REPOTENCIACION DE TRANSFORMADORES ACOMETIDAS Y MEDIDORES EN EL PRIMARIO EL QUINCHE 58C "/>
    <s v="Primario 58C"/>
    <s v="CCIN"/>
    <s v="ex-post"/>
    <s v="EJECUTADO BID"/>
    <s v="SG 560-2015"/>
    <s v="ING. MARCO VINICIO ESTRELLA ORTIZ"/>
    <s v="ECUATORIANA"/>
    <s v="PERSONA NATURAL"/>
    <s v="1707077291001"/>
    <s v="NO APLICA"/>
    <s v="NO APLICA"/>
    <m/>
    <m/>
    <n v="30838.01"/>
    <n v="49700"/>
    <n v="0"/>
    <n v="49700"/>
    <n v="0"/>
    <n v="49700"/>
    <n v="0.12"/>
    <n v="5964"/>
    <n v="0"/>
    <n v="55664.000000000007"/>
    <n v="29974.87"/>
    <n v="19725.13"/>
    <m/>
    <m/>
    <n v="49700"/>
    <m/>
    <n v="49700"/>
    <m/>
    <m/>
    <m/>
    <m/>
    <m/>
    <m/>
    <m/>
    <m/>
    <m/>
    <m/>
    <m/>
    <m/>
    <m/>
    <m/>
    <n v="0"/>
    <n v="0"/>
    <m/>
    <s v="NO APLICA"/>
    <s v="NO APLICA"/>
    <m/>
    <m/>
    <m/>
    <m/>
    <m/>
    <m/>
    <m/>
    <m/>
    <m/>
    <m/>
    <d v="2015-12-01T00:00:00"/>
    <d v="2015-12-15T00:00:00"/>
    <s v="NO APLICA"/>
    <s v="NO APLICA"/>
    <s v="NO APLICA"/>
    <s v="NO APLICA"/>
    <d v="2015-12-18T00:00:00"/>
    <s v="NO APLICA"/>
    <s v="NO APLICA"/>
    <s v="NO APLICA"/>
    <m/>
    <m/>
    <m/>
    <m/>
    <m/>
    <m/>
    <m/>
    <m/>
    <m/>
    <m/>
    <m/>
    <m/>
    <m/>
    <m/>
    <s v="NO APLICA"/>
    <s v="NO APLICA"/>
    <s v="NO APLICA"/>
    <m/>
    <m/>
    <s v="Pago 1/5 - Planilla 1 - 10%"/>
    <d v="2016-10-25T00:00:00"/>
    <n v="4970"/>
    <s v="Pago 2/5 - Planilla 2 - 25%"/>
    <d v="2017-02-03T00:00:00"/>
    <n v="12425"/>
    <m/>
    <m/>
    <m/>
    <m/>
    <m/>
    <m/>
    <m/>
    <m/>
    <m/>
    <m/>
    <m/>
    <m/>
    <m/>
    <m/>
    <m/>
    <m/>
    <m/>
    <m/>
    <m/>
    <m/>
    <m/>
    <n v="17395"/>
    <m/>
    <m/>
    <m/>
    <m/>
    <m/>
    <m/>
    <m/>
    <n v="420"/>
    <m/>
    <m/>
    <m/>
    <m/>
    <m/>
    <m/>
    <m/>
    <m/>
    <m/>
    <m/>
    <m/>
    <m/>
    <m/>
    <m/>
    <m/>
    <m/>
    <m/>
    <m/>
    <m/>
    <m/>
    <m/>
    <m/>
    <m/>
    <m/>
    <m/>
    <m/>
    <m/>
    <m/>
    <m/>
    <m/>
    <m/>
    <m/>
    <m/>
    <m/>
    <m/>
    <n v="0.25"/>
    <n v="0.25"/>
    <n v="0.25"/>
    <n v="0.5"/>
    <n v="0.5"/>
    <n v="0.57999999999999996"/>
    <n v="0.57999999999999996"/>
    <n v="0.57999999999999996"/>
    <n v="0.57999999999999996"/>
    <n v="0.7"/>
    <n v="0.7"/>
    <n v="0.7"/>
    <n v="0.7"/>
    <n v="1"/>
    <n v="1"/>
    <n v="1"/>
    <n v="1"/>
    <n v="1"/>
    <n v="1"/>
    <n v="1"/>
    <n v="1"/>
    <n v="1"/>
    <n v="1"/>
    <n v="1"/>
    <x v="0"/>
    <n v="1"/>
    <n v="1"/>
    <n v="1"/>
    <x v="0"/>
    <s v="no"/>
    <s v="no"/>
    <s v="no"/>
    <s v="no"/>
    <s v="no"/>
    <s v="si"/>
    <s v="si"/>
    <x v="0"/>
    <s v="si"/>
    <s v="si"/>
    <s v="si"/>
    <m/>
    <m/>
    <m/>
    <s v="¿Está liquidado este contrato?"/>
    <s v="¿Está liquidado este contrato?"/>
    <s v="liquidado"/>
    <m/>
    <m/>
    <m/>
    <m/>
    <m/>
    <m/>
    <m/>
    <m/>
  </r>
  <r>
    <x v="8"/>
    <s v="CONSULTORIA INDIVIDUAL"/>
    <x v="0"/>
    <s v="Proyectos de expansión y refuerzo en el Sistema Nacional de Distribución"/>
    <x v="0"/>
    <x v="7"/>
    <x v="0"/>
    <s v="PICHINCHA"/>
    <x v="141"/>
    <n v="5"/>
    <x v="0"/>
    <s v="BID2-RSND-EEQ-FI-CI-006"/>
    <s v=" FISCALIZACIÓN  REFORZAMIENTO DE REDES DE MEDIO Y BAJO VOLTAJE CON REPOTENCIACION DE TRANSFORMADORES ACOMETIDAS Y MEDIDORES EN EL PRIMARIO EL QUINCHE 58D"/>
    <s v="Primario 58D"/>
    <s v="CCIN"/>
    <s v="ex-post"/>
    <s v="EJECUTADO EE"/>
    <s v="SG 560-2015"/>
    <s v="ING. MARCO VINICIO ESTRELLA ORTIZ"/>
    <s v="ECUATORIANA"/>
    <s v="PERSONA NATURAL"/>
    <s v="1707077291001"/>
    <s v="NO APLICA"/>
    <s v="NO APLICA"/>
    <m/>
    <m/>
    <n v="18861.990000000002"/>
    <n v="0"/>
    <n v="0"/>
    <m/>
    <n v="0"/>
    <n v="0"/>
    <n v="0.12"/>
    <n v="0"/>
    <n v="0"/>
    <n v="0"/>
    <m/>
    <m/>
    <m/>
    <m/>
    <m/>
    <m/>
    <m/>
    <m/>
    <m/>
    <m/>
    <m/>
    <m/>
    <m/>
    <m/>
    <m/>
    <m/>
    <m/>
    <m/>
    <m/>
    <m/>
    <m/>
    <n v="0"/>
    <n v="0"/>
    <m/>
    <s v="NO APLICA"/>
    <s v="NO APLICA"/>
    <m/>
    <m/>
    <m/>
    <m/>
    <m/>
    <m/>
    <m/>
    <m/>
    <m/>
    <m/>
    <d v="2015-12-01T00:00:00"/>
    <d v="2015-12-15T00:00:00"/>
    <s v="NO APLICA"/>
    <s v="NO APLICA"/>
    <s v="NO APLICA"/>
    <s v="NO APLICA"/>
    <d v="2015-12-18T00:00:00"/>
    <s v="NO APLICA"/>
    <s v="NO APLICA"/>
    <s v="NO APLICA"/>
    <m/>
    <m/>
    <m/>
    <m/>
    <m/>
    <m/>
    <m/>
    <m/>
    <m/>
    <m/>
    <m/>
    <m/>
    <m/>
    <m/>
    <s v="NO APLICA"/>
    <s v="NO APLICA"/>
    <s v="NO APLICA"/>
    <m/>
    <m/>
    <m/>
    <m/>
    <m/>
    <m/>
    <m/>
    <m/>
    <m/>
    <m/>
    <m/>
    <m/>
    <m/>
    <m/>
    <m/>
    <m/>
    <m/>
    <m/>
    <m/>
    <m/>
    <m/>
    <m/>
    <m/>
    <m/>
    <m/>
    <m/>
    <m/>
    <m/>
    <m/>
    <n v="0"/>
    <m/>
    <m/>
    <m/>
    <m/>
    <m/>
    <m/>
    <m/>
    <n v="420"/>
    <m/>
    <m/>
    <m/>
    <m/>
    <m/>
    <m/>
    <m/>
    <m/>
    <m/>
    <m/>
    <m/>
    <m/>
    <m/>
    <m/>
    <m/>
    <m/>
    <m/>
    <m/>
    <m/>
    <m/>
    <m/>
    <m/>
    <m/>
    <m/>
    <m/>
    <m/>
    <m/>
    <m/>
    <m/>
    <m/>
    <m/>
    <m/>
    <m/>
    <m/>
    <m/>
    <m/>
    <m/>
    <n v="0.1"/>
    <n v="0.1"/>
    <n v="0.25"/>
    <n v="0.4"/>
    <n v="0.4"/>
    <n v="0.4"/>
    <n v="0.57999999999999996"/>
    <n v="0.7"/>
    <n v="0.7"/>
    <n v="0.7"/>
    <n v="0.7"/>
    <n v="0.7"/>
    <n v="0.7"/>
    <n v="0.7"/>
    <n v="0.7"/>
    <n v="0.99529999999999996"/>
    <n v="0.99529999999999996"/>
    <n v="0.99529999999999996"/>
    <n v="0.99529999999999996"/>
    <n v="0.99529999999999996"/>
    <n v="0.99529999999999996"/>
    <n v="0.99529999999999996"/>
    <x v="8"/>
    <n v="0.99529999999999996"/>
    <n v="0.99529999999999996"/>
    <n v="0.99529999999999996"/>
    <x v="7"/>
    <s v="no"/>
    <s v="no"/>
    <s v="no"/>
    <s v="no"/>
    <s v="no"/>
    <s v="no"/>
    <s v="no"/>
    <x v="1"/>
    <s v="no"/>
    <s v="no"/>
    <s v="no"/>
    <m/>
    <m/>
    <m/>
    <m/>
    <m/>
    <s v="Realizado por la EEQ y comunicado al MERNNR mediante Oficio EEQ-GG-2019-0130-OF"/>
    <m/>
    <m/>
    <m/>
    <m/>
    <s v="REFORMA"/>
    <m/>
    <m/>
    <m/>
  </r>
  <r>
    <x v="8"/>
    <s v="CONSULTORIA INDIVIDUAL"/>
    <x v="0"/>
    <s v="Proyectos de expansión y refuerzo en el Sistema Nacional de Distribución"/>
    <x v="0"/>
    <x v="7"/>
    <x v="0"/>
    <s v="PICHINCHA"/>
    <x v="139"/>
    <n v="10"/>
    <x v="0"/>
    <s v="BID2-RSND-EEQ-FI-CI-007"/>
    <s v="FISCALIZACIÓN REFORZAMIENTO DE REDES DE MEDIO Y BAJO VOLTAJE CON REPOTENCIACION DE TRANSFORMADORES ACOMETIDAS Y MEDIDORES EN EL PRIMARIO POMASQUI 57F"/>
    <s v="Primario 57F"/>
    <s v="CCIN"/>
    <s v="ex-post"/>
    <s v="EJECUTADO EE"/>
    <s v="SG 569-2015"/>
    <s v="ING. GONZALO ERNESTO BRAVO BARRIGA"/>
    <s v="ECUATORIANA"/>
    <s v="PERSONA NATURAL"/>
    <s v="1701737676001"/>
    <s v="NO APLICA"/>
    <s v="NO APLICA"/>
    <m/>
    <m/>
    <m/>
    <n v="15253.26"/>
    <n v="0"/>
    <n v="15253.26"/>
    <n v="0"/>
    <n v="15253.26"/>
    <n v="0.12"/>
    <n v="1830.3912"/>
    <n v="0"/>
    <n v="17083.6512"/>
    <n v="0"/>
    <n v="15253.26"/>
    <m/>
    <m/>
    <n v="15253.26"/>
    <m/>
    <n v="15253.26"/>
    <m/>
    <m/>
    <m/>
    <m/>
    <m/>
    <m/>
    <m/>
    <m/>
    <m/>
    <m/>
    <m/>
    <m/>
    <m/>
    <m/>
    <n v="0"/>
    <n v="0"/>
    <m/>
    <s v="NO APLICA"/>
    <s v="NO APLICA"/>
    <m/>
    <m/>
    <m/>
    <m/>
    <m/>
    <m/>
    <m/>
    <m/>
    <m/>
    <m/>
    <d v="2015-12-01T00:00:00"/>
    <d v="2015-12-15T00:00:00"/>
    <s v="NO APLICA"/>
    <s v="NO APLICA"/>
    <s v="NO APLICA"/>
    <s v="NO APLICA"/>
    <d v="2015-12-22T00:00:00"/>
    <s v="NO APLICA"/>
    <s v="NO APLICA"/>
    <s v="NO APLICA"/>
    <m/>
    <m/>
    <m/>
    <m/>
    <m/>
    <m/>
    <m/>
    <m/>
    <m/>
    <m/>
    <m/>
    <m/>
    <m/>
    <m/>
    <s v="NO APLICA"/>
    <s v="NO APLICA"/>
    <s v="NO APLICA"/>
    <m/>
    <m/>
    <m/>
    <m/>
    <m/>
    <m/>
    <m/>
    <m/>
    <m/>
    <m/>
    <m/>
    <m/>
    <m/>
    <m/>
    <m/>
    <m/>
    <m/>
    <m/>
    <m/>
    <m/>
    <m/>
    <m/>
    <m/>
    <m/>
    <m/>
    <m/>
    <m/>
    <m/>
    <m/>
    <n v="0"/>
    <m/>
    <m/>
    <m/>
    <m/>
    <m/>
    <m/>
    <m/>
    <n v="420"/>
    <s v="NOTIFICACIÓN DEL ADMINISTRADOR"/>
    <s v="DATO PENDIENTE"/>
    <s v="DATO PENDIENTE"/>
    <m/>
    <m/>
    <m/>
    <m/>
    <m/>
    <m/>
    <m/>
    <m/>
    <m/>
    <m/>
    <m/>
    <m/>
    <m/>
    <m/>
    <m/>
    <m/>
    <m/>
    <m/>
    <m/>
    <m/>
    <m/>
    <s v="DATO PENDIENTE"/>
    <m/>
    <m/>
    <m/>
    <m/>
    <m/>
    <m/>
    <m/>
    <m/>
    <m/>
    <m/>
    <m/>
    <m/>
    <m/>
    <m/>
    <n v="0"/>
    <n v="0.4"/>
    <n v="0.4"/>
    <n v="0.4"/>
    <n v="0"/>
    <n v="0"/>
    <n v="0"/>
    <n v="0.4"/>
    <n v="0.4"/>
    <n v="1"/>
    <n v="1"/>
    <n v="1"/>
    <n v="1"/>
    <n v="1"/>
    <n v="1"/>
    <n v="1"/>
    <n v="1"/>
    <n v="1"/>
    <n v="1"/>
    <n v="1"/>
    <x v="0"/>
    <n v="1"/>
    <n v="1"/>
    <n v="1"/>
    <x v="0"/>
    <s v="no"/>
    <s v="no"/>
    <s v="no"/>
    <s v="no"/>
    <s v="no"/>
    <s v="no"/>
    <s v="no"/>
    <x v="3"/>
    <s v="ee"/>
    <s v="ee"/>
    <s v="ee"/>
    <m/>
    <m/>
    <m/>
    <s v="¿Está liquidado este contrato?"/>
    <s v="¿Está liquidado este contrato?"/>
    <m/>
    <m/>
    <m/>
    <m/>
    <m/>
    <m/>
    <m/>
    <m/>
    <m/>
  </r>
  <r>
    <x v="8"/>
    <s v="CONSULTORIA INDIVIDUAL"/>
    <x v="0"/>
    <s v="Proyectos de expansión y refuerzo en el Sistema Nacional de Distribución"/>
    <x v="0"/>
    <x v="7"/>
    <x v="0"/>
    <s v="PICHINCHA"/>
    <x v="142"/>
    <n v="7"/>
    <x v="0"/>
    <s v="BID2-RSND-EEQ-FI-CI-007"/>
    <s v="FISCALIZACIÓN REFORZAMIENTO DE REDES DE MEDIO Y BAJO VOLTAJE CON REPOTENCIACION DE TRANSFORMADORES ACOMETIDAS Y MEDIDORES EN EL PRIMARIO POMASQUI 57G"/>
    <s v="Primario 57G"/>
    <s v="CCIN"/>
    <s v="ex-post"/>
    <s v="EJECUTADO BID"/>
    <s v="SG 569-2015"/>
    <s v="ING. GONZALO ERNESTO BRAVO BARRIGA"/>
    <s v="ECUATORIANA"/>
    <s v="PERSONA NATURAL"/>
    <s v="1701737676001"/>
    <s v="NO APLICA"/>
    <s v="NO APLICA"/>
    <m/>
    <m/>
    <m/>
    <n v="29129.68"/>
    <n v="0"/>
    <n v="29129.68"/>
    <n v="0"/>
    <n v="29129.68"/>
    <n v="0.12"/>
    <n v="3495.5616"/>
    <n v="0"/>
    <n v="32625.241600000005"/>
    <n v="29129.679999999997"/>
    <n v="0"/>
    <m/>
    <m/>
    <n v="29129.68"/>
    <m/>
    <n v="29129.68"/>
    <m/>
    <m/>
    <m/>
    <m/>
    <m/>
    <m/>
    <m/>
    <m/>
    <m/>
    <m/>
    <m/>
    <m/>
    <m/>
    <m/>
    <n v="0"/>
    <n v="0"/>
    <m/>
    <s v="NO APLICA"/>
    <s v="NO APLICA"/>
    <m/>
    <m/>
    <m/>
    <m/>
    <m/>
    <m/>
    <m/>
    <m/>
    <m/>
    <m/>
    <d v="2015-12-01T00:00:00"/>
    <d v="2015-12-15T00:00:00"/>
    <s v="NO APLICA"/>
    <s v="NO APLICA"/>
    <s v="NO APLICA"/>
    <s v="NO APLICA"/>
    <d v="2015-12-22T00:00:00"/>
    <s v="NO APLICA"/>
    <s v="NO APLICA"/>
    <s v="NO APLICA"/>
    <m/>
    <m/>
    <m/>
    <m/>
    <m/>
    <m/>
    <m/>
    <m/>
    <m/>
    <m/>
    <m/>
    <m/>
    <m/>
    <m/>
    <s v="NO APLICA"/>
    <s v="NO APLICA"/>
    <s v="NO APLICA"/>
    <m/>
    <m/>
    <s v="Pago 1/5 - Planilla 10%"/>
    <d v="2016-10-28T00:00:00"/>
    <n v="4438.29"/>
    <s v="Pago 2/5 - Planilla 2  25%"/>
    <d v="2017-01-06T00:00:00"/>
    <n v="11095.74"/>
    <m/>
    <m/>
    <m/>
    <m/>
    <m/>
    <m/>
    <m/>
    <m/>
    <m/>
    <m/>
    <m/>
    <m/>
    <m/>
    <m/>
    <m/>
    <m/>
    <m/>
    <m/>
    <m/>
    <m/>
    <m/>
    <n v="15534.029999999999"/>
    <m/>
    <m/>
    <m/>
    <m/>
    <m/>
    <m/>
    <m/>
    <n v="420"/>
    <s v="NOTIFICACIÓN DEL ADMINISTRADOR"/>
    <d v="2016-04-08T00:00:00"/>
    <d v="2017-06-02T00:00:00"/>
    <m/>
    <m/>
    <m/>
    <m/>
    <m/>
    <m/>
    <m/>
    <m/>
    <m/>
    <m/>
    <m/>
    <m/>
    <m/>
    <m/>
    <m/>
    <m/>
    <m/>
    <m/>
    <m/>
    <m/>
    <m/>
    <d v="2017-06-02T00:00:00"/>
    <m/>
    <m/>
    <m/>
    <m/>
    <m/>
    <m/>
    <m/>
    <m/>
    <m/>
    <m/>
    <n v="0.2"/>
    <n v="0.2"/>
    <n v="0.2"/>
    <n v="0.5"/>
    <n v="0.5"/>
    <n v="0.53"/>
    <n v="0.53"/>
    <n v="0.53"/>
    <n v="0.53"/>
    <n v="0.7"/>
    <n v="0.7"/>
    <n v="0.7"/>
    <n v="0.7"/>
    <n v="1"/>
    <n v="1"/>
    <n v="1"/>
    <n v="1"/>
    <n v="1"/>
    <n v="1"/>
    <n v="1"/>
    <n v="1"/>
    <n v="1"/>
    <n v="1"/>
    <n v="1"/>
    <x v="0"/>
    <n v="1"/>
    <n v="1"/>
    <n v="1"/>
    <x v="0"/>
    <s v="no"/>
    <s v="no"/>
    <s v="no"/>
    <s v="no"/>
    <s v="no"/>
    <s v="no"/>
    <s v="no"/>
    <x v="1"/>
    <s v="no"/>
    <s v="no"/>
    <s v="no"/>
    <m/>
    <m/>
    <m/>
    <s v="¿Está liquidado este contrato?"/>
    <s v="¿Está liquidado este contrato?, ya alcanzó el tope de pagos, ero no se indica en el financiero ue está liquidado"/>
    <m/>
    <m/>
    <m/>
    <m/>
    <m/>
    <s v="REFORMA"/>
    <m/>
    <m/>
    <m/>
  </r>
  <r>
    <x v="8"/>
    <s v="CONSULTORIA INDIVIDUAL"/>
    <x v="0"/>
    <s v="Proyectos de expansión y refuerzo en el Sistema Nacional de Distribución"/>
    <x v="0"/>
    <x v="7"/>
    <x v="0"/>
    <s v="PICHINCHA"/>
    <x v="143"/>
    <n v="8"/>
    <x v="0"/>
    <s v="BID2-RSND-EEQ-FI-CI-008 "/>
    <s v="REFORZAMIENTO DE REDES DE MEDIO Y BAJO VOLTAJE CON REPOTENCIACIÓN DE TRANSFORMADORES ACOMETIDAS Y MEDIDORES EN EL PRIMARIO CONOCOTO 23C Y SANGOLQUI 55B"/>
    <s v="Primario 23C"/>
    <s v="CCIN"/>
    <s v="ex-post"/>
    <s v="EJECUTADO EE"/>
    <s v="SG 561-2015"/>
    <s v="ING. FABIAN GUILLERMO JAMI CONDOR"/>
    <s v="ECUATORIANA"/>
    <s v="PERSONA NATURAL"/>
    <s v="1709727109001"/>
    <s v="NO APLICA"/>
    <s v="NO APLICA"/>
    <m/>
    <m/>
    <n v="18559.71"/>
    <n v="18559.71"/>
    <n v="18559.71"/>
    <n v="18559.71"/>
    <n v="0"/>
    <n v="18559.71"/>
    <n v="0.12"/>
    <n v="2227.1651999999999"/>
    <n v="0"/>
    <n v="20786.875200000002"/>
    <n v="0"/>
    <n v="18559.71"/>
    <m/>
    <m/>
    <n v="18559.71"/>
    <m/>
    <n v="18559.71"/>
    <m/>
    <m/>
    <m/>
    <m/>
    <m/>
    <m/>
    <m/>
    <m/>
    <m/>
    <m/>
    <m/>
    <m/>
    <m/>
    <m/>
    <n v="0"/>
    <n v="0"/>
    <m/>
    <s v="NO APLICA"/>
    <s v="NO APLICA"/>
    <m/>
    <m/>
    <m/>
    <m/>
    <m/>
    <m/>
    <m/>
    <m/>
    <m/>
    <m/>
    <d v="2015-12-01T00:00:00"/>
    <s v="NO SE INDICA FECHA EN LA SUMILLA"/>
    <s v="NO APLICA"/>
    <s v="NO APLICA"/>
    <s v="NO APLICA"/>
    <s v="NO APLICA"/>
    <d v="2015-12-18T00:00:00"/>
    <s v="NO APLICA"/>
    <s v="NO APLICA"/>
    <s v="NO APLICA"/>
    <m/>
    <m/>
    <m/>
    <m/>
    <m/>
    <m/>
    <m/>
    <m/>
    <m/>
    <m/>
    <m/>
    <m/>
    <m/>
    <m/>
    <s v="NO APLICA"/>
    <s v="NO APLICA"/>
    <s v="NO APLICA"/>
    <m/>
    <m/>
    <m/>
    <m/>
    <m/>
    <m/>
    <m/>
    <m/>
    <m/>
    <m/>
    <m/>
    <m/>
    <m/>
    <m/>
    <m/>
    <m/>
    <m/>
    <m/>
    <m/>
    <m/>
    <m/>
    <m/>
    <m/>
    <m/>
    <m/>
    <m/>
    <m/>
    <m/>
    <m/>
    <n v="0"/>
    <m/>
    <m/>
    <m/>
    <m/>
    <m/>
    <m/>
    <m/>
    <n v="420"/>
    <s v="DATO PENDIENTE"/>
    <m/>
    <m/>
    <m/>
    <m/>
    <m/>
    <m/>
    <m/>
    <m/>
    <m/>
    <m/>
    <m/>
    <m/>
    <m/>
    <m/>
    <m/>
    <m/>
    <m/>
    <m/>
    <m/>
    <m/>
    <m/>
    <m/>
    <m/>
    <m/>
    <m/>
    <m/>
    <m/>
    <m/>
    <m/>
    <m/>
    <m/>
    <m/>
    <m/>
    <m/>
    <m/>
    <m/>
    <m/>
    <m/>
    <n v="0"/>
    <n v="0.4"/>
    <n v="0.4"/>
    <n v="0.4"/>
    <n v="0"/>
    <n v="0"/>
    <n v="0"/>
    <n v="0.4"/>
    <n v="0.4"/>
    <n v="1"/>
    <n v="1"/>
    <n v="1"/>
    <n v="1"/>
    <n v="1"/>
    <n v="1"/>
    <n v="1"/>
    <n v="1"/>
    <n v="1"/>
    <n v="1"/>
    <n v="1"/>
    <x v="0"/>
    <n v="1"/>
    <n v="1"/>
    <n v="1"/>
    <x v="0"/>
    <s v="no"/>
    <s v="no"/>
    <s v="no"/>
    <s v="no"/>
    <s v="no"/>
    <s v="no"/>
    <s v="no"/>
    <x v="3"/>
    <s v="ee"/>
    <s v="ee"/>
    <s v="ee"/>
    <m/>
    <m/>
    <m/>
    <s v="¿Está liquidado este contrato?"/>
    <s v="Ejecutado por la EEQ según oficio EEQ-GG-2019-0130-OF"/>
    <m/>
    <m/>
    <m/>
    <m/>
    <m/>
    <m/>
    <m/>
    <m/>
    <m/>
  </r>
  <r>
    <x v="8"/>
    <s v="CONSULTORIA INDIVIDUAL"/>
    <x v="0"/>
    <s v="Proyectos de expansión y refuerzo en el Sistema Nacional de Distribución"/>
    <x v="0"/>
    <x v="7"/>
    <x v="0"/>
    <s v="PICHINCHA"/>
    <x v="138"/>
    <n v="9"/>
    <x v="0"/>
    <s v="BID2-RSND-EEQ-FI-CI-008 "/>
    <s v="REFORZAMIENTO DE REDES DE MEDIO Y BAJO VOLTAJE CON REPOTENCIACIÓN DE TRANSFORMADORES ACOMETIDAS Y MEDIDORES EN EL PRIMARIO CONOCOTO 23C Y SANGOLQUI 55B"/>
    <s v="Primario 55B"/>
    <s v="CCIN"/>
    <s v="ex-post"/>
    <s v="EJECUTADO BID"/>
    <s v="SG 561-2015"/>
    <s v="ING. FABIAN GUILLERMO JAMI CONDOR"/>
    <s v="ECUATORIANA"/>
    <s v="PERSONA NATURAL"/>
    <s v="1709727109001"/>
    <s v="NO APLICA"/>
    <s v="NO APLICA"/>
    <m/>
    <m/>
    <n v="30340.29"/>
    <n v="30340.29"/>
    <n v="30340.29"/>
    <n v="30340.29"/>
    <n v="0"/>
    <n v="30340.29"/>
    <n v="0.12"/>
    <n v="3640.8348000000001"/>
    <n v="0"/>
    <n v="33981.124800000005"/>
    <n v="30340.29"/>
    <n v="0"/>
    <m/>
    <m/>
    <n v="30340.29"/>
    <m/>
    <n v="30340.29"/>
    <m/>
    <m/>
    <m/>
    <m/>
    <m/>
    <m/>
    <m/>
    <m/>
    <m/>
    <m/>
    <m/>
    <m/>
    <m/>
    <m/>
    <n v="0"/>
    <n v="0"/>
    <m/>
    <s v="NO APLICA"/>
    <s v="NO APLICA"/>
    <m/>
    <m/>
    <m/>
    <m/>
    <m/>
    <m/>
    <m/>
    <m/>
    <m/>
    <m/>
    <d v="2015-12-01T00:00:00"/>
    <s v="NO SE INDICA FECHA EN LA SUMILLA"/>
    <s v="NO APLICA"/>
    <s v="NO APLICA"/>
    <s v="NO APLICA"/>
    <s v="NO APLICA"/>
    <d v="2015-12-18T00:00:00"/>
    <s v="NO APLICA"/>
    <s v="NO APLICA"/>
    <s v="NO APLICA"/>
    <m/>
    <m/>
    <m/>
    <m/>
    <m/>
    <m/>
    <m/>
    <m/>
    <m/>
    <m/>
    <m/>
    <m/>
    <m/>
    <m/>
    <s v="NO APLICA"/>
    <s v="NO APLICA"/>
    <s v="NO APLICA"/>
    <m/>
    <m/>
    <m/>
    <d v="2016-09-15T00:00:00"/>
    <n v="4890"/>
    <m/>
    <d v="2016-09-30T00:00:00"/>
    <n v="12225"/>
    <s v="Pago 3/5-Planilla 2 - 25%"/>
    <d v="2016-12-16T00:00:00"/>
    <n v="12225"/>
    <m/>
    <m/>
    <m/>
    <m/>
    <m/>
    <m/>
    <m/>
    <m/>
    <m/>
    <m/>
    <m/>
    <m/>
    <m/>
    <m/>
    <m/>
    <m/>
    <m/>
    <m/>
    <n v="29340"/>
    <m/>
    <m/>
    <m/>
    <m/>
    <m/>
    <m/>
    <m/>
    <n v="420"/>
    <s v="DATO PENDIENTE"/>
    <m/>
    <m/>
    <m/>
    <m/>
    <m/>
    <m/>
    <m/>
    <m/>
    <m/>
    <m/>
    <m/>
    <m/>
    <m/>
    <m/>
    <m/>
    <m/>
    <m/>
    <m/>
    <m/>
    <m/>
    <m/>
    <m/>
    <m/>
    <m/>
    <m/>
    <m/>
    <m/>
    <m/>
    <m/>
    <m/>
    <m/>
    <m/>
    <m/>
    <m/>
    <m/>
    <n v="0.2"/>
    <n v="0.5"/>
    <n v="0.5"/>
    <n v="0.5"/>
    <n v="0.57999999999999996"/>
    <n v="0.57999999999999996"/>
    <n v="0.57999999999999996"/>
    <n v="0.57999999999999996"/>
    <n v="0.57999999999999996"/>
    <n v="0.57999999999999996"/>
    <n v="0.99"/>
    <n v="0.99"/>
    <n v="0.99"/>
    <n v="0.99"/>
    <n v="0.99"/>
    <n v="0.99"/>
    <n v="0.99539999999999995"/>
    <n v="0.99539999999999995"/>
    <n v="1"/>
    <n v="1"/>
    <n v="1"/>
    <n v="1"/>
    <n v="1"/>
    <x v="0"/>
    <n v="1"/>
    <n v="1"/>
    <n v="1"/>
    <x v="0"/>
    <s v="no"/>
    <s v="no"/>
    <s v="no"/>
    <s v="no"/>
    <s v="no"/>
    <s v="no"/>
    <s v="no"/>
    <x v="1"/>
    <s v="no"/>
    <s v="no"/>
    <s v="no"/>
    <m/>
    <m/>
    <m/>
    <s v="¿Está liquidado este contrato?"/>
    <s v="Liquidado"/>
    <m/>
    <m/>
    <m/>
    <m/>
    <m/>
    <s v="REFORMA"/>
    <m/>
    <m/>
    <m/>
  </r>
  <r>
    <x v="10"/>
    <s v="CONSULTORIA INDIVIDUAL"/>
    <x v="0"/>
    <s v="Proyectos de expansión y refuerzo en el Sistema Nacional de Distribución"/>
    <x v="0"/>
    <x v="7"/>
    <x v="0"/>
    <s v="LOJA"/>
    <x v="154"/>
    <n v="5"/>
    <x v="0"/>
    <s v="BID2-RSND-EERSSA-FI-CI-002"/>
    <s v="FISCALIZACIÓN REPOTENCIACIÓN DE LAS REDES DE DISTRIBUCIÓN DE LA PROVINCIA DE LOJA ETAPA I"/>
    <m/>
    <s v="CCIN"/>
    <s v="ex-post"/>
    <s v="EJECUTADO BID"/>
    <s v="BID2-RSND-EERSSA-FI-CI-002"/>
    <s v="ING. ALEX XAVIER CAÑART CÓRDOVA"/>
    <s v="ECUATORIANA"/>
    <s v="PERSONA NATURAL"/>
    <n v="1104055833001"/>
    <s v="NO APLICA"/>
    <s v="NO APLICA"/>
    <s v="ING. RICARDO VILLAVICENCIO"/>
    <s v="DATO PENDIENTE"/>
    <m/>
    <n v="50000"/>
    <n v="0"/>
    <n v="50000"/>
    <n v="0"/>
    <n v="50000"/>
    <n v="0.12"/>
    <n v="6000"/>
    <n v="0"/>
    <n v="56000.000000000007"/>
    <n v="50000"/>
    <n v="0"/>
    <m/>
    <m/>
    <n v="50000"/>
    <m/>
    <n v="50000"/>
    <m/>
    <m/>
    <m/>
    <m/>
    <m/>
    <m/>
    <m/>
    <m/>
    <m/>
    <m/>
    <m/>
    <m/>
    <m/>
    <m/>
    <n v="0"/>
    <n v="0"/>
    <m/>
    <s v="NO APLICA"/>
    <s v="NO APLICA"/>
    <m/>
    <m/>
    <m/>
    <m/>
    <m/>
    <m/>
    <m/>
    <m/>
    <m/>
    <m/>
    <m/>
    <s v="NO APLICA"/>
    <s v="NO APLICA"/>
    <d v="2016-02-10T00:00:00"/>
    <s v="NO APLICA"/>
    <s v="DATO PENDIENTE"/>
    <d v="2016-06-22T00:00:00"/>
    <s v="NO APLICA"/>
    <s v="NO APLICA"/>
    <s v="NO APLICA"/>
    <m/>
    <m/>
    <m/>
    <m/>
    <m/>
    <m/>
    <m/>
    <m/>
    <m/>
    <m/>
    <m/>
    <m/>
    <m/>
    <m/>
    <s v="NO APLICA"/>
    <s v="NO APLICA"/>
    <s v="NO APLICA"/>
    <m/>
    <m/>
    <m/>
    <d v="2016-09-21T00:00:00"/>
    <n v="10000"/>
    <s v="Pago 2/7 - PLANILLA 2 15%"/>
    <d v="2016-11-01T00:00:00"/>
    <n v="7500"/>
    <s v="Pago 3/7 - anticipo 15%"/>
    <d v="2016-01-09T00:00:00"/>
    <n v="7500"/>
    <s v="Pago 4/7 - planilla 4 15%"/>
    <d v="2017-03-02T00:00:00"/>
    <n v="7500"/>
    <s v="Pago 5/7 - anticipo 15%"/>
    <d v="2017-04-25T00:00:00"/>
    <n v="7500"/>
    <s v="Pago 6/7 - anticipo 15%"/>
    <d v="2017-05-29T00:00:00"/>
    <n v="5000"/>
    <m/>
    <m/>
    <m/>
    <m/>
    <m/>
    <m/>
    <m/>
    <m/>
    <m/>
    <n v="45000"/>
    <m/>
    <m/>
    <m/>
    <m/>
    <m/>
    <m/>
    <m/>
    <m/>
    <m/>
    <m/>
    <m/>
    <m/>
    <m/>
    <m/>
    <m/>
    <m/>
    <m/>
    <m/>
    <m/>
    <m/>
    <m/>
    <m/>
    <m/>
    <m/>
    <m/>
    <m/>
    <m/>
    <m/>
    <m/>
    <m/>
    <m/>
    <m/>
    <m/>
    <m/>
    <m/>
    <m/>
    <m/>
    <m/>
    <m/>
    <m/>
    <n v="0.05"/>
    <n v="0.12"/>
    <n v="0.17"/>
    <n v="0.17"/>
    <n v="0.28000000000000003"/>
    <n v="0.32"/>
    <n v="0.92"/>
    <n v="0.93"/>
    <n v="1"/>
    <n v="1"/>
    <n v="1"/>
    <n v="1"/>
    <n v="1"/>
    <n v="1"/>
    <n v="1"/>
    <n v="1"/>
    <n v="1"/>
    <n v="1"/>
    <n v="1"/>
    <n v="1"/>
    <n v="1"/>
    <n v="1"/>
    <n v="1"/>
    <n v="1"/>
    <n v="1"/>
    <n v="1"/>
    <n v="1"/>
    <x v="0"/>
    <n v="1"/>
    <n v="1"/>
    <n v="1"/>
    <x v="0"/>
    <s v="si"/>
    <s v="si"/>
    <s v="si"/>
    <s v="si"/>
    <s v="si"/>
    <s v="si"/>
    <s v="si"/>
    <x v="0"/>
    <s v="si"/>
    <s v="si"/>
    <s v="si"/>
    <m/>
    <m/>
    <m/>
    <m/>
    <m/>
    <m/>
    <m/>
    <m/>
    <m/>
    <m/>
    <m/>
    <m/>
    <m/>
    <m/>
  </r>
  <r>
    <x v="10"/>
    <s v="CONSULTORIA INDIVIDUAL"/>
    <x v="0"/>
    <s v="Proyectos de expansión y refuerzo en el Sistema Nacional de Distribución"/>
    <x v="0"/>
    <x v="7"/>
    <x v="0"/>
    <s v="ZAMORA CHINCHIPE"/>
    <x v="155"/>
    <n v="6"/>
    <x v="0"/>
    <s v="BID2-RSND-EERSSA-FI-CI-001"/>
    <s v=" FISCALIZACIÓN REPOTENCIACIÓN DE REDES DE DISTRIBUCIÓN EN LA PROVINCIA DE ZAMORA CHINCHIPE Y GUALAQUIZA ETAPA II"/>
    <m/>
    <s v="CCIN"/>
    <s v="ex-post"/>
    <s v="EJECUTADO BID"/>
    <s v="BID2-RSND-EERSSA-FI-CI-001"/>
    <s v="ING. JOSÉ FRANCISCO EGUIGUREN LUZURIAGA"/>
    <s v="ECUATORIANA"/>
    <s v="PERSONA NATURAL"/>
    <n v="1103937635001"/>
    <s v="NO APLICA"/>
    <s v="NO APLICA"/>
    <s v="ING. CARLOS MARTÍN BUELE"/>
    <m/>
    <m/>
    <n v="25000"/>
    <n v="0"/>
    <n v="25000"/>
    <n v="0"/>
    <n v="25000"/>
    <n v="0.12"/>
    <n v="3000"/>
    <n v="0"/>
    <n v="28000.000000000004"/>
    <n v="25000"/>
    <n v="0"/>
    <m/>
    <m/>
    <n v="25000"/>
    <m/>
    <n v="25000"/>
    <m/>
    <m/>
    <m/>
    <m/>
    <m/>
    <m/>
    <m/>
    <m/>
    <m/>
    <m/>
    <m/>
    <m/>
    <m/>
    <m/>
    <n v="0"/>
    <n v="0"/>
    <m/>
    <s v="NO APLICA"/>
    <s v="NO APLICA"/>
    <m/>
    <m/>
    <m/>
    <m/>
    <m/>
    <m/>
    <m/>
    <m/>
    <m/>
    <m/>
    <m/>
    <s v="NO APLICA"/>
    <s v="NO APLICA"/>
    <d v="2015-10-08T00:00:00"/>
    <s v="NO APLICA"/>
    <s v="DATO PENDIENTE"/>
    <d v="2015-12-17T00:00:00"/>
    <s v="NO APLICA"/>
    <s v="NO APLICA"/>
    <s v="NO APLICA"/>
    <m/>
    <m/>
    <m/>
    <m/>
    <m/>
    <m/>
    <m/>
    <m/>
    <m/>
    <m/>
    <m/>
    <m/>
    <m/>
    <m/>
    <s v="NO APLICA"/>
    <s v="NO APLICA"/>
    <s v="NO APLICA"/>
    <m/>
    <m/>
    <m/>
    <d v="2016-09-21T00:00:00"/>
    <n v="8750"/>
    <s v="Pago 2/3 - PLANILLA 2 35%"/>
    <d v="2016-11-01T00:00:00"/>
    <n v="8750"/>
    <s v="Pago 3/3 - planilla 3 30%"/>
    <d v="2016-12-15T00:00:00"/>
    <n v="7500"/>
    <m/>
    <m/>
    <m/>
    <m/>
    <m/>
    <m/>
    <m/>
    <m/>
    <m/>
    <m/>
    <m/>
    <m/>
    <m/>
    <m/>
    <m/>
    <m/>
    <m/>
    <m/>
    <n v="25000"/>
    <m/>
    <m/>
    <m/>
    <m/>
    <m/>
    <m/>
    <m/>
    <m/>
    <m/>
    <m/>
    <m/>
    <m/>
    <m/>
    <m/>
    <m/>
    <m/>
    <m/>
    <m/>
    <m/>
    <m/>
    <m/>
    <m/>
    <m/>
    <m/>
    <m/>
    <m/>
    <m/>
    <m/>
    <m/>
    <m/>
    <m/>
    <m/>
    <m/>
    <m/>
    <m/>
    <m/>
    <m/>
    <m/>
    <m/>
    <m/>
    <n v="0.05"/>
    <n v="0.15"/>
    <n v="0.3"/>
    <n v="0.3"/>
    <n v="0.9"/>
    <n v="1"/>
    <n v="1"/>
    <n v="1"/>
    <n v="1"/>
    <n v="1"/>
    <n v="1"/>
    <n v="1"/>
    <n v="1"/>
    <n v="1"/>
    <n v="1"/>
    <n v="1"/>
    <n v="1"/>
    <n v="1"/>
    <n v="1"/>
    <n v="1"/>
    <n v="1"/>
    <n v="1"/>
    <n v="1"/>
    <n v="1"/>
    <n v="1"/>
    <n v="1"/>
    <n v="1"/>
    <x v="0"/>
    <n v="1"/>
    <n v="1"/>
    <n v="1"/>
    <x v="0"/>
    <s v="si"/>
    <s v="si"/>
    <s v="si"/>
    <s v="si"/>
    <s v="si"/>
    <s v="si"/>
    <s v="si"/>
    <x v="0"/>
    <s v="si"/>
    <s v="si"/>
    <s v="si"/>
    <m/>
    <m/>
    <m/>
    <m/>
    <m/>
    <m/>
    <m/>
    <m/>
    <m/>
    <m/>
    <m/>
    <m/>
    <m/>
    <m/>
  </r>
  <r>
    <x v="5"/>
    <s v="SERVICIOS DE NO CONSULTORIA"/>
    <x v="2"/>
    <s v="Fortalecimiento Institucional"/>
    <x v="8"/>
    <x v="11"/>
    <x v="0"/>
    <s v="CAÑAR"/>
    <x v="156"/>
    <n v="10"/>
    <x v="0"/>
    <s v="BID2-RSND-EECS-RI-SNC-001"/>
    <s v="CAPACITACIÓN CYMDIST"/>
    <m/>
    <s v="LPN"/>
    <s v="ex-post"/>
    <s v="EJECUTADO BID"/>
    <s v="N° 0017394"/>
    <s v="TRADUREP REPRESENTACIONES S.A."/>
    <s v="ECUATORIANA"/>
    <s v="PERSONA JURÍDICA"/>
    <s v="0992772840001"/>
    <s v="NO APLICA"/>
    <s v="NO APLICA"/>
    <s v="DATO PENDIENTE"/>
    <s v="DATO PENDIENTE"/>
    <m/>
    <n v="67200"/>
    <n v="0"/>
    <n v="67200"/>
    <n v="0"/>
    <n v="67200"/>
    <n v="0.12"/>
    <n v="8064"/>
    <n v="0"/>
    <n v="75264"/>
    <n v="67200"/>
    <n v="0"/>
    <m/>
    <m/>
    <n v="67200"/>
    <m/>
    <n v="67200"/>
    <n v="0.14000000000000001"/>
    <m/>
    <n v="76608"/>
    <m/>
    <m/>
    <m/>
    <m/>
    <m/>
    <m/>
    <m/>
    <m/>
    <m/>
    <m/>
    <m/>
    <n v="0"/>
    <n v="0"/>
    <s v="DDL"/>
    <s v="NO APLICA"/>
    <s v="NO APLICA"/>
    <s v="NO APLICA"/>
    <s v="NO APLICA"/>
    <s v="NO APLICA"/>
    <d v="2015-10-08T00:00:00"/>
    <m/>
    <m/>
    <d v="2015-11-09T00:00:00"/>
    <s v="NO APLICA"/>
    <m/>
    <m/>
    <s v="NO APLICA"/>
    <s v="NO APLICA"/>
    <s v="NO APLICA"/>
    <s v="DATO PENDIENTE"/>
    <s v="NO APLICA"/>
    <d v="2016-07-04T00:00:00"/>
    <d v="2016-08-17T00:00:00"/>
    <s v="NO APLICA"/>
    <s v="NO APLICA"/>
    <s v="NO APLICA"/>
    <m/>
    <s v="ü"/>
    <m/>
    <m/>
    <m/>
    <m/>
    <m/>
    <m/>
    <m/>
    <m/>
    <m/>
    <m/>
    <m/>
    <s v="ü"/>
    <s v="NO APLICA"/>
    <s v="NO APLICA"/>
    <s v="NO APLICA"/>
    <m/>
    <n v="0"/>
    <m/>
    <d v="2016-11-16T00:00:00"/>
    <n v="67200"/>
    <m/>
    <m/>
    <m/>
    <m/>
    <m/>
    <m/>
    <m/>
    <m/>
    <m/>
    <m/>
    <m/>
    <m/>
    <m/>
    <m/>
    <m/>
    <m/>
    <m/>
    <m/>
    <m/>
    <m/>
    <m/>
    <m/>
    <m/>
    <m/>
    <n v="67200"/>
    <m/>
    <m/>
    <m/>
    <m/>
    <m/>
    <m/>
    <m/>
    <n v="45"/>
    <s v="DESDE LA NOTIFICACIÓN DE LA ENTREGA DEL ANTICIPO"/>
    <d v="2016-08-18T00:00:00"/>
    <d v="2016-10-02T00:00:00"/>
    <m/>
    <m/>
    <m/>
    <m/>
    <m/>
    <m/>
    <m/>
    <m/>
    <m/>
    <m/>
    <m/>
    <m/>
    <m/>
    <m/>
    <m/>
    <m/>
    <m/>
    <m/>
    <m/>
    <m/>
    <m/>
    <m/>
    <s v="DATO PENDIENTE"/>
    <m/>
    <m/>
    <m/>
    <m/>
    <m/>
    <m/>
    <m/>
    <m/>
    <m/>
    <m/>
    <m/>
    <n v="1"/>
    <n v="1"/>
    <n v="1"/>
    <n v="1"/>
    <n v="1"/>
    <n v="1"/>
    <n v="1"/>
    <n v="1"/>
    <n v="1"/>
    <n v="1"/>
    <n v="1"/>
    <n v="1"/>
    <n v="1"/>
    <n v="1"/>
    <n v="1"/>
    <n v="1"/>
    <n v="1"/>
    <n v="1"/>
    <n v="1"/>
    <n v="1"/>
    <n v="1"/>
    <n v="1"/>
    <x v="0"/>
    <n v="1"/>
    <n v="1"/>
    <n v="1"/>
    <x v="0"/>
    <s v="si"/>
    <s v="si"/>
    <s v="si"/>
    <s v="si"/>
    <s v="si"/>
    <s v="si"/>
    <s v="si"/>
    <x v="0"/>
    <s v="si"/>
    <s v="si"/>
    <s v="si"/>
    <m/>
    <m/>
    <m/>
    <m/>
    <m/>
    <m/>
    <m/>
    <m/>
    <m/>
    <m/>
    <m/>
    <m/>
    <m/>
    <m/>
  </r>
  <r>
    <x v="5"/>
    <s v="SERVICIOS DE NO CONSULTORIA"/>
    <x v="2"/>
    <s v="Fortalecimiento Institucional"/>
    <x v="8"/>
    <x v="11"/>
    <x v="0"/>
    <s v="CAÑAR"/>
    <x v="157"/>
    <n v="11"/>
    <x v="0"/>
    <s v="BID2-RSND-EECS-RI-SNC-002"/>
    <s v="CAPACITACIÓN DE PROTECCIONES."/>
    <m/>
    <s v="LPN"/>
    <s v="ex-post"/>
    <s v="EJECUTADO BID"/>
    <s v="00 17442"/>
    <s v="UNIVERSIDAD POLITECNICA DE VALENCIA"/>
    <s v="ECUATORIANA"/>
    <s v="PERSONA JURÍDICA"/>
    <s v="ESQ 4618002B"/>
    <s v="NO APLICA"/>
    <s v="NO APLICA"/>
    <s v="ING. FELIPE SALDAÑA GARCIA"/>
    <m/>
    <m/>
    <n v="60480"/>
    <n v="0"/>
    <n v="60480"/>
    <n v="0"/>
    <n v="60480"/>
    <n v="0.12"/>
    <n v="7257.5999999999995"/>
    <n v="0"/>
    <n v="67737.600000000006"/>
    <n v="60480"/>
    <n v="0"/>
    <m/>
    <m/>
    <n v="60480"/>
    <m/>
    <n v="60480"/>
    <n v="0.14000000000000001"/>
    <m/>
    <n v="68947.199999999997"/>
    <m/>
    <m/>
    <m/>
    <m/>
    <m/>
    <m/>
    <m/>
    <m/>
    <m/>
    <m/>
    <m/>
    <n v="0"/>
    <n v="0"/>
    <s v="DDL"/>
    <s v="NO APLICA"/>
    <s v="NO APLICA"/>
    <s v="NO APLICA"/>
    <s v="NO APLICA"/>
    <s v="NO APLICA"/>
    <d v="2015-10-08T00:00:00"/>
    <m/>
    <m/>
    <d v="2015-11-09T00:00:00"/>
    <s v="NO APLICA"/>
    <m/>
    <m/>
    <s v="NO APLICA"/>
    <s v="NO APLICA"/>
    <s v="NO APLICA"/>
    <s v="DATO PENDIENTE"/>
    <s v="NO APLICA"/>
    <d v="2016-07-04T00:00:00"/>
    <d v="2016-09-07T00:00:00"/>
    <s v="NO APLICA"/>
    <s v="NO APLICA"/>
    <s v="NO APLICA"/>
    <m/>
    <s v="ü"/>
    <m/>
    <m/>
    <m/>
    <m/>
    <m/>
    <m/>
    <m/>
    <m/>
    <m/>
    <m/>
    <m/>
    <s v="ü"/>
    <s v="NO APLICA"/>
    <s v="NO APLICA"/>
    <s v="NO APLICA"/>
    <m/>
    <n v="0"/>
    <m/>
    <d v="2016-12-09T00:00:00"/>
    <n v="60480"/>
    <m/>
    <m/>
    <m/>
    <m/>
    <m/>
    <m/>
    <m/>
    <m/>
    <m/>
    <m/>
    <m/>
    <m/>
    <m/>
    <m/>
    <m/>
    <m/>
    <m/>
    <m/>
    <m/>
    <m/>
    <m/>
    <m/>
    <m/>
    <m/>
    <n v="60480"/>
    <m/>
    <m/>
    <m/>
    <m/>
    <m/>
    <m/>
    <m/>
    <n v="45"/>
    <s v="DESDE LA NOTIFICACIÓN DE LA ENTREGA DEL ANTICIPO"/>
    <d v="2016-09-08T00:00:00"/>
    <d v="2016-10-23T00:00:00"/>
    <m/>
    <m/>
    <m/>
    <m/>
    <m/>
    <m/>
    <m/>
    <m/>
    <m/>
    <m/>
    <m/>
    <m/>
    <m/>
    <m/>
    <m/>
    <m/>
    <m/>
    <m/>
    <m/>
    <m/>
    <m/>
    <m/>
    <s v="DATO PENDIENTE"/>
    <m/>
    <m/>
    <m/>
    <m/>
    <m/>
    <m/>
    <m/>
    <m/>
    <m/>
    <m/>
    <m/>
    <n v="1"/>
    <n v="1"/>
    <n v="1"/>
    <n v="1"/>
    <n v="1"/>
    <n v="1"/>
    <n v="1"/>
    <n v="1"/>
    <n v="1"/>
    <n v="1"/>
    <n v="1"/>
    <n v="1"/>
    <n v="1"/>
    <n v="1"/>
    <n v="1"/>
    <n v="1"/>
    <n v="1"/>
    <n v="1"/>
    <n v="1"/>
    <n v="1"/>
    <n v="1"/>
    <n v="1"/>
    <x v="0"/>
    <n v="1"/>
    <n v="1"/>
    <n v="1"/>
    <x v="0"/>
    <s v="si"/>
    <s v="si"/>
    <s v="si"/>
    <s v="si"/>
    <s v="si"/>
    <s v="si"/>
    <s v="si"/>
    <x v="0"/>
    <s v="si"/>
    <s v="si"/>
    <s v="si"/>
    <m/>
    <m/>
    <m/>
    <m/>
    <m/>
    <m/>
    <m/>
    <m/>
    <m/>
    <m/>
    <m/>
    <m/>
    <m/>
    <m/>
  </r>
  <r>
    <x v="5"/>
    <s v="SERVICIOS DE NO CONSULTORIA"/>
    <x v="2"/>
    <s v="Fortalecimiento Institucional"/>
    <x v="4"/>
    <x v="4"/>
    <x v="0"/>
    <s v="CAÑAR"/>
    <x v="158"/>
    <n v="12"/>
    <x v="0"/>
    <s v="BID2-RSND-EECS-RI-SNC-003"/>
    <s v="TALLER MODELO DE MADUREZ PARA LAS REDES ELÉCTRICAS"/>
    <m/>
    <s v="LPN"/>
    <s v="ex-post"/>
    <s v="EJECUTADO BID"/>
    <s v="DIDIS 2017 Nro.0017873"/>
    <s v="ING. PAULO VILLA"/>
    <s v="ECUATORIANA"/>
    <s v="PERSONA NATURAL"/>
    <s v="0 105625990001"/>
    <s v="NO APLICA"/>
    <s v="NO APLICA"/>
    <m/>
    <m/>
    <m/>
    <n v="79000"/>
    <n v="0"/>
    <n v="110000"/>
    <n v="0"/>
    <n v="110000"/>
    <n v="0.12"/>
    <n v="13200"/>
    <n v="0"/>
    <n v="123200.00000000001"/>
    <n v="79000"/>
    <n v="0"/>
    <m/>
    <m/>
    <n v="110000"/>
    <m/>
    <n v="79000"/>
    <n v="0.12"/>
    <n v="9480"/>
    <n v="88480.000000000015"/>
    <m/>
    <m/>
    <m/>
    <m/>
    <m/>
    <m/>
    <m/>
    <m/>
    <m/>
    <m/>
    <m/>
    <n v="0"/>
    <n v="0"/>
    <s v="CALENDARIO SE INDICA DESPUES DE LA IAO 43.2"/>
    <s v="NO APLICA"/>
    <s v="NO APLICA"/>
    <s v="NO APLICA"/>
    <s v="NO APLICA"/>
    <s v="NO APLICA"/>
    <d v="2017-06-23T00:00:00"/>
    <d v="2017-06-30T00:00:00"/>
    <d v="2017-07-07T00:00:00"/>
    <d v="2017-07-28T00:00:00"/>
    <s v="NO APLICA"/>
    <d v="2017-08-18T00:00:00"/>
    <d v="2017-09-01T00:00:00"/>
    <s v="NO APLICA"/>
    <s v="NO APLICA"/>
    <s v="NO APLICA"/>
    <d v="2017-09-05T00:00:00"/>
    <s v="NO APLICA"/>
    <d v="2017-09-08T00:00:00"/>
    <d v="2017-10-06T00:00:00"/>
    <s v="NO APLICA"/>
    <s v="NO APLICA"/>
    <s v="NO APLICA"/>
    <m/>
    <m/>
    <m/>
    <m/>
    <m/>
    <m/>
    <m/>
    <m/>
    <m/>
    <m/>
    <m/>
    <m/>
    <m/>
    <m/>
    <s v="NO APLICA"/>
    <s v="NO APLICA"/>
    <s v="NO APLICA"/>
    <m/>
    <m/>
    <m/>
    <m/>
    <m/>
    <m/>
    <m/>
    <m/>
    <m/>
    <m/>
    <m/>
    <m/>
    <m/>
    <m/>
    <m/>
    <m/>
    <m/>
    <m/>
    <m/>
    <m/>
    <m/>
    <m/>
    <m/>
    <m/>
    <m/>
    <m/>
    <m/>
    <m/>
    <m/>
    <m/>
    <m/>
    <m/>
    <m/>
    <m/>
    <m/>
    <m/>
    <m/>
    <m/>
    <m/>
    <m/>
    <m/>
    <m/>
    <m/>
    <m/>
    <m/>
    <m/>
    <m/>
    <m/>
    <m/>
    <m/>
    <m/>
    <m/>
    <m/>
    <m/>
    <m/>
    <m/>
    <m/>
    <m/>
    <m/>
    <m/>
    <m/>
    <m/>
    <m/>
    <m/>
    <m/>
    <m/>
    <m/>
    <m/>
    <m/>
    <m/>
    <m/>
    <m/>
    <m/>
    <m/>
    <m/>
    <m/>
    <m/>
    <n v="0"/>
    <n v="0"/>
    <n v="0"/>
    <n v="0"/>
    <n v="0"/>
    <n v="0"/>
    <n v="0"/>
    <n v="0.5"/>
    <n v="1"/>
    <n v="1"/>
    <n v="1"/>
    <n v="1"/>
    <n v="1"/>
    <n v="1"/>
    <n v="1"/>
    <n v="1"/>
    <n v="1"/>
    <n v="1"/>
    <n v="1"/>
    <n v="1"/>
    <x v="0"/>
    <n v="1"/>
    <n v="1"/>
    <n v="1"/>
    <x v="0"/>
    <s v="si"/>
    <s v="si"/>
    <s v="si"/>
    <s v="si"/>
    <s v="si"/>
    <s v="si"/>
    <s v="si"/>
    <x v="0"/>
    <s v="si"/>
    <s v="si"/>
    <s v="si"/>
    <m/>
    <m/>
    <m/>
    <m/>
    <m/>
    <m/>
    <m/>
    <m/>
    <m/>
    <m/>
    <s v="REFORMA: OFICIO Nro.MEER-SDCE-2018-0531-OF del 08 de mayo de 2018. NO OBJECIÓN DEL BID: CAN/CEC-807/2018 del 16 de mayo de 2018"/>
    <m/>
    <m/>
    <m/>
  </r>
  <r>
    <x v="5"/>
    <s v="SERVICIOS DE NO CONSULTORIA"/>
    <x v="2"/>
    <s v="Fortalecimiento Institucional"/>
    <x v="4"/>
    <x v="4"/>
    <x v="0"/>
    <s v="CAÑAR"/>
    <x v="159"/>
    <n v="13"/>
    <x v="0"/>
    <s v="BID2-RSND-EECS-RI-SNC-004"/>
    <s v="TALLER  EN ANALÍTICA ESPACIAL"/>
    <m/>
    <s v="LPN"/>
    <s v="ex-post"/>
    <s v="EJECUTADO BID"/>
    <s v="CONTRATO DIDIS 2017 Nro.0017799"/>
    <s v="INGENIERIA DE SISTEMAS IDS ECUADOR CÍA. LTDA."/>
    <s v="ECUATORIANA"/>
    <s v="PERSONA JURÍDICA"/>
    <n v="1791861388001"/>
    <s v="NO APLICA"/>
    <s v="NO APLICA"/>
    <m/>
    <m/>
    <m/>
    <n v="80000"/>
    <n v="0"/>
    <n v="90000"/>
    <n v="0"/>
    <n v="90000"/>
    <n v="0.12"/>
    <n v="10800"/>
    <n v="0"/>
    <n v="100800.00000000001"/>
    <n v="80000"/>
    <n v="0"/>
    <m/>
    <m/>
    <n v="90000"/>
    <m/>
    <n v="80000"/>
    <n v="0.12"/>
    <n v="9600"/>
    <n v="89600.000000000015"/>
    <m/>
    <m/>
    <m/>
    <m/>
    <m/>
    <m/>
    <m/>
    <m/>
    <m/>
    <m/>
    <m/>
    <n v="0"/>
    <n v="0"/>
    <s v="INDICADO A CONTINUACIÓN DE LA IAO 43.2 , PÁG 51 DE 139 DEL DDL"/>
    <s v="NO APLICA"/>
    <s v="NO APLICA"/>
    <s v="NO APLICA"/>
    <s v="NO APLICA"/>
    <s v="NO APLICA"/>
    <d v="2017-04-07T00:00:00"/>
    <d v="2017-04-17T00:00:00"/>
    <d v="2017-04-21T00:00:00"/>
    <d v="2017-05-08T00:00:00"/>
    <s v="NO APLICA"/>
    <d v="2017-05-15T00:00:00"/>
    <d v="2017-05-22T00:00:00"/>
    <s v="NO APLICA"/>
    <s v="NO APLICA"/>
    <s v="NO APLICA"/>
    <d v="2017-06-05T00:00:00"/>
    <m/>
    <d v="2017-06-21T00:00:00"/>
    <d v="2017-07-25T00:00:00"/>
    <s v="NO APLICA"/>
    <s v="NO APLICA"/>
    <s v="NO APLICA"/>
    <m/>
    <m/>
    <m/>
    <m/>
    <m/>
    <m/>
    <m/>
    <m/>
    <m/>
    <m/>
    <m/>
    <m/>
    <m/>
    <m/>
    <s v="NO APLICA"/>
    <s v="NO APLICA"/>
    <s v="NO APLICA"/>
    <m/>
    <m/>
    <m/>
    <m/>
    <m/>
    <m/>
    <m/>
    <m/>
    <m/>
    <m/>
    <m/>
    <m/>
    <m/>
    <m/>
    <m/>
    <m/>
    <m/>
    <m/>
    <m/>
    <m/>
    <m/>
    <m/>
    <m/>
    <m/>
    <m/>
    <m/>
    <m/>
    <m/>
    <m/>
    <n v="0"/>
    <m/>
    <m/>
    <m/>
    <m/>
    <m/>
    <m/>
    <m/>
    <n v="60"/>
    <s v="A PARTIR DE LA SUSCRIPCIÓN DEL CONTRATO"/>
    <d v="2017-07-26T00:00:00"/>
    <d v="2017-09-24T00:00:00"/>
    <m/>
    <m/>
    <m/>
    <m/>
    <m/>
    <m/>
    <m/>
    <m/>
    <m/>
    <m/>
    <m/>
    <m/>
    <m/>
    <m/>
    <m/>
    <m/>
    <m/>
    <m/>
    <m/>
    <m/>
    <m/>
    <m/>
    <m/>
    <m/>
    <m/>
    <m/>
    <m/>
    <m/>
    <m/>
    <m/>
    <m/>
    <m/>
    <m/>
    <m/>
    <m/>
    <m/>
    <m/>
    <m/>
    <m/>
    <m/>
    <m/>
    <m/>
    <n v="1"/>
    <n v="1"/>
    <n v="1"/>
    <n v="1"/>
    <n v="1"/>
    <n v="1"/>
    <n v="1"/>
    <n v="1"/>
    <n v="1"/>
    <n v="1"/>
    <n v="1"/>
    <n v="1"/>
    <n v="1"/>
    <n v="1"/>
    <x v="0"/>
    <n v="1"/>
    <n v="1"/>
    <n v="1"/>
    <x v="0"/>
    <s v="si"/>
    <s v="si"/>
    <s v="si"/>
    <s v="si"/>
    <s v="si"/>
    <s v="si"/>
    <s v="si"/>
    <x v="0"/>
    <s v="si"/>
    <s v="si"/>
    <s v="si"/>
    <m/>
    <m/>
    <m/>
    <m/>
    <m/>
    <m/>
    <m/>
    <m/>
    <m/>
    <m/>
    <s v="REFORMA: OFICIO Nro.MEER-SDCE-2018-0531-OF del 08 de mayo de 2018. NO OBJECIÓN DEL BID: CAN/CEC-807/2018 del 16 de mayo de 2018"/>
    <m/>
    <m/>
    <m/>
  </r>
  <r>
    <x v="5"/>
    <s v="SERVICIOS DE NO CONSULTORIA"/>
    <x v="2"/>
    <s v="Fortalecimiento Institucional"/>
    <x v="4"/>
    <x v="4"/>
    <x v="0"/>
    <s v="CAÑAR"/>
    <x v="160"/>
    <n v="14"/>
    <x v="0"/>
    <s v="BID2-RSND-EECS-RI-SNC-005"/>
    <s v="TALLER  EN DATA ANÁLITICA  "/>
    <m/>
    <s v="LPN"/>
    <s v="ex-post"/>
    <s v="CONTRATADO"/>
    <m/>
    <m/>
    <m/>
    <m/>
    <m/>
    <s v="NO APLICA"/>
    <s v="NO APLICA"/>
    <m/>
    <m/>
    <m/>
    <n v="50000"/>
    <n v="0"/>
    <n v="50000"/>
    <n v="0"/>
    <n v="50000"/>
    <n v="0.12"/>
    <n v="6000"/>
    <n v="0"/>
    <n v="56000.000000000007"/>
    <m/>
    <m/>
    <m/>
    <m/>
    <m/>
    <m/>
    <m/>
    <m/>
    <m/>
    <m/>
    <m/>
    <m/>
    <m/>
    <m/>
    <m/>
    <m/>
    <m/>
    <m/>
    <m/>
    <m/>
    <m/>
    <m/>
    <n v="0"/>
    <m/>
    <s v="NO APLICA"/>
    <s v="NO APLICA"/>
    <s v="NO APLICA"/>
    <s v="NO APLICA"/>
    <s v="NO APLICA"/>
    <m/>
    <m/>
    <m/>
    <m/>
    <m/>
    <m/>
    <m/>
    <s v="NO APLICA"/>
    <s v="NO APLICA"/>
    <s v="NO APLICA"/>
    <m/>
    <m/>
    <m/>
    <m/>
    <s v="NO APLICA"/>
    <s v="NO APLICA"/>
    <s v="NO APLICA"/>
    <m/>
    <m/>
    <m/>
    <m/>
    <m/>
    <m/>
    <m/>
    <m/>
    <m/>
    <m/>
    <m/>
    <m/>
    <m/>
    <m/>
    <s v="NO APLICA"/>
    <s v="NO APLICA"/>
    <s v="NO APLICA"/>
    <m/>
    <m/>
    <m/>
    <m/>
    <m/>
    <m/>
    <m/>
    <m/>
    <m/>
    <m/>
    <m/>
    <m/>
    <m/>
    <m/>
    <m/>
    <m/>
    <m/>
    <m/>
    <m/>
    <m/>
    <m/>
    <m/>
    <m/>
    <m/>
    <m/>
    <m/>
    <m/>
    <m/>
    <m/>
    <n v="0"/>
    <m/>
    <m/>
    <m/>
    <m/>
    <m/>
    <m/>
    <m/>
    <m/>
    <m/>
    <m/>
    <m/>
    <m/>
    <m/>
    <m/>
    <m/>
    <m/>
    <m/>
    <m/>
    <m/>
    <m/>
    <m/>
    <m/>
    <m/>
    <m/>
    <m/>
    <m/>
    <m/>
    <m/>
    <m/>
    <m/>
    <m/>
    <m/>
    <m/>
    <m/>
    <m/>
    <m/>
    <m/>
    <m/>
    <m/>
    <m/>
    <m/>
    <m/>
    <m/>
    <m/>
    <m/>
    <m/>
    <m/>
    <n v="0"/>
    <n v="0"/>
    <n v="0"/>
    <n v="0"/>
    <n v="0"/>
    <n v="0"/>
    <n v="0"/>
    <n v="0"/>
    <n v="0"/>
    <n v="0"/>
    <n v="0"/>
    <n v="0"/>
    <n v="0"/>
    <n v="0"/>
    <n v="0"/>
    <n v="0"/>
    <n v="0"/>
    <n v="0"/>
    <n v="0"/>
    <n v="0"/>
    <x v="2"/>
    <n v="0"/>
    <n v="0"/>
    <n v="0"/>
    <x v="1"/>
    <s v="no"/>
    <s v="no"/>
    <s v="no"/>
    <s v="no"/>
    <s v="no"/>
    <s v="no"/>
    <s v="no"/>
    <x v="1"/>
    <s v="no"/>
    <s v="no"/>
    <s v="no"/>
    <m/>
    <m/>
    <m/>
    <m/>
    <m/>
    <m/>
    <s v="Por contratar en julio de 2019"/>
    <m/>
    <m/>
    <m/>
    <s v="REFORMA: OFICIO Nro.MEER-SDCE-2018-0531-OF del 08 de mayo de 2018. NO OBJECIÓN DEL BID: CAN/CEC-807/2018 del 16 de mayo de 2018"/>
    <m/>
    <m/>
    <m/>
  </r>
  <r>
    <x v="5"/>
    <s v="SERVICIOS DE NO CONSULTORIA"/>
    <x v="2"/>
    <s v="Fortalecimiento Institucional"/>
    <x v="4"/>
    <x v="4"/>
    <x v="0"/>
    <s v="CAÑAR"/>
    <x v="161"/>
    <n v="15"/>
    <x v="0"/>
    <s v="BID2-RSND-EECS-RI-SNC-006"/>
    <s v="TALLER  EN SEGURIDAD INDUSTRIAL"/>
    <m/>
    <s v="LPN"/>
    <s v="ex-post"/>
    <s v="EJECUTADO BID"/>
    <s v="CONTRATO DTH 2017 N°0017796"/>
    <s v="CORPORACIÓN DE FOMENTO PARA LA PEQUEÑA Y MEDIANA EMPRESA CORFOPYM"/>
    <s v="ECUATORIANA"/>
    <s v="PERSONA JURÍDICA"/>
    <n v="1890141923001"/>
    <s v="NO APLICA"/>
    <s v="NO APLICA"/>
    <m/>
    <m/>
    <m/>
    <n v="55035"/>
    <n v="0"/>
    <n v="70000"/>
    <n v="0"/>
    <n v="70000"/>
    <n v="0.12"/>
    <n v="8400"/>
    <n v="0"/>
    <n v="78400.000000000015"/>
    <n v="55000.35"/>
    <n v="34.650000000001455"/>
    <m/>
    <m/>
    <n v="69975"/>
    <m/>
    <n v="55035"/>
    <n v="0.12"/>
    <n v="6604.2"/>
    <n v="61639.200000000004"/>
    <m/>
    <m/>
    <m/>
    <m/>
    <m/>
    <m/>
    <m/>
    <m/>
    <m/>
    <m/>
    <m/>
    <n v="0"/>
    <n v="0"/>
    <s v="INDICADO A CONTINUACIÓN DE LA IAO 43.2 , PÁG 42 DE 112 DEL DDL"/>
    <s v="NO APLICA"/>
    <s v="NO APLICA"/>
    <s v="NO APLICA"/>
    <s v="NO APLICA"/>
    <s v="NO APLICA"/>
    <d v="2017-03-08T00:00:00"/>
    <d v="2017-03-15T00:00:00"/>
    <d v="2017-03-21T00:00:00"/>
    <d v="2017-04-07T00:00:00"/>
    <s v="NO APLICA"/>
    <d v="2017-04-17T00:00:00"/>
    <d v="2017-04-24T00:00:00"/>
    <s v="NO APLICA"/>
    <s v="NO APLICA"/>
    <s v="NO APLICA"/>
    <d v="2017-05-05T00:00:00"/>
    <s v="NO APLICA"/>
    <m/>
    <d v="2017-07-19T00:00:00"/>
    <s v="NO APLICA"/>
    <s v="NO APLICA"/>
    <s v="NO APLICA"/>
    <m/>
    <m/>
    <m/>
    <m/>
    <m/>
    <m/>
    <m/>
    <m/>
    <m/>
    <m/>
    <m/>
    <m/>
    <m/>
    <m/>
    <s v="NO APLICA"/>
    <s v="NO APLICA"/>
    <s v="NO APLICA"/>
    <m/>
    <m/>
    <m/>
    <m/>
    <m/>
    <m/>
    <m/>
    <m/>
    <m/>
    <m/>
    <m/>
    <m/>
    <m/>
    <m/>
    <m/>
    <m/>
    <m/>
    <m/>
    <m/>
    <m/>
    <m/>
    <m/>
    <m/>
    <m/>
    <m/>
    <m/>
    <m/>
    <m/>
    <m/>
    <n v="0"/>
    <m/>
    <m/>
    <m/>
    <m/>
    <m/>
    <m/>
    <m/>
    <n v="60"/>
    <m/>
    <m/>
    <m/>
    <m/>
    <m/>
    <m/>
    <m/>
    <m/>
    <m/>
    <m/>
    <m/>
    <m/>
    <m/>
    <m/>
    <m/>
    <m/>
    <m/>
    <m/>
    <m/>
    <m/>
    <m/>
    <m/>
    <m/>
    <m/>
    <m/>
    <m/>
    <m/>
    <m/>
    <m/>
    <m/>
    <m/>
    <m/>
    <m/>
    <m/>
    <m/>
    <m/>
    <m/>
    <m/>
    <m/>
    <m/>
    <m/>
    <m/>
    <m/>
    <m/>
    <m/>
    <n v="0"/>
    <n v="0"/>
    <n v="0"/>
    <n v="1"/>
    <n v="1"/>
    <n v="1"/>
    <n v="1"/>
    <n v="1"/>
    <n v="1"/>
    <n v="1"/>
    <n v="1"/>
    <n v="1"/>
    <n v="1"/>
    <n v="1"/>
    <x v="0"/>
    <n v="1"/>
    <n v="1"/>
    <n v="1"/>
    <x v="0"/>
    <s v="si"/>
    <s v="si"/>
    <s v="si"/>
    <s v="si"/>
    <s v="si"/>
    <s v="si"/>
    <s v="si"/>
    <x v="0"/>
    <s v="si"/>
    <s v="si"/>
    <s v="si"/>
    <m/>
    <m/>
    <m/>
    <m/>
    <m/>
    <m/>
    <m/>
    <m/>
    <m/>
    <m/>
    <s v="REFORMA: OFICIO Nro.MEER-SDCE-2018-0531-OF del 08 de mayo de 2018. NO OBJECIÓN DEL BID: CAN/CEC-807/2018 del 16 de mayo de 2018"/>
    <m/>
    <m/>
    <m/>
  </r>
  <r>
    <x v="5"/>
    <s v="SERVICIOS DE NO CONSULTORIA"/>
    <x v="2"/>
    <s v="Fortalecimiento Institucional"/>
    <x v="4"/>
    <x v="4"/>
    <x v="0"/>
    <s v="CAÑAR"/>
    <x v="162"/>
    <n v="16"/>
    <x v="0"/>
    <s v="BID2-RSND-EECS-RI-SNC-008"/>
    <s v="TALLER EN CYBERSEGURIDAD EN LA OPERACIÓN DE LA RED ELÉCTRICA"/>
    <m/>
    <s v="LPN"/>
    <s v="ex-post"/>
    <s v="EN PROCESO CON PLIEGOS Y CERTIFICACIÓN"/>
    <m/>
    <m/>
    <m/>
    <m/>
    <m/>
    <s v="NO APLICA"/>
    <s v="NO APLICA"/>
    <m/>
    <m/>
    <m/>
    <n v="100000"/>
    <n v="0"/>
    <n v="100000"/>
    <n v="0"/>
    <n v="100000"/>
    <n v="0.12"/>
    <n v="12000"/>
    <n v="0"/>
    <n v="112000.00000000001"/>
    <m/>
    <m/>
    <m/>
    <m/>
    <m/>
    <m/>
    <m/>
    <m/>
    <m/>
    <m/>
    <m/>
    <m/>
    <m/>
    <m/>
    <m/>
    <m/>
    <m/>
    <m/>
    <m/>
    <m/>
    <m/>
    <m/>
    <n v="0"/>
    <m/>
    <s v="NO APLICA"/>
    <s v="NO APLICA"/>
    <s v="NO APLICA"/>
    <s v="NO APLICA"/>
    <s v="NO APLICA"/>
    <m/>
    <m/>
    <m/>
    <m/>
    <m/>
    <m/>
    <m/>
    <s v="NO APLICA"/>
    <s v="NO APLICA"/>
    <s v="NO APLICA"/>
    <m/>
    <m/>
    <m/>
    <m/>
    <s v="NO APLICA"/>
    <s v="NO APLICA"/>
    <s v="NO APLICA"/>
    <m/>
    <m/>
    <m/>
    <m/>
    <m/>
    <m/>
    <m/>
    <m/>
    <m/>
    <m/>
    <m/>
    <m/>
    <m/>
    <m/>
    <s v="NO APLICA"/>
    <s v="NO APLICA"/>
    <s v="NO APLICA"/>
    <m/>
    <m/>
    <m/>
    <m/>
    <m/>
    <m/>
    <m/>
    <m/>
    <m/>
    <m/>
    <m/>
    <m/>
    <m/>
    <m/>
    <m/>
    <m/>
    <m/>
    <m/>
    <m/>
    <m/>
    <m/>
    <m/>
    <m/>
    <m/>
    <m/>
    <m/>
    <m/>
    <m/>
    <m/>
    <n v="0"/>
    <m/>
    <m/>
    <m/>
    <m/>
    <m/>
    <m/>
    <m/>
    <m/>
    <m/>
    <m/>
    <m/>
    <m/>
    <m/>
    <m/>
    <m/>
    <m/>
    <m/>
    <m/>
    <m/>
    <m/>
    <m/>
    <m/>
    <m/>
    <m/>
    <m/>
    <m/>
    <m/>
    <m/>
    <m/>
    <m/>
    <m/>
    <m/>
    <m/>
    <m/>
    <m/>
    <m/>
    <m/>
    <m/>
    <m/>
    <m/>
    <m/>
    <m/>
    <m/>
    <m/>
    <m/>
    <m/>
    <m/>
    <n v="0"/>
    <n v="0"/>
    <n v="0"/>
    <n v="0"/>
    <n v="0"/>
    <n v="0"/>
    <n v="0"/>
    <n v="0"/>
    <n v="0"/>
    <n v="0"/>
    <n v="0"/>
    <n v="0"/>
    <n v="0"/>
    <n v="0"/>
    <n v="0"/>
    <n v="0"/>
    <n v="0"/>
    <n v="0"/>
    <n v="0"/>
    <n v="0"/>
    <x v="2"/>
    <n v="0"/>
    <n v="0"/>
    <n v="0"/>
    <x v="1"/>
    <s v="no"/>
    <s v="no"/>
    <s v="no"/>
    <s v="no"/>
    <s v="no"/>
    <s v="no"/>
    <s v="no"/>
    <x v="1"/>
    <s v="no"/>
    <s v="no"/>
    <s v="no"/>
    <s v="Proceso publicado, precontractual 40%. Termina Noviembre 2018."/>
    <m/>
    <m/>
    <m/>
    <m/>
    <m/>
    <s v="Por publicar en julio de 2019"/>
    <m/>
    <m/>
    <m/>
    <s v="PENDIENTE REGULARIZAR REFORMA (PARA MODIFICAR MONTOS)"/>
    <m/>
    <m/>
    <m/>
  </r>
  <r>
    <x v="5"/>
    <s v="BIENES"/>
    <x v="2"/>
    <s v="Fortalecimiento Institucional"/>
    <x v="4"/>
    <x v="4"/>
    <x v="0"/>
    <s v="CAÑAR"/>
    <x v="163"/>
    <n v="17"/>
    <x v="0"/>
    <s v="BID2-RSND-EECS-RI-BI-009"/>
    <s v="ADQUISICIÓN DE 36 COMPUTADORES PORTÁTILES, PARA LAS UNIDADES DE GESTIÓN DE LOS PROGRAMAS CON FINANCIAMIENTO BID"/>
    <m/>
    <s v="LPN"/>
    <s v="ex-post"/>
    <s v="EJECUTADO BID"/>
    <m/>
    <m/>
    <m/>
    <m/>
    <m/>
    <m/>
    <m/>
    <m/>
    <m/>
    <m/>
    <n v="75965"/>
    <n v="0"/>
    <n v="75965"/>
    <n v="0"/>
    <n v="75965"/>
    <n v="0.12"/>
    <n v="9115.7999999999993"/>
    <n v="0"/>
    <n v="85080.8"/>
    <n v="52936"/>
    <n v="23029"/>
    <m/>
    <m/>
    <m/>
    <m/>
    <n v="52936"/>
    <m/>
    <m/>
    <m/>
    <m/>
    <m/>
    <m/>
    <m/>
    <m/>
    <m/>
    <m/>
    <m/>
    <m/>
    <m/>
    <m/>
    <m/>
    <m/>
    <m/>
    <m/>
    <m/>
    <m/>
    <m/>
    <m/>
    <m/>
    <m/>
    <m/>
    <m/>
    <m/>
    <m/>
    <m/>
    <m/>
    <m/>
    <m/>
    <m/>
    <m/>
    <m/>
    <m/>
    <m/>
    <m/>
    <m/>
    <m/>
    <m/>
    <m/>
    <m/>
    <m/>
    <m/>
    <m/>
    <m/>
    <m/>
    <m/>
    <m/>
    <m/>
    <m/>
    <m/>
    <m/>
    <m/>
    <m/>
    <m/>
    <m/>
    <m/>
    <m/>
    <m/>
    <m/>
    <m/>
    <m/>
    <m/>
    <m/>
    <m/>
    <m/>
    <m/>
    <m/>
    <m/>
    <m/>
    <m/>
    <m/>
    <m/>
    <m/>
    <m/>
    <m/>
    <m/>
    <m/>
    <m/>
    <m/>
    <m/>
    <m/>
    <m/>
    <m/>
    <m/>
    <m/>
    <m/>
    <m/>
    <m/>
    <m/>
    <m/>
    <n v="60"/>
    <m/>
    <m/>
    <m/>
    <m/>
    <m/>
    <m/>
    <m/>
    <m/>
    <m/>
    <m/>
    <m/>
    <m/>
    <m/>
    <m/>
    <m/>
    <m/>
    <m/>
    <m/>
    <m/>
    <m/>
    <m/>
    <m/>
    <m/>
    <m/>
    <m/>
    <m/>
    <m/>
    <m/>
    <m/>
    <m/>
    <m/>
    <m/>
    <m/>
    <m/>
    <m/>
    <m/>
    <m/>
    <m/>
    <m/>
    <m/>
    <m/>
    <m/>
    <m/>
    <m/>
    <m/>
    <m/>
    <m/>
    <n v="0"/>
    <n v="0"/>
    <n v="0"/>
    <n v="0"/>
    <n v="0"/>
    <n v="0"/>
    <n v="0"/>
    <n v="0"/>
    <n v="0"/>
    <n v="0"/>
    <n v="0"/>
    <n v="0"/>
    <x v="2"/>
    <n v="0.9"/>
    <n v="0.99"/>
    <n v="1"/>
    <x v="0"/>
    <m/>
    <s v="no"/>
    <s v="no"/>
    <s v="no"/>
    <s v="no"/>
    <s v="no"/>
    <s v="no"/>
    <x v="1"/>
    <s v="si"/>
    <s v="si"/>
    <s v="si"/>
    <s v="Proceso nuevo. En trámite "/>
    <m/>
    <m/>
    <m/>
    <s v="En proceso de contratación, apertura de sobres el 17 diciembre de 2018."/>
    <m/>
    <m/>
    <m/>
    <m/>
    <m/>
    <s v="REFORMA: OFICIO Nro.MEER-SDCE-2018-0531-OF del 08 de mayo de 2018. NO OBJECIÓN DEL BID: CAN/CEC-807/2018 del 18 de mayo de 2018"/>
    <m/>
    <m/>
    <m/>
  </r>
  <r>
    <x v="5"/>
    <s v="SERVICIOS DE NO CONSULTORIA"/>
    <x v="1"/>
    <s v="Mejoramiento de la eficiencia y fiabilidad de la red"/>
    <x v="1"/>
    <x v="1"/>
    <x v="0"/>
    <s v="AZUAY"/>
    <x v="12"/>
    <n v="5"/>
    <x v="0"/>
    <s v="BID2-RSND-EECS-AU-SNC-008"/>
    <s v="SERVICIOS DE INTEGRACIÓN DE RECONECTADORES "/>
    <s v="Lote 1 "/>
    <s v="LPN"/>
    <s v="ex-post"/>
    <s v="CONTRATADO"/>
    <s v="DIDIS2017 Nro.0017900"/>
    <s v="ING. EDUARDO CAMPOVERDE ENCALADA"/>
    <s v="ECUATORIANA"/>
    <s v="PERSONA NATURAL"/>
    <n v="1105161739001"/>
    <s v="NO APLICA"/>
    <s v="NO APLICA"/>
    <m/>
    <m/>
    <n v="41800"/>
    <n v="41800"/>
    <n v="41800"/>
    <n v="109866.2"/>
    <n v="0"/>
    <n v="109866.2"/>
    <n v="0.12"/>
    <n v="13183.944"/>
    <n v="0"/>
    <n v="123050.14400000001"/>
    <m/>
    <m/>
    <n v="3005.5999999999985"/>
    <n v="41800"/>
    <n v="109866.2"/>
    <m/>
    <n v="38794.400000000001"/>
    <n v="0.12"/>
    <n v="4655.3280000000004"/>
    <n v="43449.728000000003"/>
    <m/>
    <m/>
    <m/>
    <m/>
    <m/>
    <m/>
    <m/>
    <m/>
    <m/>
    <m/>
    <m/>
    <m/>
    <n v="0"/>
    <s v="IAO 24.1."/>
    <s v="NO APLICA"/>
    <s v="NO APLICA"/>
    <s v="NO APLICA"/>
    <s v="NO APLICA"/>
    <s v="NO APLICA"/>
    <d v="2017-08-14T00:00:00"/>
    <d v="2017-08-18T00:00:00"/>
    <d v="2017-08-23T00:00:00"/>
    <d v="2017-09-04T00:00:00"/>
    <s v="NO APLICA"/>
    <d v="2017-09-11T00:00:00"/>
    <d v="2017-09-22T00:00:00"/>
    <s v="NO APLICA"/>
    <s v="NO APLICA"/>
    <s v="NO APLICA"/>
    <d v="2017-10-02T00:00:00"/>
    <s v="NO APLICA"/>
    <d v="2017-10-05T00:00:00"/>
    <d v="2017-10-31T00:00:00"/>
    <s v="NO APLICA"/>
    <s v="NO APLICA"/>
    <s v="NO APLICA"/>
    <m/>
    <m/>
    <m/>
    <m/>
    <m/>
    <m/>
    <m/>
    <m/>
    <m/>
    <m/>
    <m/>
    <m/>
    <m/>
    <m/>
    <s v="NO APLICA"/>
    <s v="NO APLICA"/>
    <s v="NO APLICA"/>
    <m/>
    <m/>
    <m/>
    <m/>
    <m/>
    <m/>
    <m/>
    <m/>
    <m/>
    <m/>
    <m/>
    <m/>
    <m/>
    <m/>
    <m/>
    <m/>
    <m/>
    <m/>
    <m/>
    <m/>
    <m/>
    <m/>
    <m/>
    <m/>
    <m/>
    <m/>
    <m/>
    <m/>
    <m/>
    <m/>
    <m/>
    <m/>
    <m/>
    <m/>
    <m/>
    <m/>
    <m/>
    <n v="365"/>
    <m/>
    <m/>
    <m/>
    <m/>
    <m/>
    <m/>
    <m/>
    <m/>
    <m/>
    <m/>
    <m/>
    <m/>
    <m/>
    <m/>
    <m/>
    <m/>
    <m/>
    <m/>
    <m/>
    <m/>
    <m/>
    <m/>
    <m/>
    <m/>
    <m/>
    <m/>
    <m/>
    <m/>
    <m/>
    <m/>
    <m/>
    <m/>
    <m/>
    <m/>
    <m/>
    <m/>
    <m/>
    <m/>
    <m/>
    <n v="0"/>
    <n v="0"/>
    <n v="0"/>
    <n v="0"/>
    <n v="0"/>
    <n v="0"/>
    <n v="0"/>
    <n v="0"/>
    <n v="0"/>
    <n v="0.9"/>
    <n v="0.9"/>
    <n v="0.9"/>
    <n v="0.9"/>
    <n v="0.9"/>
    <n v="1"/>
    <n v="1"/>
    <n v="1"/>
    <n v="1"/>
    <n v="1"/>
    <n v="1"/>
    <x v="0"/>
    <n v="1"/>
    <n v="1"/>
    <n v="1"/>
    <x v="0"/>
    <s v="no"/>
    <s v="no"/>
    <s v="no"/>
    <s v="no"/>
    <s v="no"/>
    <s v="no"/>
    <s v="no"/>
    <x v="1"/>
    <s v="no"/>
    <s v="no"/>
    <s v="no"/>
    <s v="Instalados, en etapa de pruebas"/>
    <m/>
    <m/>
    <m/>
    <s v="En liquidación"/>
    <s v="El 5-dic-2018 se paga las siguientes planillas:_x000a_Lote 2, planilla 3/4 por 9.006,12_x000a_Lote 1, planilla 3/4 por 11.638,32 "/>
    <s v="Lote 1, pagado  en diciembre  2018 - $31035,52"/>
    <m/>
    <m/>
    <m/>
    <m/>
    <m/>
    <m/>
    <d v="2017-03-03T00:00:00"/>
  </r>
  <r>
    <x v="5"/>
    <s v="SERVICIOS DE NO CONSULTORIA"/>
    <x v="1"/>
    <s v="Mejoramiento de la eficiencia y fiabilidad de la red"/>
    <x v="1"/>
    <x v="1"/>
    <x v="0"/>
    <s v="AZUAY"/>
    <x v="4"/>
    <n v="5"/>
    <x v="0"/>
    <s v="BID2-RSND-EECS-AU-SNC-008"/>
    <s v="SERVICIOS DE INTEGRACIÓN DE RECONECTADORES "/>
    <s v="LOTE 2"/>
    <s v="LPN"/>
    <s v="ex-post"/>
    <s v="CONTRATADO"/>
    <s v="DIDIS2017 Nro.0017899"/>
    <s v="ING. JIMMY ORTIZ VEINTIMILLA"/>
    <s v="ECUATORIANA"/>
    <s v="PERSONA NATURAL"/>
    <n v="1104622731001"/>
    <s v="NO APLICA"/>
    <s v="NO APLICA"/>
    <m/>
    <m/>
    <n v="41800"/>
    <n v="41800"/>
    <n v="41800"/>
    <m/>
    <n v="0"/>
    <n v="0"/>
    <n v="0.12"/>
    <n v="0"/>
    <n v="0"/>
    <n v="0"/>
    <m/>
    <m/>
    <n v="11779.599999999999"/>
    <n v="41800"/>
    <m/>
    <m/>
    <n v="30020.400000000001"/>
    <n v="0.12"/>
    <n v="3602.4479999999999"/>
    <n v="33622.848000000005"/>
    <m/>
    <m/>
    <m/>
    <m/>
    <m/>
    <m/>
    <m/>
    <m/>
    <m/>
    <m/>
    <m/>
    <m/>
    <m/>
    <s v="IAO 24.1."/>
    <s v="NO APLICA"/>
    <s v="NO APLICA"/>
    <s v="NO APLICA"/>
    <s v="NO APLICA"/>
    <s v="NO APLICA"/>
    <d v="2017-08-14T00:00:00"/>
    <d v="2017-08-18T00:00:00"/>
    <d v="2017-08-23T00:00:00"/>
    <d v="2017-09-04T00:00:00"/>
    <s v="NO APLICA"/>
    <d v="2017-09-11T00:00:00"/>
    <d v="2017-09-22T00:00:00"/>
    <s v="NO APLICA"/>
    <s v="NO APLICA"/>
    <s v="NO APLICA"/>
    <d v="2017-10-02T00:00:00"/>
    <s v="NO APLICA"/>
    <d v="2017-10-05T00:00:00"/>
    <d v="2017-10-31T00:00:00"/>
    <s v="NO APLICA"/>
    <s v="NO APLICA"/>
    <s v="NO APLICA"/>
    <m/>
    <m/>
    <m/>
    <m/>
    <m/>
    <m/>
    <m/>
    <m/>
    <m/>
    <m/>
    <m/>
    <m/>
    <m/>
    <m/>
    <s v="NO APLICA"/>
    <s v="NO APLICA"/>
    <s v="NO APLICA"/>
    <m/>
    <m/>
    <m/>
    <m/>
    <m/>
    <m/>
    <m/>
    <m/>
    <m/>
    <m/>
    <m/>
    <m/>
    <m/>
    <m/>
    <m/>
    <m/>
    <m/>
    <m/>
    <m/>
    <m/>
    <m/>
    <m/>
    <m/>
    <m/>
    <m/>
    <m/>
    <m/>
    <m/>
    <m/>
    <m/>
    <m/>
    <m/>
    <m/>
    <m/>
    <m/>
    <m/>
    <m/>
    <n v="365"/>
    <m/>
    <m/>
    <m/>
    <m/>
    <m/>
    <m/>
    <m/>
    <m/>
    <m/>
    <m/>
    <m/>
    <m/>
    <m/>
    <m/>
    <m/>
    <m/>
    <m/>
    <m/>
    <m/>
    <m/>
    <m/>
    <m/>
    <m/>
    <m/>
    <m/>
    <m/>
    <m/>
    <m/>
    <m/>
    <m/>
    <m/>
    <m/>
    <m/>
    <m/>
    <m/>
    <m/>
    <m/>
    <m/>
    <m/>
    <m/>
    <m/>
    <m/>
    <m/>
    <m/>
    <m/>
    <n v="0"/>
    <n v="0"/>
    <n v="0"/>
    <n v="0"/>
    <n v="0"/>
    <n v="0"/>
    <n v="0"/>
    <n v="0.9"/>
    <n v="1"/>
    <n v="1"/>
    <n v="1"/>
    <n v="1"/>
    <n v="1"/>
    <n v="1"/>
    <x v="0"/>
    <n v="1"/>
    <n v="1"/>
    <n v="1"/>
    <x v="0"/>
    <s v="no"/>
    <s v="no"/>
    <s v="no"/>
    <s v="no"/>
    <s v="no"/>
    <s v="no"/>
    <s v="no"/>
    <x v="1"/>
    <s v="no"/>
    <s v="no"/>
    <s v="no"/>
    <m/>
    <m/>
    <m/>
    <m/>
    <s v="En liquidación"/>
    <m/>
    <s v="Lote 2, pagado en mayo 2018 $24016,32"/>
    <m/>
    <m/>
    <m/>
    <m/>
    <m/>
    <m/>
    <m/>
  </r>
  <r>
    <x v="5"/>
    <s v="SERVICIOS DE NO CONSULTORIA"/>
    <x v="1"/>
    <s v="Mejoramiento de la eficiencia y fiabilidad de la red"/>
    <x v="1"/>
    <x v="1"/>
    <x v="0"/>
    <s v="AZUAY"/>
    <x v="4"/>
    <n v="5"/>
    <x v="0"/>
    <s v="BID2-RSND-EECS-AU-SNC-008"/>
    <s v="SERVICIOS DE INTEGRACIÓN DE RECONECTADORES "/>
    <s v="Lote 3"/>
    <s v="LPN"/>
    <s v="ex-post"/>
    <s v="EJECUTADO BID"/>
    <s v="DIDIS2017 Nro.0017901"/>
    <s v="ING. MARCO CARCHI TENEMASA"/>
    <s v="ECUATORIANA"/>
    <s v="PERSONA NATURAL"/>
    <s v="0 104254933001"/>
    <s v="NO APLICA"/>
    <s v="NO APLICA"/>
    <m/>
    <m/>
    <n v="26266.2"/>
    <n v="26266.2"/>
    <n v="26266.2"/>
    <m/>
    <n v="0"/>
    <n v="0"/>
    <n v="0.12"/>
    <n v="0"/>
    <n v="0"/>
    <n v="0"/>
    <n v="25882.5"/>
    <n v="383.70000000000073"/>
    <m/>
    <n v="26266.2"/>
    <m/>
    <m/>
    <n v="25882.5"/>
    <n v="0.12"/>
    <n v="3105.9"/>
    <n v="28988.400000000001"/>
    <m/>
    <m/>
    <m/>
    <m/>
    <m/>
    <m/>
    <m/>
    <m/>
    <m/>
    <m/>
    <m/>
    <m/>
    <m/>
    <s v="IAO 24.1."/>
    <s v="NO APLICA"/>
    <s v="NO APLICA"/>
    <s v="NO APLICA"/>
    <s v="NO APLICA"/>
    <s v="NO APLICA"/>
    <d v="2017-08-14T00:00:00"/>
    <d v="2017-08-18T00:00:00"/>
    <d v="2017-08-23T00:00:00"/>
    <d v="2017-09-04T00:00:00"/>
    <s v="NO APLICA"/>
    <d v="2017-09-11T00:00:00"/>
    <d v="2017-09-22T00:00:00"/>
    <s v="NO APLICA"/>
    <s v="NO APLICA"/>
    <s v="NO APLICA"/>
    <d v="2017-10-02T00:00:00"/>
    <s v="NO APLICA"/>
    <d v="2017-10-05T00:00:00"/>
    <d v="2017-10-31T00:00:00"/>
    <s v="NO APLICA"/>
    <s v="NO APLICA"/>
    <s v="NO APLICA"/>
    <m/>
    <m/>
    <m/>
    <m/>
    <m/>
    <m/>
    <m/>
    <m/>
    <m/>
    <m/>
    <m/>
    <m/>
    <m/>
    <m/>
    <s v="NO APLICA"/>
    <s v="NO APLICA"/>
    <s v="NO APLICA"/>
    <m/>
    <m/>
    <m/>
    <m/>
    <m/>
    <m/>
    <m/>
    <m/>
    <m/>
    <m/>
    <m/>
    <m/>
    <m/>
    <m/>
    <m/>
    <m/>
    <m/>
    <m/>
    <m/>
    <m/>
    <m/>
    <m/>
    <m/>
    <m/>
    <m/>
    <m/>
    <m/>
    <m/>
    <m/>
    <m/>
    <m/>
    <m/>
    <m/>
    <m/>
    <m/>
    <m/>
    <m/>
    <n v="365"/>
    <m/>
    <m/>
    <m/>
    <m/>
    <m/>
    <m/>
    <m/>
    <m/>
    <m/>
    <m/>
    <m/>
    <m/>
    <m/>
    <m/>
    <m/>
    <m/>
    <m/>
    <m/>
    <m/>
    <m/>
    <m/>
    <m/>
    <m/>
    <m/>
    <m/>
    <m/>
    <m/>
    <m/>
    <m/>
    <m/>
    <m/>
    <m/>
    <m/>
    <m/>
    <m/>
    <m/>
    <m/>
    <m/>
    <m/>
    <m/>
    <m/>
    <m/>
    <m/>
    <m/>
    <m/>
    <n v="0"/>
    <n v="0"/>
    <n v="0"/>
    <n v="0"/>
    <n v="0"/>
    <n v="0"/>
    <n v="1"/>
    <n v="1"/>
    <n v="1"/>
    <n v="1"/>
    <n v="1"/>
    <n v="1"/>
    <n v="1"/>
    <n v="1"/>
    <x v="0"/>
    <n v="1"/>
    <n v="1"/>
    <n v="1"/>
    <x v="0"/>
    <s v="no"/>
    <s v="no"/>
    <s v="no"/>
    <s v="no"/>
    <s v="no"/>
    <s v="no"/>
    <s v="si"/>
    <x v="0"/>
    <s v="si"/>
    <s v="si"/>
    <s v="si"/>
    <m/>
    <m/>
    <m/>
    <s v="LIQUIDADO EL LOTE 3 DEL PROCESO BID2-RSND-EECS-AU-SNC-008  "/>
    <s v="LIQUIDADO EL LOTE 3 DEL PROCESO BID2-RSND-EECS-AU-SNC-008  "/>
    <m/>
    <s v="Liquidado lote 3. el 25/10/2018"/>
    <m/>
    <m/>
    <m/>
    <m/>
    <m/>
    <m/>
    <m/>
  </r>
  <r>
    <x v="8"/>
    <s v="SERVICIOS DE NO CONSULTORIA"/>
    <x v="2"/>
    <s v="Fortalecimiento Institucional"/>
    <x v="4"/>
    <x v="4"/>
    <x v="0"/>
    <s v="PICHINCHA"/>
    <x v="164"/>
    <n v="11"/>
    <x v="0"/>
    <s v="BID2-RSND-EEQ-RI-SNC-001"/>
    <s v="CAPACITACIÓN EN LA APLICACIÓN DE LAS NORMAS INTERNACIONALES DE INFORMACIÓN FINANCIERA NIIFS"/>
    <m/>
    <s v="LPN"/>
    <s v="ex-post"/>
    <s v="EJECUTADO BID"/>
    <s v="SG-084-2017"/>
    <s v="INTELECTO S.A. ITELECTOSA"/>
    <s v="ECUATORIANA"/>
    <s v="PERSONA JURÍDICA"/>
    <s v="0 992574445001"/>
    <s v="NO APLICA"/>
    <s v="NO APLICA"/>
    <s v="TEC. ELVIRA TUFIÑO "/>
    <m/>
    <m/>
    <n v="29480"/>
    <n v="0"/>
    <n v="36000"/>
    <n v="0"/>
    <n v="36000"/>
    <n v="0.12"/>
    <n v="4320"/>
    <n v="0"/>
    <n v="40320.000000000007"/>
    <n v="29480"/>
    <n v="0"/>
    <m/>
    <m/>
    <n v="36000"/>
    <m/>
    <n v="29480"/>
    <n v="0.14000000000000001"/>
    <n v="4127.2000000000007"/>
    <n v="33607.199999999997"/>
    <m/>
    <m/>
    <m/>
    <m/>
    <m/>
    <m/>
    <m/>
    <m/>
    <m/>
    <m/>
    <m/>
    <m/>
    <n v="0"/>
    <s v="DDL"/>
    <s v="NO APLICA"/>
    <s v="NO APLICA"/>
    <s v="NO APLICA"/>
    <s v="NO APLICA"/>
    <s v="NO APLICA"/>
    <d v="2016-12-19T00:00:00"/>
    <d v="2017-01-06T00:00:00"/>
    <d v="2017-01-11T00:00:00"/>
    <d v="2016-01-16T00:00:00"/>
    <s v="NO APLICA"/>
    <d v="2016-01-23T00:00:00"/>
    <d v="2017-01-30T00:00:00"/>
    <s v="NO APLICA"/>
    <s v="NO APLICA"/>
    <s v="NO APLICA"/>
    <s v="DATO PENDIENTE"/>
    <s v="NO APLICA"/>
    <s v="DATO PENDIENTE"/>
    <d v="2017-03-01T00:00:00"/>
    <s v="NO APLICA"/>
    <s v="NO APLICA"/>
    <s v="NO APLICA"/>
    <m/>
    <m/>
    <m/>
    <m/>
    <m/>
    <m/>
    <m/>
    <m/>
    <m/>
    <m/>
    <m/>
    <m/>
    <m/>
    <m/>
    <s v="NO APLICA"/>
    <s v="NO APLICA"/>
    <s v="NO APLICA"/>
    <m/>
    <m/>
    <s v="Pago 1/1 - Palanilla Única 100%"/>
    <d v="2017-04-21T00:00:00"/>
    <n v="29480"/>
    <m/>
    <m/>
    <m/>
    <m/>
    <m/>
    <m/>
    <m/>
    <m/>
    <m/>
    <m/>
    <m/>
    <m/>
    <m/>
    <m/>
    <m/>
    <m/>
    <m/>
    <m/>
    <m/>
    <m/>
    <m/>
    <m/>
    <m/>
    <m/>
    <n v="29480"/>
    <m/>
    <m/>
    <m/>
    <m/>
    <m/>
    <m/>
    <m/>
    <n v="10"/>
    <s v="DATO PENDIENTE"/>
    <m/>
    <m/>
    <m/>
    <m/>
    <m/>
    <m/>
    <m/>
    <m/>
    <m/>
    <m/>
    <m/>
    <m/>
    <m/>
    <m/>
    <m/>
    <m/>
    <m/>
    <m/>
    <m/>
    <m/>
    <m/>
    <m/>
    <m/>
    <m/>
    <m/>
    <m/>
    <m/>
    <m/>
    <m/>
    <m/>
    <m/>
    <m/>
    <m/>
    <m/>
    <m/>
    <m/>
    <m/>
    <m/>
    <m/>
    <n v="1"/>
    <n v="1"/>
    <n v="1"/>
    <n v="1"/>
    <n v="1"/>
    <n v="1"/>
    <n v="1"/>
    <n v="1"/>
    <n v="1"/>
    <n v="1"/>
    <n v="1"/>
    <n v="1"/>
    <n v="1"/>
    <n v="1"/>
    <n v="1"/>
    <n v="1"/>
    <n v="1"/>
    <n v="1"/>
    <n v="1"/>
    <x v="0"/>
    <n v="1"/>
    <n v="1"/>
    <n v="1"/>
    <x v="0"/>
    <s v="si"/>
    <s v="si"/>
    <s v="si"/>
    <s v="si"/>
    <s v="si"/>
    <s v="si"/>
    <s v="si"/>
    <x v="0"/>
    <s v="si"/>
    <s v="si"/>
    <s v="si"/>
    <m/>
    <m/>
    <m/>
    <m/>
    <m/>
    <m/>
    <m/>
    <m/>
    <m/>
    <m/>
    <s v="OFICIO Nro. EEQ-GG-2016-1000 DEL 06 DE OCTUBRE DE 2016 Y CORREO ELECTRÓNICO DE RESPUESTA DEL 27 DE OCTUBRE DE 2016"/>
    <m/>
    <m/>
    <m/>
  </r>
  <r>
    <x v="8"/>
    <s v="BIENES"/>
    <x v="2"/>
    <s v="Fortalecimiento Institucional"/>
    <x v="4"/>
    <x v="4"/>
    <x v="0"/>
    <s v="PICHINCHA"/>
    <x v="165"/>
    <n v="12"/>
    <x v="0"/>
    <s v="BID2-RSND-EEQ-RI-BI-001"/>
    <s v="REFORZAMIENTO DEL PROCESO DE OPERACIÓN A TRAVÉS DE LA PROVISÓN DE LICIENCIAS E IMPLANTACIÓN DE HERRAMIENTAS DE ANÁLISIS Y VISUALIZACIÓN DE DATOS GEOESPACIALES  EN TIEMPO REAL, RELACIONADOS CON LA CALIDAD DEL SERVICIO."/>
    <m/>
    <s v="LPN"/>
    <s v="ex-post"/>
    <s v="EN PROCESO CON PLIEGOS Y CERTIFICACIÓN"/>
    <m/>
    <m/>
    <m/>
    <m/>
    <m/>
    <s v="NO APLICA"/>
    <s v="NO APLICA"/>
    <m/>
    <m/>
    <m/>
    <n v="140000"/>
    <n v="0"/>
    <n v="140000"/>
    <n v="0"/>
    <n v="140000"/>
    <n v="0.12"/>
    <n v="16800"/>
    <n v="0"/>
    <n v="156800.00000000003"/>
    <m/>
    <m/>
    <m/>
    <m/>
    <m/>
    <m/>
    <m/>
    <m/>
    <m/>
    <m/>
    <m/>
    <m/>
    <m/>
    <m/>
    <m/>
    <m/>
    <m/>
    <m/>
    <m/>
    <m/>
    <m/>
    <m/>
    <n v="0"/>
    <m/>
    <s v="NO APLICA"/>
    <s v="NO APLICA"/>
    <s v="NO APLICA"/>
    <s v="NO APLICA"/>
    <s v="NO APLICA"/>
    <m/>
    <m/>
    <m/>
    <m/>
    <m/>
    <m/>
    <m/>
    <s v="NO APLICA"/>
    <s v="NO APLICA"/>
    <s v="NO APLICA"/>
    <m/>
    <m/>
    <m/>
    <m/>
    <s v="NO APLICA"/>
    <s v="NO APLICA"/>
    <s v="NO APLICA"/>
    <m/>
    <m/>
    <m/>
    <m/>
    <m/>
    <m/>
    <m/>
    <m/>
    <m/>
    <m/>
    <m/>
    <m/>
    <m/>
    <m/>
    <s v="NO APLICA"/>
    <s v="NO APLICA"/>
    <s v="NO APLICA"/>
    <m/>
    <m/>
    <m/>
    <m/>
    <m/>
    <m/>
    <m/>
    <m/>
    <m/>
    <m/>
    <m/>
    <m/>
    <m/>
    <m/>
    <m/>
    <m/>
    <m/>
    <m/>
    <m/>
    <m/>
    <m/>
    <m/>
    <m/>
    <m/>
    <m/>
    <m/>
    <m/>
    <m/>
    <m/>
    <n v="0"/>
    <m/>
    <m/>
    <m/>
    <m/>
    <m/>
    <m/>
    <m/>
    <m/>
    <m/>
    <m/>
    <m/>
    <m/>
    <m/>
    <m/>
    <m/>
    <m/>
    <m/>
    <m/>
    <m/>
    <m/>
    <m/>
    <m/>
    <m/>
    <m/>
    <m/>
    <m/>
    <m/>
    <m/>
    <m/>
    <m/>
    <m/>
    <m/>
    <m/>
    <m/>
    <m/>
    <m/>
    <m/>
    <m/>
    <m/>
    <m/>
    <m/>
    <m/>
    <m/>
    <m/>
    <m/>
    <m/>
    <m/>
    <m/>
    <n v="0"/>
    <n v="0"/>
    <n v="0"/>
    <n v="0"/>
    <n v="0"/>
    <n v="0"/>
    <n v="0"/>
    <n v="0"/>
    <n v="0"/>
    <n v="0"/>
    <n v="0"/>
    <n v="0"/>
    <n v="0"/>
    <n v="0"/>
    <n v="0"/>
    <n v="0"/>
    <n v="0"/>
    <n v="0"/>
    <n v="0"/>
    <x v="2"/>
    <n v="0"/>
    <n v="0"/>
    <n v="0"/>
    <x v="1"/>
    <s v="no"/>
    <s v="no"/>
    <s v="no"/>
    <s v="no"/>
    <s v="no"/>
    <s v="no"/>
    <s v="no"/>
    <x v="1"/>
    <s v="no"/>
    <s v="no"/>
    <s v="no"/>
    <m/>
    <m/>
    <m/>
    <m/>
    <m/>
    <m/>
    <s v="Pendiente términos de referencia"/>
    <m/>
    <m/>
    <m/>
    <s v="PENDIENTE REGULARIZAR REFORMA (10.MARZO 2017)"/>
    <m/>
    <m/>
    <m/>
  </r>
  <r>
    <x v="8"/>
    <s v="SERVICIOS DE NO CONSULTORIA"/>
    <x v="2"/>
    <s v="Fortalecimiento Institucional"/>
    <x v="4"/>
    <x v="4"/>
    <x v="0"/>
    <s v="PICHINCHA"/>
    <x v="166"/>
    <n v="13"/>
    <x v="0"/>
    <s v="BID2-RSND-EEQ-RI-SNC-003"/>
    <s v="TALLER DE CAPACITACIÓN EN ARQUITECTURA EMPRESARIAL, METODOLOGÍA TOGAF"/>
    <m/>
    <s v="LPN"/>
    <s v="ex-post"/>
    <s v="EJECUTADO BID"/>
    <s v="SG-100-2018"/>
    <s v="FORTIA CONSULTING FORTIAEC CIA. LTDA."/>
    <s v="ECUATORIANA"/>
    <s v="PERSONA JURÍDICA"/>
    <n v="1792608872001"/>
    <s v="NO APLICA"/>
    <s v="NO APLICA"/>
    <m/>
    <m/>
    <m/>
    <n v="100000"/>
    <n v="0"/>
    <n v="100000"/>
    <n v="0"/>
    <n v="100000"/>
    <n v="0.12"/>
    <n v="12000"/>
    <n v="0"/>
    <n v="112000.00000000001"/>
    <n v="45505"/>
    <n v="54495"/>
    <m/>
    <m/>
    <n v="65000"/>
    <m/>
    <n v="45505"/>
    <n v="0.12"/>
    <n v="5460.5999999999995"/>
    <n v="50965.600000000006"/>
    <m/>
    <m/>
    <m/>
    <m/>
    <m/>
    <m/>
    <m/>
    <m/>
    <m/>
    <m/>
    <m/>
    <m/>
    <n v="0"/>
    <m/>
    <s v="NO APLICA"/>
    <s v="NO APLICA"/>
    <s v="NO APLICA"/>
    <s v="NO APLICA"/>
    <s v="NO APLICA"/>
    <d v="2017-11-28T00:00:00"/>
    <d v="2017-12-15T00:00:00"/>
    <d v="2017-12-22T00:00:00"/>
    <d v="2017-12-28T00:00:00"/>
    <m/>
    <d v="2018-01-12T00:00:00"/>
    <d v="2018-01-17T00:00:00"/>
    <s v="NO APLICA"/>
    <s v="NO APLICA"/>
    <s v="NO APLICA"/>
    <d v="2018-02-19T00:00:00"/>
    <s v="NO APLICA"/>
    <d v="2018-02-19T00:00:00"/>
    <d v="2018-03-28T00:00:00"/>
    <s v="NO APLICA"/>
    <s v="NO APLICA"/>
    <s v="NO APLICA"/>
    <m/>
    <m/>
    <m/>
    <m/>
    <m/>
    <m/>
    <m/>
    <m/>
    <m/>
    <m/>
    <m/>
    <m/>
    <m/>
    <m/>
    <s v="NO APLICA"/>
    <s v="NO APLICA"/>
    <s v="NO APLICA"/>
    <m/>
    <m/>
    <m/>
    <m/>
    <m/>
    <m/>
    <m/>
    <m/>
    <m/>
    <m/>
    <m/>
    <m/>
    <m/>
    <m/>
    <m/>
    <m/>
    <m/>
    <m/>
    <m/>
    <m/>
    <m/>
    <m/>
    <m/>
    <m/>
    <m/>
    <m/>
    <m/>
    <m/>
    <m/>
    <n v="0"/>
    <m/>
    <m/>
    <m/>
    <m/>
    <m/>
    <m/>
    <m/>
    <m/>
    <m/>
    <m/>
    <m/>
    <m/>
    <m/>
    <m/>
    <m/>
    <m/>
    <m/>
    <m/>
    <m/>
    <m/>
    <m/>
    <m/>
    <m/>
    <m/>
    <m/>
    <m/>
    <m/>
    <m/>
    <m/>
    <m/>
    <m/>
    <m/>
    <m/>
    <m/>
    <m/>
    <m/>
    <m/>
    <m/>
    <m/>
    <m/>
    <m/>
    <m/>
    <m/>
    <m/>
    <m/>
    <m/>
    <m/>
    <m/>
    <n v="0"/>
    <n v="0"/>
    <n v="0"/>
    <n v="0"/>
    <n v="0"/>
    <n v="0"/>
    <n v="0"/>
    <n v="0"/>
    <n v="1"/>
    <n v="1"/>
    <n v="1"/>
    <n v="1"/>
    <n v="1"/>
    <n v="1"/>
    <n v="1"/>
    <n v="1"/>
    <n v="1"/>
    <n v="1"/>
    <n v="1"/>
    <x v="0"/>
    <n v="1"/>
    <n v="1"/>
    <n v="1"/>
    <x v="0"/>
    <s v="si"/>
    <s v="si"/>
    <s v="si"/>
    <s v="si"/>
    <s v="si"/>
    <s v="si"/>
    <s v="si"/>
    <x v="0"/>
    <s v="si"/>
    <s v="si"/>
    <s v="si"/>
    <m/>
    <m/>
    <m/>
    <m/>
    <m/>
    <m/>
    <m/>
    <m/>
    <m/>
    <m/>
    <m/>
    <m/>
    <m/>
    <m/>
  </r>
  <r>
    <x v="8"/>
    <s v="SERVICIOS DE NO CONSULTORIA"/>
    <x v="2"/>
    <s v="Fortalecimiento Institucional"/>
    <x v="4"/>
    <x v="4"/>
    <x v="0"/>
    <s v="PICHINCHA"/>
    <x v="167"/>
    <n v="14"/>
    <x v="0"/>
    <s v="BID2-RSND-EEQ-RI-SNC-004"/>
    <s v="TALLER DE CAPACITACIÓN  EN GESTIÓN DE PROYECTOS  DE LAS EMPRESAS ELÉCTRICAS DE DISTRIBUCIÓN"/>
    <m/>
    <s v="LPN"/>
    <s v="ex-post"/>
    <s v="EN PROCESO CON PLIEGOS Y CERTIFICACIÓN"/>
    <m/>
    <m/>
    <m/>
    <m/>
    <m/>
    <s v="NO APLICA"/>
    <s v="NO APLICA"/>
    <m/>
    <m/>
    <m/>
    <n v="70000"/>
    <n v="0"/>
    <n v="70000"/>
    <n v="0"/>
    <n v="70000"/>
    <n v="0.12"/>
    <n v="8400"/>
    <n v="0"/>
    <n v="78400.000000000015"/>
    <m/>
    <m/>
    <m/>
    <m/>
    <m/>
    <m/>
    <m/>
    <m/>
    <m/>
    <m/>
    <m/>
    <m/>
    <m/>
    <m/>
    <m/>
    <m/>
    <m/>
    <m/>
    <m/>
    <m/>
    <m/>
    <m/>
    <n v="0"/>
    <m/>
    <s v="NO APLICA"/>
    <s v="NO APLICA"/>
    <s v="NO APLICA"/>
    <s v="NO APLICA"/>
    <s v="NO APLICA"/>
    <m/>
    <m/>
    <m/>
    <m/>
    <m/>
    <m/>
    <m/>
    <s v="NO APLICA"/>
    <s v="NO APLICA"/>
    <s v="NO APLICA"/>
    <m/>
    <m/>
    <m/>
    <m/>
    <s v="NO APLICA"/>
    <s v="NO APLICA"/>
    <s v="NO APLICA"/>
    <m/>
    <m/>
    <m/>
    <m/>
    <m/>
    <m/>
    <m/>
    <m/>
    <m/>
    <m/>
    <m/>
    <m/>
    <m/>
    <m/>
    <s v="NO APLICA"/>
    <s v="NO APLICA"/>
    <s v="NO APLICA"/>
    <m/>
    <m/>
    <m/>
    <m/>
    <m/>
    <m/>
    <m/>
    <m/>
    <m/>
    <m/>
    <m/>
    <m/>
    <m/>
    <m/>
    <m/>
    <m/>
    <m/>
    <m/>
    <m/>
    <m/>
    <m/>
    <m/>
    <m/>
    <m/>
    <m/>
    <m/>
    <m/>
    <m/>
    <m/>
    <n v="0"/>
    <m/>
    <m/>
    <m/>
    <m/>
    <m/>
    <m/>
    <m/>
    <m/>
    <m/>
    <m/>
    <m/>
    <m/>
    <m/>
    <m/>
    <m/>
    <m/>
    <m/>
    <m/>
    <m/>
    <m/>
    <m/>
    <m/>
    <m/>
    <m/>
    <m/>
    <m/>
    <m/>
    <m/>
    <m/>
    <m/>
    <m/>
    <m/>
    <m/>
    <m/>
    <m/>
    <m/>
    <m/>
    <m/>
    <m/>
    <m/>
    <m/>
    <m/>
    <m/>
    <m/>
    <m/>
    <m/>
    <m/>
    <m/>
    <n v="0"/>
    <n v="0"/>
    <n v="0"/>
    <n v="0"/>
    <n v="0"/>
    <n v="0"/>
    <n v="0"/>
    <n v="0"/>
    <n v="0"/>
    <n v="0"/>
    <n v="0"/>
    <n v="0"/>
    <n v="0"/>
    <n v="0"/>
    <n v="0"/>
    <n v="0"/>
    <n v="0"/>
    <n v="0"/>
    <n v="0"/>
    <x v="2"/>
    <n v="0"/>
    <n v="0"/>
    <n v="0"/>
    <x v="1"/>
    <s v="no"/>
    <s v="no"/>
    <s v="no"/>
    <s v="no"/>
    <s v="no"/>
    <s v="no"/>
    <s v="no"/>
    <x v="1"/>
    <s v="no"/>
    <s v="no"/>
    <s v="no"/>
    <m/>
    <m/>
    <m/>
    <m/>
    <m/>
    <m/>
    <s v="Pendiente términos de referencia"/>
    <m/>
    <m/>
    <m/>
    <m/>
    <m/>
    <m/>
    <m/>
  </r>
  <r>
    <x v="8"/>
    <s v="SERVICIOS DE NO CONSULTORIA"/>
    <x v="2"/>
    <s v="Fortalecimiento Institucional"/>
    <x v="4"/>
    <x v="4"/>
    <x v="0"/>
    <s v="PICHINCHA"/>
    <x v="168"/>
    <n v="15"/>
    <x v="0"/>
    <s v="BID2-RSND-EEQ-RI-SNC-005"/>
    <s v="TALLER DE CAPACITACIÓN DEL MARCO NORMATIVO Y REGULATORIO DEL SECTOR ELÉCTRICO"/>
    <m/>
    <s v="LPN"/>
    <s v="ex-post"/>
    <s v="EN PROCESO CON PLIEGOS Y CERTIFICACIÓN"/>
    <m/>
    <m/>
    <m/>
    <m/>
    <m/>
    <s v="NO APLICA"/>
    <s v="NO APLICA"/>
    <m/>
    <m/>
    <m/>
    <n v="68350"/>
    <n v="0"/>
    <n v="68350"/>
    <n v="0"/>
    <n v="68350"/>
    <n v="0.12"/>
    <n v="8202"/>
    <n v="0"/>
    <n v="76552.000000000015"/>
    <m/>
    <m/>
    <m/>
    <m/>
    <m/>
    <m/>
    <m/>
    <m/>
    <m/>
    <m/>
    <m/>
    <m/>
    <m/>
    <m/>
    <m/>
    <m/>
    <m/>
    <m/>
    <m/>
    <m/>
    <m/>
    <m/>
    <n v="0"/>
    <m/>
    <s v="NO APLICA"/>
    <s v="NO APLICA"/>
    <s v="NO APLICA"/>
    <s v="NO APLICA"/>
    <s v="NO APLICA"/>
    <m/>
    <m/>
    <m/>
    <m/>
    <m/>
    <m/>
    <m/>
    <s v="NO APLICA"/>
    <s v="NO APLICA"/>
    <s v="NO APLICA"/>
    <m/>
    <m/>
    <m/>
    <m/>
    <s v="NO APLICA"/>
    <s v="NO APLICA"/>
    <s v="NO APLICA"/>
    <m/>
    <m/>
    <m/>
    <m/>
    <m/>
    <m/>
    <m/>
    <m/>
    <m/>
    <m/>
    <m/>
    <m/>
    <m/>
    <m/>
    <s v="NO APLICA"/>
    <s v="NO APLICA"/>
    <s v="NO APLICA"/>
    <m/>
    <m/>
    <m/>
    <m/>
    <m/>
    <m/>
    <m/>
    <m/>
    <m/>
    <m/>
    <m/>
    <m/>
    <m/>
    <m/>
    <m/>
    <m/>
    <m/>
    <m/>
    <m/>
    <m/>
    <m/>
    <m/>
    <m/>
    <m/>
    <m/>
    <m/>
    <m/>
    <m/>
    <m/>
    <n v="0"/>
    <m/>
    <m/>
    <m/>
    <m/>
    <m/>
    <m/>
    <m/>
    <m/>
    <m/>
    <m/>
    <m/>
    <m/>
    <m/>
    <m/>
    <m/>
    <m/>
    <m/>
    <m/>
    <m/>
    <m/>
    <m/>
    <m/>
    <m/>
    <m/>
    <m/>
    <m/>
    <m/>
    <m/>
    <m/>
    <m/>
    <m/>
    <m/>
    <m/>
    <m/>
    <m/>
    <m/>
    <m/>
    <m/>
    <m/>
    <m/>
    <m/>
    <m/>
    <m/>
    <m/>
    <m/>
    <m/>
    <m/>
    <m/>
    <n v="0"/>
    <n v="0"/>
    <n v="0"/>
    <n v="0"/>
    <n v="0"/>
    <n v="0"/>
    <n v="0"/>
    <n v="0"/>
    <n v="0"/>
    <n v="0"/>
    <n v="0"/>
    <n v="0"/>
    <n v="0"/>
    <n v="0"/>
    <n v="0"/>
    <n v="0"/>
    <n v="0"/>
    <n v="0"/>
    <n v="0"/>
    <x v="2"/>
    <n v="0"/>
    <n v="0"/>
    <n v="0"/>
    <x v="1"/>
    <s v="no"/>
    <s v="no"/>
    <s v="no"/>
    <s v="no"/>
    <s v="no"/>
    <s v="no"/>
    <s v="no"/>
    <x v="1"/>
    <s v="no"/>
    <s v="no"/>
    <s v="no"/>
    <m/>
    <m/>
    <m/>
    <m/>
    <m/>
    <m/>
    <s v="Pendiente términos de referencia"/>
    <m/>
    <m/>
    <m/>
    <m/>
    <m/>
    <m/>
    <m/>
  </r>
  <r>
    <x v="8"/>
    <s v="SERVICIOS DE NO CONSULTORIA"/>
    <x v="2"/>
    <s v="Fortalecimiento Institucional"/>
    <x v="4"/>
    <x v="4"/>
    <x v="0"/>
    <s v="PICHINCHA"/>
    <x v="169"/>
    <n v="16"/>
    <x v="0"/>
    <s v="BID2-RSND-EEQ-RI-SNC-006"/>
    <s v="TALLER DE CAPACITACIÓN EN PROTOCOLOS DE COMUNICACIÓN PARA LA AUTOMATIZACIÓNDE LA DISTRIBUCIÓN"/>
    <m/>
    <s v="LPN"/>
    <s v="ex-post"/>
    <s v="DESIERTO P"/>
    <m/>
    <m/>
    <m/>
    <m/>
    <m/>
    <s v="NO APLICA"/>
    <s v="NO APLICA"/>
    <m/>
    <m/>
    <m/>
    <n v="100000"/>
    <n v="0"/>
    <n v="100000"/>
    <n v="0"/>
    <n v="100000"/>
    <n v="0.12"/>
    <n v="12000"/>
    <n v="0"/>
    <n v="112000.00000000001"/>
    <m/>
    <m/>
    <m/>
    <m/>
    <n v="100000"/>
    <m/>
    <m/>
    <m/>
    <m/>
    <m/>
    <m/>
    <m/>
    <m/>
    <m/>
    <m/>
    <m/>
    <m/>
    <m/>
    <m/>
    <m/>
    <m/>
    <m/>
    <n v="0"/>
    <m/>
    <s v="NO APLICA"/>
    <s v="NO APLICA"/>
    <s v="NO APLICA"/>
    <s v="NO APLICA"/>
    <s v="NO APLICA"/>
    <d v="2017-01-30T00:00:00"/>
    <d v="2017-02-13T00:00:00"/>
    <d v="2017-02-20T00:00:00"/>
    <d v="2017-03-03T00:00:00"/>
    <m/>
    <d v="2017-03-13T00:00:00"/>
    <d v="2017-03-20T00:00:00"/>
    <s v="NO APLICA"/>
    <s v="NO APLICA"/>
    <s v="NO APLICA"/>
    <s v="NO APLICA"/>
    <d v="2017-02-15T00:00:00"/>
    <s v="NO APLICA"/>
    <s v="NO APLICA"/>
    <s v="NO APLICA"/>
    <s v="NO APLICA"/>
    <s v="NO APLICA"/>
    <m/>
    <m/>
    <m/>
    <m/>
    <m/>
    <m/>
    <m/>
    <m/>
    <m/>
    <m/>
    <m/>
    <m/>
    <m/>
    <m/>
    <s v="NO APLICA"/>
    <s v="NO APLICA"/>
    <s v="NO APLICA"/>
    <m/>
    <m/>
    <m/>
    <m/>
    <m/>
    <m/>
    <m/>
    <m/>
    <m/>
    <m/>
    <m/>
    <m/>
    <m/>
    <m/>
    <m/>
    <m/>
    <m/>
    <m/>
    <m/>
    <m/>
    <m/>
    <m/>
    <m/>
    <m/>
    <m/>
    <m/>
    <m/>
    <m/>
    <m/>
    <n v="0"/>
    <m/>
    <m/>
    <m/>
    <m/>
    <m/>
    <m/>
    <m/>
    <m/>
    <m/>
    <m/>
    <m/>
    <m/>
    <m/>
    <m/>
    <m/>
    <m/>
    <m/>
    <m/>
    <m/>
    <m/>
    <m/>
    <m/>
    <m/>
    <m/>
    <m/>
    <m/>
    <m/>
    <m/>
    <m/>
    <m/>
    <m/>
    <m/>
    <m/>
    <m/>
    <m/>
    <m/>
    <m/>
    <m/>
    <m/>
    <m/>
    <m/>
    <m/>
    <m/>
    <m/>
    <m/>
    <m/>
    <m/>
    <m/>
    <n v="0"/>
    <n v="0"/>
    <n v="0"/>
    <n v="0"/>
    <n v="0"/>
    <n v="0"/>
    <n v="0"/>
    <n v="0"/>
    <n v="0"/>
    <n v="0"/>
    <n v="0"/>
    <n v="0"/>
    <n v="0"/>
    <n v="0"/>
    <n v="0"/>
    <n v="0"/>
    <n v="0"/>
    <n v="0"/>
    <n v="0"/>
    <x v="2"/>
    <n v="0"/>
    <n v="0"/>
    <n v="0"/>
    <x v="1"/>
    <s v="no"/>
    <s v="no"/>
    <s v="no"/>
    <s v="no"/>
    <s v="no"/>
    <s v="no"/>
    <s v="no"/>
    <x v="1"/>
    <s v="no"/>
    <s v="no"/>
    <s v="no"/>
    <m/>
    <m/>
    <m/>
    <m/>
    <m/>
    <m/>
    <s v="Por publicar en julio de 2019"/>
    <m/>
    <m/>
    <m/>
    <m/>
    <m/>
    <m/>
    <m/>
  </r>
  <r>
    <x v="8"/>
    <s v="SERVICIOS DE NO CONSULTORIA"/>
    <x v="2"/>
    <s v="Fortalecimiento Institucional"/>
    <x v="4"/>
    <x v="4"/>
    <x v="0"/>
    <s v="PICHINCHA"/>
    <x v="170"/>
    <n v="17"/>
    <x v="0"/>
    <s v="BID2-RSND-EEQ-RI-SNC-012"/>
    <s v="TALLER PARA LA DEFINICIÓN DEL MARCO DE REFERENCIA Y ROAD MAP PARA LOS ESTÁNDARES DE INTEROPERABILIDAD DEL SECTOR DE DISTRIBUCIÓN ELÉCTRICA BAJO LA GUIA DE REFERENCIA NIST 3.0 (NATIONAL INSTITUTE OF STANDARDS AND TECHNOLOGY )"/>
    <m/>
    <s v="LPN"/>
    <s v="ex-post"/>
    <s v="EN PROCESO CON PLIEGOS Y CERTIFICACIÓN"/>
    <m/>
    <m/>
    <m/>
    <m/>
    <m/>
    <s v="NO APLICA"/>
    <s v="NO APLICA"/>
    <m/>
    <m/>
    <m/>
    <n v="100000"/>
    <n v="0"/>
    <n v="100000"/>
    <n v="0"/>
    <n v="100000"/>
    <n v="0.12"/>
    <n v="12000"/>
    <n v="0"/>
    <n v="112000.00000000001"/>
    <m/>
    <m/>
    <m/>
    <m/>
    <m/>
    <m/>
    <m/>
    <m/>
    <m/>
    <m/>
    <m/>
    <m/>
    <m/>
    <m/>
    <m/>
    <m/>
    <m/>
    <m/>
    <m/>
    <m/>
    <m/>
    <m/>
    <n v="0"/>
    <m/>
    <s v="NO APLICA"/>
    <s v="NO APLICA"/>
    <s v="NO APLICA"/>
    <s v="NO APLICA"/>
    <s v="NO APLICA"/>
    <m/>
    <m/>
    <m/>
    <m/>
    <m/>
    <m/>
    <m/>
    <s v="NO APLICA"/>
    <s v="NO APLICA"/>
    <s v="NO APLICA"/>
    <m/>
    <m/>
    <m/>
    <m/>
    <s v="NO APLICA"/>
    <s v="NO APLICA"/>
    <s v="NO APLICA"/>
    <m/>
    <m/>
    <m/>
    <m/>
    <m/>
    <m/>
    <m/>
    <m/>
    <m/>
    <m/>
    <m/>
    <m/>
    <m/>
    <m/>
    <s v="NO APLICA"/>
    <s v="NO APLICA"/>
    <s v="NO APLICA"/>
    <m/>
    <m/>
    <m/>
    <m/>
    <m/>
    <m/>
    <m/>
    <m/>
    <m/>
    <m/>
    <m/>
    <m/>
    <m/>
    <m/>
    <m/>
    <m/>
    <m/>
    <m/>
    <m/>
    <m/>
    <m/>
    <m/>
    <m/>
    <m/>
    <m/>
    <m/>
    <m/>
    <m/>
    <m/>
    <n v="0"/>
    <m/>
    <m/>
    <m/>
    <m/>
    <m/>
    <m/>
    <m/>
    <m/>
    <m/>
    <m/>
    <m/>
    <m/>
    <m/>
    <m/>
    <m/>
    <m/>
    <m/>
    <m/>
    <m/>
    <m/>
    <m/>
    <m/>
    <m/>
    <m/>
    <m/>
    <m/>
    <m/>
    <m/>
    <m/>
    <m/>
    <m/>
    <m/>
    <m/>
    <m/>
    <m/>
    <m/>
    <m/>
    <m/>
    <m/>
    <m/>
    <m/>
    <m/>
    <m/>
    <m/>
    <m/>
    <m/>
    <m/>
    <m/>
    <n v="0"/>
    <n v="0"/>
    <n v="0"/>
    <n v="0"/>
    <n v="0"/>
    <n v="0"/>
    <n v="0"/>
    <n v="0"/>
    <n v="0"/>
    <n v="0"/>
    <n v="0"/>
    <n v="0"/>
    <n v="0"/>
    <n v="0"/>
    <n v="0"/>
    <n v="0"/>
    <n v="0"/>
    <n v="0"/>
    <n v="0"/>
    <x v="2"/>
    <n v="0"/>
    <n v="0"/>
    <n v="0"/>
    <x v="1"/>
    <s v="no"/>
    <s v="no"/>
    <s v="no"/>
    <s v="no"/>
    <s v="no"/>
    <s v="no"/>
    <s v="no"/>
    <x v="1"/>
    <s v="no"/>
    <s v="no"/>
    <s v="no"/>
    <m/>
    <m/>
    <m/>
    <m/>
    <m/>
    <m/>
    <s v="Pendiente temario"/>
    <m/>
    <m/>
    <m/>
    <s v="PENDIENTE REGULARIZAR REFORMA"/>
    <m/>
    <m/>
    <m/>
  </r>
  <r>
    <x v="8"/>
    <s v="SERVICIOS DE NO CONSULTORIA"/>
    <x v="2"/>
    <s v="Fortalecimiento Institucional"/>
    <x v="4"/>
    <x v="4"/>
    <x v="0"/>
    <s v="PICHINCHA"/>
    <x v="171"/>
    <n v="18"/>
    <x v="0"/>
    <s v="BID2-RSND-EEQ-RI-SNC-008"/>
    <s v="TALLER DE CAPACITACIÓN EN HERRAMIENTAS DE INTELIGENCIA DE NEGOCIOS"/>
    <m/>
    <s v="LPN"/>
    <s v="ex-post"/>
    <s v="EN PROCESO CON PLIEGOS Y CERTIFICACIÓN"/>
    <m/>
    <m/>
    <m/>
    <m/>
    <m/>
    <s v="NO APLICA"/>
    <s v="NO APLICA"/>
    <m/>
    <m/>
    <m/>
    <n v="74000"/>
    <n v="0"/>
    <n v="74000"/>
    <n v="0"/>
    <n v="74000"/>
    <n v="0.12"/>
    <n v="8880"/>
    <n v="0"/>
    <n v="82880.000000000015"/>
    <m/>
    <m/>
    <m/>
    <m/>
    <m/>
    <m/>
    <m/>
    <m/>
    <m/>
    <m/>
    <m/>
    <m/>
    <m/>
    <m/>
    <m/>
    <m/>
    <m/>
    <m/>
    <m/>
    <m/>
    <m/>
    <m/>
    <n v="0"/>
    <m/>
    <s v="NO APLICA"/>
    <s v="NO APLICA"/>
    <s v="NO APLICA"/>
    <s v="NO APLICA"/>
    <s v="NO APLICA"/>
    <m/>
    <m/>
    <m/>
    <m/>
    <m/>
    <m/>
    <m/>
    <s v="NO APLICA"/>
    <s v="NO APLICA"/>
    <s v="NO APLICA"/>
    <m/>
    <m/>
    <m/>
    <m/>
    <s v="NO APLICA"/>
    <s v="NO APLICA"/>
    <s v="NO APLICA"/>
    <m/>
    <m/>
    <m/>
    <m/>
    <m/>
    <m/>
    <m/>
    <m/>
    <m/>
    <m/>
    <m/>
    <m/>
    <m/>
    <m/>
    <s v="NO APLICA"/>
    <s v="NO APLICA"/>
    <s v="NO APLICA"/>
    <m/>
    <m/>
    <m/>
    <m/>
    <m/>
    <m/>
    <m/>
    <m/>
    <m/>
    <m/>
    <m/>
    <m/>
    <m/>
    <m/>
    <m/>
    <m/>
    <m/>
    <m/>
    <m/>
    <m/>
    <m/>
    <m/>
    <m/>
    <m/>
    <m/>
    <m/>
    <m/>
    <m/>
    <m/>
    <n v="0"/>
    <m/>
    <m/>
    <m/>
    <m/>
    <m/>
    <m/>
    <m/>
    <m/>
    <m/>
    <m/>
    <m/>
    <m/>
    <m/>
    <m/>
    <m/>
    <m/>
    <m/>
    <m/>
    <m/>
    <m/>
    <m/>
    <m/>
    <m/>
    <m/>
    <m/>
    <m/>
    <m/>
    <m/>
    <m/>
    <m/>
    <m/>
    <m/>
    <m/>
    <m/>
    <m/>
    <m/>
    <m/>
    <m/>
    <m/>
    <m/>
    <m/>
    <m/>
    <m/>
    <m/>
    <m/>
    <m/>
    <m/>
    <m/>
    <n v="0"/>
    <n v="0"/>
    <n v="0"/>
    <n v="0"/>
    <n v="0"/>
    <n v="0"/>
    <n v="0"/>
    <n v="0"/>
    <n v="0"/>
    <n v="0"/>
    <n v="0"/>
    <n v="0"/>
    <n v="0"/>
    <n v="0"/>
    <n v="0"/>
    <n v="0"/>
    <n v="0"/>
    <n v="0"/>
    <n v="0"/>
    <x v="2"/>
    <n v="0"/>
    <n v="0"/>
    <n v="0"/>
    <x v="1"/>
    <s v="no"/>
    <s v="no"/>
    <s v="no"/>
    <s v="no"/>
    <s v="no"/>
    <s v="no"/>
    <s v="no"/>
    <x v="1"/>
    <s v="no"/>
    <s v="no"/>
    <s v="no"/>
    <m/>
    <m/>
    <m/>
    <m/>
    <m/>
    <m/>
    <s v="TDR listos, trabjan en pliegos"/>
    <m/>
    <m/>
    <m/>
    <m/>
    <m/>
    <m/>
    <m/>
  </r>
  <r>
    <x v="8"/>
    <s v="SERVICIOS DE NO CONSULTORIA"/>
    <x v="2"/>
    <s v="Fortalecimiento Institucional"/>
    <x v="4"/>
    <x v="4"/>
    <x v="0"/>
    <s v="PICHINCHA"/>
    <x v="172"/>
    <n v="19"/>
    <x v="0"/>
    <s v="BID2-RSND-EEQ-RI-SNC-009"/>
    <s v="TALLER TEORICO PRÁCTICO DE PROTOCOLOS PARA LA INTEROPERABILIDAD DE LOS RECONECTADORES CON EL ADMS DE SCHNEIDER"/>
    <m/>
    <s v="LPN"/>
    <s v="ex-post"/>
    <s v="EN PROCESO CON PLIEGOS Y CERTIFICACIÓN"/>
    <m/>
    <m/>
    <m/>
    <m/>
    <m/>
    <s v="NO APLICA"/>
    <s v="NO APLICA"/>
    <m/>
    <m/>
    <m/>
    <n v="100000"/>
    <n v="0"/>
    <n v="100000"/>
    <n v="0"/>
    <n v="100000"/>
    <n v="0.12"/>
    <n v="12000"/>
    <n v="0"/>
    <n v="112000.00000000001"/>
    <m/>
    <m/>
    <m/>
    <m/>
    <m/>
    <m/>
    <m/>
    <m/>
    <m/>
    <m/>
    <m/>
    <m/>
    <m/>
    <m/>
    <m/>
    <m/>
    <m/>
    <m/>
    <m/>
    <m/>
    <m/>
    <m/>
    <n v="0"/>
    <m/>
    <s v="NO APLICA"/>
    <s v="NO APLICA"/>
    <s v="NO APLICA"/>
    <s v="NO APLICA"/>
    <s v="NO APLICA"/>
    <m/>
    <m/>
    <m/>
    <m/>
    <m/>
    <m/>
    <m/>
    <s v="NO APLICA"/>
    <s v="NO APLICA"/>
    <s v="NO APLICA"/>
    <m/>
    <m/>
    <m/>
    <m/>
    <s v="NO APLICA"/>
    <s v="NO APLICA"/>
    <s v="NO APLICA"/>
    <m/>
    <m/>
    <m/>
    <m/>
    <m/>
    <m/>
    <m/>
    <m/>
    <m/>
    <m/>
    <m/>
    <m/>
    <m/>
    <m/>
    <s v="NO APLICA"/>
    <s v="NO APLICA"/>
    <s v="NO APLICA"/>
    <m/>
    <m/>
    <m/>
    <m/>
    <m/>
    <m/>
    <m/>
    <m/>
    <m/>
    <m/>
    <m/>
    <m/>
    <m/>
    <m/>
    <m/>
    <m/>
    <m/>
    <m/>
    <m/>
    <m/>
    <m/>
    <m/>
    <m/>
    <m/>
    <m/>
    <m/>
    <m/>
    <m/>
    <m/>
    <n v="0"/>
    <m/>
    <m/>
    <m/>
    <m/>
    <m/>
    <m/>
    <m/>
    <m/>
    <m/>
    <m/>
    <m/>
    <m/>
    <m/>
    <m/>
    <m/>
    <m/>
    <m/>
    <m/>
    <m/>
    <m/>
    <m/>
    <m/>
    <m/>
    <m/>
    <m/>
    <m/>
    <m/>
    <m/>
    <m/>
    <m/>
    <m/>
    <m/>
    <m/>
    <m/>
    <m/>
    <m/>
    <m/>
    <m/>
    <m/>
    <m/>
    <m/>
    <m/>
    <m/>
    <m/>
    <m/>
    <m/>
    <m/>
    <m/>
    <n v="0"/>
    <n v="0"/>
    <n v="0"/>
    <n v="0"/>
    <n v="0"/>
    <n v="0"/>
    <n v="0"/>
    <n v="0"/>
    <n v="0"/>
    <n v="0"/>
    <n v="0"/>
    <n v="0"/>
    <n v="0"/>
    <n v="0"/>
    <n v="0"/>
    <n v="0"/>
    <n v="0"/>
    <n v="0"/>
    <n v="0"/>
    <x v="2"/>
    <n v="0"/>
    <n v="0"/>
    <n v="0"/>
    <x v="1"/>
    <s v="no"/>
    <s v="no"/>
    <s v="no"/>
    <s v="no"/>
    <s v="no"/>
    <s v="no"/>
    <s v="no"/>
    <x v="1"/>
    <s v="no"/>
    <s v="no"/>
    <s v="no"/>
    <m/>
    <m/>
    <m/>
    <m/>
    <m/>
    <m/>
    <s v="Pendiente temario"/>
    <m/>
    <m/>
    <m/>
    <m/>
    <m/>
    <m/>
    <m/>
  </r>
  <r>
    <x v="8"/>
    <s v="SERVICIOS DE NO CONSULTORIA"/>
    <x v="2"/>
    <s v="Fortalecimiento Institucional"/>
    <x v="4"/>
    <x v="4"/>
    <x v="0"/>
    <s v="PICHINCHA"/>
    <x v="173"/>
    <n v="20"/>
    <x v="0"/>
    <s v="BID2-RSND-EEQ-RI-SNC-010"/>
    <s v="TALLER CAPACITACIÓN EN GESTIÓN AMBIENTAL "/>
    <m/>
    <s v="LPN"/>
    <s v="ex-post"/>
    <s v="EN PROCESO CON PLIEGOS Y CERTIFICACIÓN"/>
    <m/>
    <m/>
    <m/>
    <m/>
    <m/>
    <s v="NO APLICA"/>
    <s v="NO APLICA"/>
    <m/>
    <m/>
    <m/>
    <n v="50000"/>
    <n v="0"/>
    <n v="50000"/>
    <n v="0"/>
    <n v="50000"/>
    <n v="0.12"/>
    <n v="6000"/>
    <n v="0"/>
    <n v="56000.000000000007"/>
    <m/>
    <m/>
    <m/>
    <m/>
    <m/>
    <m/>
    <m/>
    <m/>
    <m/>
    <m/>
    <m/>
    <m/>
    <m/>
    <m/>
    <m/>
    <m/>
    <m/>
    <m/>
    <m/>
    <m/>
    <m/>
    <m/>
    <n v="0"/>
    <m/>
    <s v="NO APLICA"/>
    <s v="NO APLICA"/>
    <s v="NO APLICA"/>
    <s v="NO APLICA"/>
    <s v="NO APLICA"/>
    <m/>
    <m/>
    <m/>
    <m/>
    <m/>
    <m/>
    <m/>
    <s v="NO APLICA"/>
    <s v="NO APLICA"/>
    <s v="NO APLICA"/>
    <m/>
    <m/>
    <m/>
    <m/>
    <s v="NO APLICA"/>
    <s v="NO APLICA"/>
    <s v="NO APLICA"/>
    <m/>
    <m/>
    <m/>
    <m/>
    <m/>
    <m/>
    <m/>
    <m/>
    <m/>
    <m/>
    <m/>
    <m/>
    <m/>
    <m/>
    <s v="NO APLICA"/>
    <s v="NO APLICA"/>
    <s v="NO APLICA"/>
    <m/>
    <m/>
    <m/>
    <m/>
    <m/>
    <m/>
    <m/>
    <m/>
    <m/>
    <m/>
    <m/>
    <m/>
    <m/>
    <m/>
    <m/>
    <m/>
    <m/>
    <m/>
    <m/>
    <m/>
    <m/>
    <m/>
    <m/>
    <m/>
    <m/>
    <m/>
    <m/>
    <m/>
    <m/>
    <n v="0"/>
    <m/>
    <m/>
    <m/>
    <m/>
    <m/>
    <m/>
    <m/>
    <m/>
    <m/>
    <m/>
    <m/>
    <m/>
    <m/>
    <m/>
    <m/>
    <m/>
    <m/>
    <m/>
    <m/>
    <m/>
    <m/>
    <m/>
    <m/>
    <m/>
    <m/>
    <m/>
    <m/>
    <m/>
    <m/>
    <m/>
    <m/>
    <m/>
    <m/>
    <m/>
    <m/>
    <m/>
    <m/>
    <m/>
    <m/>
    <m/>
    <m/>
    <m/>
    <m/>
    <m/>
    <m/>
    <m/>
    <m/>
    <m/>
    <n v="0"/>
    <n v="0"/>
    <n v="0"/>
    <n v="0"/>
    <n v="0"/>
    <n v="0"/>
    <n v="0"/>
    <n v="0"/>
    <n v="0"/>
    <n v="0"/>
    <n v="0"/>
    <n v="0"/>
    <n v="0"/>
    <n v="0"/>
    <n v="0"/>
    <n v="0"/>
    <n v="0"/>
    <n v="0"/>
    <n v="0"/>
    <x v="2"/>
    <n v="0"/>
    <n v="0"/>
    <n v="0"/>
    <x v="1"/>
    <s v="no"/>
    <s v="no"/>
    <s v="no"/>
    <s v="no"/>
    <s v="no"/>
    <s v="no"/>
    <s v="no"/>
    <x v="1"/>
    <s v="no"/>
    <s v="no"/>
    <s v="no"/>
    <m/>
    <m/>
    <m/>
    <m/>
    <m/>
    <m/>
    <s v="Por publicar en julio de 2019"/>
    <m/>
    <m/>
    <m/>
    <m/>
    <m/>
    <m/>
    <m/>
  </r>
  <r>
    <x v="8"/>
    <s v="SERVICIOS DE NO CONSULTORIA"/>
    <x v="2"/>
    <s v="Fortalecimiento Institucional"/>
    <x v="4"/>
    <x v="4"/>
    <x v="0"/>
    <s v="PICHINCHA"/>
    <x v="174"/>
    <n v="21"/>
    <x v="0"/>
    <s v="BID2-RSND-EEQ-RI-SNC-011"/>
    <s v="TALLER DE CAPACITACION PLANIFICACIÓN DE LA DISTRIBUCIÓN"/>
    <m/>
    <s v="LPN"/>
    <s v="ex-post"/>
    <s v="EN PROCESO CON PLIEGOS Y CERTIFICACIÓN"/>
    <m/>
    <m/>
    <m/>
    <m/>
    <m/>
    <s v="NO APLICA"/>
    <s v="NO APLICA"/>
    <m/>
    <m/>
    <m/>
    <n v="268840"/>
    <n v="0"/>
    <n v="61724"/>
    <n v="0"/>
    <n v="61724"/>
    <n v="0.12"/>
    <n v="7406.88"/>
    <n v="0"/>
    <n v="69130.880000000005"/>
    <m/>
    <m/>
    <m/>
    <m/>
    <m/>
    <m/>
    <m/>
    <m/>
    <m/>
    <m/>
    <m/>
    <m/>
    <m/>
    <m/>
    <m/>
    <m/>
    <m/>
    <m/>
    <m/>
    <m/>
    <m/>
    <m/>
    <n v="0"/>
    <m/>
    <s v="NO APLICA"/>
    <s v="NO APLICA"/>
    <s v="NO APLICA"/>
    <s v="NO APLICA"/>
    <s v="NO APLICA"/>
    <m/>
    <m/>
    <m/>
    <m/>
    <m/>
    <m/>
    <m/>
    <s v="NO APLICA"/>
    <s v="NO APLICA"/>
    <s v="NO APLICA"/>
    <m/>
    <m/>
    <m/>
    <m/>
    <s v="NO APLICA"/>
    <s v="NO APLICA"/>
    <s v="NO APLICA"/>
    <m/>
    <m/>
    <m/>
    <m/>
    <m/>
    <m/>
    <m/>
    <m/>
    <m/>
    <m/>
    <m/>
    <m/>
    <m/>
    <m/>
    <s v="NO APLICA"/>
    <s v="NO APLICA"/>
    <s v="NO APLICA"/>
    <m/>
    <m/>
    <m/>
    <m/>
    <m/>
    <m/>
    <m/>
    <m/>
    <m/>
    <m/>
    <m/>
    <m/>
    <m/>
    <m/>
    <m/>
    <m/>
    <m/>
    <m/>
    <m/>
    <m/>
    <m/>
    <m/>
    <m/>
    <m/>
    <m/>
    <m/>
    <m/>
    <m/>
    <m/>
    <n v="0"/>
    <m/>
    <m/>
    <m/>
    <m/>
    <m/>
    <m/>
    <m/>
    <m/>
    <m/>
    <m/>
    <m/>
    <m/>
    <m/>
    <m/>
    <m/>
    <m/>
    <m/>
    <m/>
    <m/>
    <m/>
    <m/>
    <m/>
    <m/>
    <m/>
    <m/>
    <m/>
    <m/>
    <m/>
    <m/>
    <m/>
    <m/>
    <m/>
    <m/>
    <m/>
    <m/>
    <m/>
    <m/>
    <m/>
    <m/>
    <m/>
    <m/>
    <m/>
    <m/>
    <m/>
    <m/>
    <m/>
    <m/>
    <m/>
    <n v="0"/>
    <n v="0"/>
    <n v="0"/>
    <n v="0"/>
    <n v="0"/>
    <n v="0"/>
    <n v="0"/>
    <n v="0"/>
    <n v="0"/>
    <n v="0"/>
    <n v="0"/>
    <n v="0"/>
    <n v="0"/>
    <n v="0"/>
    <n v="0"/>
    <n v="0"/>
    <n v="0"/>
    <n v="0"/>
    <n v="0"/>
    <x v="2"/>
    <n v="0"/>
    <n v="0"/>
    <n v="0"/>
    <x v="1"/>
    <s v="no"/>
    <s v="no"/>
    <s v="no"/>
    <s v="no"/>
    <s v="no"/>
    <s v="no"/>
    <s v="no"/>
    <x v="1"/>
    <s v="no"/>
    <s v="no"/>
    <s v="no"/>
    <m/>
    <m/>
    <m/>
    <m/>
    <m/>
    <m/>
    <s v="Pendiente términos de referencia"/>
    <m/>
    <m/>
    <m/>
    <s v="REQUERIMIENTO: Oficio Nro.EEQ-GG-2018-1067 ...RESPUESTA: Oficio Nro.MERNNR-SDCEE-2018-0248-OF del 14 de noviembre de 2018"/>
    <m/>
    <m/>
    <m/>
  </r>
  <r>
    <x v="8"/>
    <s v="SERVICIOS DE NO CONSULTORIA"/>
    <x v="2"/>
    <s v="Fortalecimiento Institucional"/>
    <x v="4"/>
    <x v="4"/>
    <x v="0"/>
    <s v="PICHINCHA"/>
    <x v="175"/>
    <n v="23"/>
    <x v="0"/>
    <s v="SIN CODIGO"/>
    <s v="CAPACITACION &quot;VIII CITTES&quot;, PARTICIPACIÓN EN EL“VIII CONGRESO INTERNACIONAL DE TRABAJOS CON TENSION Y SEGURIDAD EN TRANSMISIÓN Y DISTRIBUCIÓN DE ENERGÍA ELÉCTRICA"/>
    <m/>
    <s v="CD"/>
    <s v="ex-post"/>
    <s v="EJECUTADO BID"/>
    <s v="ORDEN DE TRABAJO No.1651"/>
    <s v="COMITÉ ARGENTINO DE LA COMISION DE INTEGRACIÓN ELECTRICA REGIONAL CIER"/>
    <s v="ARGENTINA"/>
    <s v="PERSONA JURIDICA"/>
    <n v="30663530905"/>
    <m/>
    <m/>
    <m/>
    <m/>
    <m/>
    <n v="1650"/>
    <n v="0"/>
    <n v="1650"/>
    <n v="0"/>
    <n v="1650"/>
    <n v="0.12"/>
    <n v="198"/>
    <n v="0"/>
    <n v="1848.0000000000002"/>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x v="0"/>
    <n v="1"/>
    <n v="1"/>
    <n v="1"/>
    <x v="0"/>
    <m/>
    <m/>
    <m/>
    <m/>
    <m/>
    <m/>
    <s v="no"/>
    <x v="1"/>
    <s v="no"/>
    <s v="no"/>
    <s v="no"/>
    <m/>
    <m/>
    <m/>
    <m/>
    <m/>
    <m/>
    <s v="No se ha reportado en matriz de pagos"/>
    <m/>
    <m/>
    <m/>
    <s v="ESTA CONTRATACIÓN ESTA SUSTENTADA EN LA NO OBJECIÓN QUE EMITIO EL BID  A TRAVES DEL ESPECILISTA DE ENERGÍA SR. KENOL THYS, CON FECHA 27 ABRIL DE 2018 VIA CORREO ELECTRÓNICO AL ING. PATRICIO ERAZO"/>
    <m/>
    <m/>
    <m/>
  </r>
  <r>
    <x v="9"/>
    <s v="SERVICIOS DE NO CONSULTORIA"/>
    <x v="2"/>
    <s v="Fortalecimiento Institucional"/>
    <x v="8"/>
    <x v="11"/>
    <x v="0"/>
    <s v="CHIMBORAZO"/>
    <x v="176"/>
    <n v="3"/>
    <x v="0"/>
    <s v="BID2-RSND-EERSA-RI-SNC-001"/>
    <s v="CAPACITACIÓN EN LA CALIDAD DE LA ENERGÍA ELÉCTRICA"/>
    <m/>
    <s v="LPN"/>
    <s v="ex-post"/>
    <s v="EJECUTADO BID"/>
    <s v="BID2-RSND-EERSA-RI-SNC-001"/>
    <s v="COMITÉ NACIONAL ECUATORIANO DELA COMISIÓN DE INTEGRACIÓN ELÉCTRICA REGIONAL ECUACIER"/>
    <s v="ECUATORIANA"/>
    <s v="PERSONA JURÍDICA"/>
    <n v="1791707222001"/>
    <s v="NO APLICA"/>
    <s v="NO APLICA"/>
    <m/>
    <m/>
    <m/>
    <n v="30000"/>
    <n v="0"/>
    <n v="54000"/>
    <n v="0"/>
    <n v="54000"/>
    <n v="0.12"/>
    <n v="6480"/>
    <n v="0"/>
    <n v="60480.000000000007"/>
    <n v="30000"/>
    <n v="0"/>
    <m/>
    <m/>
    <n v="54000"/>
    <m/>
    <n v="30000"/>
    <n v="0.14000000000000001"/>
    <n v="4200"/>
    <n v="34200"/>
    <m/>
    <m/>
    <m/>
    <m/>
    <m/>
    <m/>
    <m/>
    <m/>
    <m/>
    <m/>
    <m/>
    <n v="0"/>
    <n v="0"/>
    <s v="DDL, PÁG. 40"/>
    <s v="NO APLICA"/>
    <s v="NO APLICA"/>
    <s v="NO APLICA"/>
    <s v="NO APLICA"/>
    <s v="NO APLICA"/>
    <d v="2016-12-09T00:00:00"/>
    <d v="2016-12-26T00:00:00"/>
    <d v="2017-01-06T00:00:00"/>
    <d v="2016-01-16T00:00:00"/>
    <s v="NO APLICA"/>
    <d v="2017-01-23T00:00:00"/>
    <d v="2017-01-27T00:00:00"/>
    <s v="NO APLICA"/>
    <s v="NO APLICA"/>
    <s v="NO APLICA"/>
    <d v="2017-01-26T00:00:00"/>
    <s v="NO APLICA"/>
    <d v="2017-01-27T00:00:00"/>
    <d v="2017-03-16T00:00:00"/>
    <s v="NO APLICA"/>
    <s v="NO APLICA"/>
    <s v="NO APLICA"/>
    <m/>
    <m/>
    <m/>
    <m/>
    <m/>
    <m/>
    <m/>
    <m/>
    <m/>
    <m/>
    <m/>
    <m/>
    <m/>
    <m/>
    <s v="NO APLICA"/>
    <s v="NO APLICA"/>
    <s v="NO APLICA"/>
    <m/>
    <m/>
    <m/>
    <m/>
    <m/>
    <m/>
    <m/>
    <m/>
    <m/>
    <m/>
    <m/>
    <m/>
    <m/>
    <m/>
    <m/>
    <m/>
    <m/>
    <m/>
    <m/>
    <m/>
    <m/>
    <m/>
    <m/>
    <m/>
    <m/>
    <m/>
    <m/>
    <m/>
    <m/>
    <n v="0"/>
    <m/>
    <m/>
    <m/>
    <m/>
    <m/>
    <m/>
    <m/>
    <s v="12-JUN-2017 / 19-JUN-2017 / 26-JUN-2017"/>
    <s v="EN LAS FECHAS PREVISTAS  EN LA IAO 1.1"/>
    <s v="12-JUN-2017 / 19-JUN-2017 / 26-JUN-2017"/>
    <s v="16-JUN-2017 /  23-JUN-2017 / 30-JUN-2017"/>
    <m/>
    <m/>
    <m/>
    <m/>
    <m/>
    <m/>
    <m/>
    <m/>
    <m/>
    <m/>
    <m/>
    <m/>
    <m/>
    <m/>
    <m/>
    <m/>
    <m/>
    <m/>
    <m/>
    <m/>
    <m/>
    <m/>
    <m/>
    <m/>
    <m/>
    <m/>
    <m/>
    <m/>
    <m/>
    <m/>
    <m/>
    <m/>
    <m/>
    <m/>
    <m/>
    <m/>
    <m/>
    <m/>
    <m/>
    <n v="0.5"/>
    <n v="0.5"/>
    <n v="0.5"/>
    <n v="0.5"/>
    <n v="1"/>
    <n v="1"/>
    <n v="1"/>
    <n v="1"/>
    <n v="1"/>
    <n v="1"/>
    <n v="1"/>
    <n v="1"/>
    <n v="1"/>
    <n v="1"/>
    <n v="1"/>
    <n v="1"/>
    <n v="1"/>
    <x v="0"/>
    <n v="1"/>
    <n v="1"/>
    <n v="1"/>
    <x v="0"/>
    <s v="si"/>
    <s v="si"/>
    <s v="si"/>
    <s v="si"/>
    <s v="si"/>
    <s v="si"/>
    <s v="si"/>
    <x v="0"/>
    <s v="si"/>
    <s v="si"/>
    <s v="si"/>
    <m/>
    <m/>
    <m/>
    <m/>
    <m/>
    <m/>
    <m/>
    <m/>
    <m/>
    <m/>
    <s v="EL VALOR PUBLICADO EN EL DDL ES INFERIOR AL QUE ESTA PREVISTO EN EL PLAN DE ADQUISICION, POR CUANTO EL ESTUDIO DE MERCADO DETERMINO UN PRESUPUESTO INFERIOR, "/>
    <m/>
    <m/>
    <d v="2016-07-13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5" applyNumberFormats="0" applyBorderFormats="0" applyFontFormats="0" applyPatternFormats="0" applyAlignmentFormats="0" applyWidthHeightFormats="1" dataCaption="Valores" updatedVersion="4" minRefreshableVersion="3" itemPrintTitles="1" createdVersion="4" indent="0" outline="1" outlineData="1" multipleFieldFilters="0">
  <location ref="A5:D29" firstHeaderRow="1" firstDataRow="2" firstDataCol="1"/>
  <pivotFields count="226">
    <pivotField axis="axisRow" outline="0" showAll="0" defaultSubtotal="0">
      <items count="22">
        <item x="11"/>
        <item x="20"/>
        <item x="0"/>
        <item x="12"/>
        <item x="14"/>
        <item x="13"/>
        <item x="15"/>
        <item x="16"/>
        <item x="17"/>
        <item x="1"/>
        <item x="18"/>
        <item x="2"/>
        <item x="19"/>
        <item x="3"/>
        <item x="5"/>
        <item x="6"/>
        <item x="8"/>
        <item x="9"/>
        <item x="10"/>
        <item x="4"/>
        <item x="7"/>
        <item x="21"/>
      </items>
      <extLst>
        <ext xmlns:x14="http://schemas.microsoft.com/office/spreadsheetml/2009/9/main" uri="{2946ED86-A175-432a-8AC1-64E0C546D7DE}">
          <x14:pivotField fillDownLabels="1"/>
        </ext>
      </extLst>
    </pivotField>
    <pivotField showAll="0"/>
    <pivotField multipleItemSelectionAllowed="1" showAll="0"/>
    <pivotField showAll="0"/>
    <pivotField showAll="0"/>
    <pivotField showAll="0"/>
    <pivotField axis="axisCol" showAll="0">
      <items count="4">
        <item x="1"/>
        <item x="0"/>
        <item m="1" x="2"/>
        <item t="default"/>
      </items>
    </pivotField>
    <pivotField showAll="0"/>
    <pivotField multipleItemSelectionAllowed="1"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AVANCE Ene2019" outline="0" showAll="0" defaultSubtotal="0">
      <extLst>
        <ext xmlns:x14="http://schemas.microsoft.com/office/spreadsheetml/2009/9/main" uri="{2946ED86-A175-432a-8AC1-64E0C546D7DE}">
          <x14:pivotField fillDownLabels="1"/>
        </ext>
      </extLst>
    </pivotField>
    <pivotField outline="0" showAll="0" defaultSubtotal="0">
      <extLst>
        <ext xmlns:x14="http://schemas.microsoft.com/office/spreadsheetml/2009/9/main" uri="{2946ED86-A175-432a-8AC1-64E0C546D7DE}">
          <x14:pivotField fillDownLabels="1"/>
        </ext>
      </extLst>
    </pivotField>
    <pivotField outline="0" showAll="0" defaultSubtotal="0">
      <extLst>
        <ext xmlns:x14="http://schemas.microsoft.com/office/spreadsheetml/2009/9/main" uri="{2946ED86-A175-432a-8AC1-64E0C546D7DE}">
          <x14:pivotField fillDownLabels="1"/>
        </ext>
      </extLst>
    </pivotField>
    <pivotField outline="0" showAll="0" defaultSubtotal="0">
      <extLst>
        <ext xmlns:x14="http://schemas.microsoft.com/office/spreadsheetml/2009/9/main" uri="{2946ED86-A175-432a-8AC1-64E0C546D7DE}">
          <x14:pivotField fillDownLabels="1"/>
        </ext>
      </extLst>
    </pivotField>
    <pivotField outline="0" showAll="0" defaultSubtotal="0">
      <extLst>
        <ext xmlns:x14="http://schemas.microsoft.com/office/spreadsheetml/2009/9/main" uri="{2946ED86-A175-432a-8AC1-64E0C546D7DE}">
          <x14:pivotField fillDownLabels="1"/>
        </ext>
      </extLst>
    </pivotField>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6"/>
  </colFields>
  <colItems count="3">
    <i>
      <x/>
    </i>
    <i>
      <x v="1"/>
    </i>
    <i t="grand">
      <x/>
    </i>
  </colItems>
  <dataFields count="1">
    <dataField name="PLAN DE INV. USD" fld="27" baseField="0" baseItem="0"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1" cacheId="5" applyNumberFormats="0" applyBorderFormats="0" applyFontFormats="0" applyPatternFormats="0" applyAlignmentFormats="0" applyWidthHeightFormats="1" dataCaption="Valores" updatedVersion="4" minRefreshableVersion="3" itemPrintTitles="1" createdVersion="4" indent="0" outline="1" outlineData="1" multipleFieldFilters="0">
  <location ref="A7:J30" firstHeaderRow="1" firstDataRow="3" firstDataCol="1" rowPageCount="5" colPageCount="1"/>
  <pivotFields count="226">
    <pivotField axis="axisRow" showAll="0">
      <items count="23">
        <item x="11"/>
        <item x="20"/>
        <item x="0"/>
        <item x="12"/>
        <item x="14"/>
        <item x="13"/>
        <item x="15"/>
        <item x="16"/>
        <item x="17"/>
        <item x="1"/>
        <item x="18"/>
        <item x="2"/>
        <item x="19"/>
        <item x="3"/>
        <item x="5"/>
        <item x="6"/>
        <item x="8"/>
        <item x="9"/>
        <item x="10"/>
        <item x="4"/>
        <item x="7"/>
        <item h="1" x="21"/>
        <item t="default"/>
      </items>
    </pivotField>
    <pivotField showAll="0"/>
    <pivotField axis="axisCol" showAll="0">
      <items count="5">
        <item x="0"/>
        <item x="1"/>
        <item x="2"/>
        <item x="3"/>
        <item t="default"/>
      </items>
    </pivotField>
    <pivotField showAll="0"/>
    <pivotField axis="axisCol" showAll="0">
      <items count="11">
        <item m="1" x="9"/>
        <item x="7"/>
        <item x="0"/>
        <item x="8"/>
        <item x="4"/>
        <item x="5"/>
        <item x="6"/>
        <item x="2"/>
        <item x="1"/>
        <item x="3"/>
        <item t="default"/>
      </items>
    </pivotField>
    <pivotField axis="axisPage" multipleItemSelectionAllowed="1" showAll="0">
      <items count="14">
        <item x="8"/>
        <item m="1" x="12"/>
        <item x="0"/>
        <item h="1" x="11"/>
        <item x="7"/>
        <item h="1" x="4"/>
        <item x="5"/>
        <item x="6"/>
        <item x="2"/>
        <item x="1"/>
        <item x="10"/>
        <item x="3"/>
        <item x="9"/>
        <item t="default"/>
      </items>
    </pivotField>
    <pivotField axis="axisPage" multipleItemSelectionAllowed="1" showAll="0">
      <items count="4">
        <item x="1"/>
        <item x="0"/>
        <item m="1" x="2"/>
        <item t="default"/>
      </items>
    </pivotField>
    <pivotField showAll="0"/>
    <pivotField axis="axisPage" multipleItemSelectionAllowed="1" showAll="0">
      <items count="189">
        <item x="59"/>
        <item x="152"/>
        <item x="1"/>
        <item x="8"/>
        <item x="153"/>
        <item x="105"/>
        <item x="100"/>
        <item x="41"/>
        <item x="42"/>
        <item x="108"/>
        <item x="107"/>
        <item x="25"/>
        <item x="101"/>
        <item x="99"/>
        <item x="90"/>
        <item x="104"/>
        <item x="37"/>
        <item x="95"/>
        <item x="132"/>
        <item x="133"/>
        <item x="66"/>
        <item x="18"/>
        <item x="93"/>
        <item x="117"/>
        <item x="23"/>
        <item x="138"/>
        <item x="139"/>
        <item x="136"/>
        <item x="70"/>
        <item x="69"/>
        <item x="144"/>
        <item x="22"/>
        <item m="1" x="179"/>
        <item x="0"/>
        <item x="49"/>
        <item x="15"/>
        <item x="61"/>
        <item x="62"/>
        <item x="60"/>
        <item x="21"/>
        <item x="63"/>
        <item x="24"/>
        <item x="75"/>
        <item x="76"/>
        <item x="163"/>
        <item x="3"/>
        <item x="9"/>
        <item x="16"/>
        <item x="5"/>
        <item x="67"/>
        <item x="12"/>
        <item m="1" x="184"/>
        <item m="1" x="178"/>
        <item x="7"/>
        <item x="2"/>
        <item x="126"/>
        <item x="125"/>
        <item x="118"/>
        <item m="1" x="183"/>
        <item x="123"/>
        <item x="122"/>
        <item x="85"/>
        <item x="96"/>
        <item x="119"/>
        <item x="175"/>
        <item x="156"/>
        <item x="157"/>
        <item x="164"/>
        <item x="176"/>
        <item m="1" x="185"/>
        <item m="1" x="177"/>
        <item x="92"/>
        <item m="1" x="180"/>
        <item h="1" x="14"/>
        <item x="26"/>
        <item x="27"/>
        <item x="40"/>
        <item x="38"/>
        <item x="39"/>
        <item x="131"/>
        <item x="43"/>
        <item x="64"/>
        <item x="65"/>
        <item x="17"/>
        <item x="35"/>
        <item x="33"/>
        <item x="31"/>
        <item x="20"/>
        <item x="56"/>
        <item x="86"/>
        <item x="135"/>
        <item x="36"/>
        <item x="32"/>
        <item x="34"/>
        <item x="106"/>
        <item x="103"/>
        <item x="102"/>
        <item x="98"/>
        <item x="79"/>
        <item x="88"/>
        <item x="87"/>
        <item x="89"/>
        <item x="6"/>
        <item x="28"/>
        <item m="1" x="186"/>
        <item x="44"/>
        <item x="19"/>
        <item x="150"/>
        <item x="51"/>
        <item x="57"/>
        <item x="91"/>
        <item x="11"/>
        <item x="54"/>
        <item x="120"/>
        <item x="127"/>
        <item x="121"/>
        <item x="29"/>
        <item x="151"/>
        <item x="71"/>
        <item x="94"/>
        <item x="137"/>
        <item x="140"/>
        <item x="141"/>
        <item x="143"/>
        <item x="142"/>
        <item x="84"/>
        <item x="82"/>
        <item x="81"/>
        <item x="10"/>
        <item x="165"/>
        <item x="58"/>
        <item x="116"/>
        <item x="145"/>
        <item x="72"/>
        <item x="74"/>
        <item x="78"/>
        <item x="77"/>
        <item x="55"/>
        <item x="52"/>
        <item x="83"/>
        <item x="130"/>
        <item x="154"/>
        <item x="146"/>
        <item x="149"/>
        <item x="148"/>
        <item x="147"/>
        <item x="134"/>
        <item x="155"/>
        <item x="30"/>
        <item x="68"/>
        <item x="73"/>
        <item x="128"/>
        <item x="80"/>
        <item m="1" x="182"/>
        <item x="129"/>
        <item x="48"/>
        <item x="46"/>
        <item x="47"/>
        <item m="1" x="181"/>
        <item m="1" x="187"/>
        <item x="45"/>
        <item x="159"/>
        <item x="160"/>
        <item x="161"/>
        <item x="173"/>
        <item x="167"/>
        <item x="168"/>
        <item x="166"/>
        <item x="171"/>
        <item x="169"/>
        <item x="174"/>
        <item x="162"/>
        <item x="158"/>
        <item x="170"/>
        <item x="172"/>
        <item x="50"/>
        <item x="53"/>
        <item h="1" x="13"/>
        <item x="4"/>
        <item h="1" x="97"/>
        <item h="1" x="109"/>
        <item h="1" x="110"/>
        <item h="1" x="111"/>
        <item h="1" x="112"/>
        <item h="1" x="113"/>
        <item h="1" x="114"/>
        <item h="1" x="115"/>
        <item h="1" x="124"/>
        <item t="default"/>
      </items>
    </pivotField>
    <pivotField showAll="0"/>
    <pivotField axis="axisPage" multipleItemSelectionAllowed="1" showAll="0">
      <items count="10">
        <item h="1" x="1"/>
        <item h="1" m="1" x="6"/>
        <item h="1" m="1" x="7"/>
        <item h="1" x="4"/>
        <item h="1" m="1" x="8"/>
        <item h="1" m="1" x="5"/>
        <item h="1" x="3"/>
        <item h="1"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11">
        <item x="2"/>
        <item m="1" x="9"/>
        <item x="6"/>
        <item x="7"/>
        <item x="4"/>
        <item x="5"/>
        <item x="8"/>
        <item x="0"/>
        <item x="1"/>
        <item x="3"/>
        <item t="default"/>
      </items>
    </pivotField>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s>
  <rowFields count="1">
    <field x="0"/>
  </rowFields>
  <rowItems count="21">
    <i>
      <x/>
    </i>
    <i>
      <x v="2"/>
    </i>
    <i>
      <x v="3"/>
    </i>
    <i>
      <x v="4"/>
    </i>
    <i>
      <x v="5"/>
    </i>
    <i>
      <x v="6"/>
    </i>
    <i>
      <x v="7"/>
    </i>
    <i>
      <x v="8"/>
    </i>
    <i>
      <x v="9"/>
    </i>
    <i>
      <x v="10"/>
    </i>
    <i>
      <x v="11"/>
    </i>
    <i>
      <x v="12"/>
    </i>
    <i>
      <x v="13"/>
    </i>
    <i>
      <x v="14"/>
    </i>
    <i>
      <x v="15"/>
    </i>
    <i>
      <x v="16"/>
    </i>
    <i>
      <x v="17"/>
    </i>
    <i>
      <x v="18"/>
    </i>
    <i>
      <x v="19"/>
    </i>
    <i>
      <x v="20"/>
    </i>
    <i t="grand">
      <x/>
    </i>
  </rowItems>
  <colFields count="2">
    <field x="2"/>
    <field x="4"/>
  </colFields>
  <colItems count="9">
    <i>
      <x/>
      <x v="2"/>
    </i>
    <i r="1">
      <x v="9"/>
    </i>
    <i t="default">
      <x/>
    </i>
    <i>
      <x v="1"/>
      <x v="5"/>
    </i>
    <i r="1">
      <x v="6"/>
    </i>
    <i r="1">
      <x v="7"/>
    </i>
    <i r="1">
      <x v="8"/>
    </i>
    <i t="default">
      <x v="1"/>
    </i>
    <i t="grand">
      <x/>
    </i>
  </colItems>
  <pageFields count="5">
    <pageField fld="196" hier="-1"/>
    <pageField fld="6" hier="-1"/>
    <pageField fld="5" hier="-1"/>
    <pageField fld="10" hier="-1"/>
    <pageField fld="8" hier="-1"/>
  </pageFields>
  <dataFields count="1">
    <dataField name="PLAN DE INV. USD" fld="27" baseField="0" baseItem="0"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1" cacheId="5" applyNumberFormats="0" applyBorderFormats="0" applyFontFormats="0" applyPatternFormats="0" applyAlignmentFormats="0" applyWidthHeightFormats="1" dataCaption="Valores" updatedVersion="4" minRefreshableVersion="3" itemPrintTitles="1" createdVersion="4" indent="0" outline="1" outlineData="1" multipleFieldFilters="0">
  <location ref="A4:R217" firstHeaderRow="1" firstDataRow="4" firstDataCol="2" rowPageCount="2" colPageCount="1"/>
  <pivotFields count="226">
    <pivotField axis="axisRow" outline="0" showAll="0" defaultSubtotal="0">
      <items count="22">
        <item x="11"/>
        <item x="20"/>
        <item x="0"/>
        <item x="12"/>
        <item x="14"/>
        <item x="13"/>
        <item x="15"/>
        <item x="16"/>
        <item x="17"/>
        <item x="1"/>
        <item x="18"/>
        <item x="2"/>
        <item x="19"/>
        <item x="3"/>
        <item x="5"/>
        <item x="6"/>
        <item x="8"/>
        <item x="9"/>
        <item x="10"/>
        <item x="4"/>
        <item x="7"/>
        <item x="21"/>
      </items>
      <extLst>
        <ext xmlns:x14="http://schemas.microsoft.com/office/spreadsheetml/2009/9/main" uri="{2946ED86-A175-432a-8AC1-64E0C546D7DE}">
          <x14:pivotField fillDownLabels="1"/>
        </ext>
      </extLst>
    </pivotField>
    <pivotField showAll="0"/>
    <pivotField axis="axisCol" showAll="0">
      <items count="5">
        <item x="0"/>
        <item x="1"/>
        <item x="2"/>
        <item x="3"/>
        <item t="default"/>
      </items>
    </pivotField>
    <pivotField showAll="0"/>
    <pivotField showAll="0"/>
    <pivotField showAll="0"/>
    <pivotField axis="axisCol" showAll="0">
      <items count="4">
        <item x="1"/>
        <item x="0"/>
        <item m="1" x="2"/>
        <item t="default"/>
      </items>
    </pivotField>
    <pivotField showAll="0"/>
    <pivotField axis="axisRow" outline="0" showAll="0" defaultSubtotal="0">
      <items count="188">
        <item x="59"/>
        <item x="152"/>
        <item x="1"/>
        <item x="8"/>
        <item x="153"/>
        <item x="105"/>
        <item x="100"/>
        <item x="41"/>
        <item x="42"/>
        <item x="108"/>
        <item x="107"/>
        <item x="25"/>
        <item x="101"/>
        <item x="99"/>
        <item x="90"/>
        <item x="104"/>
        <item x="37"/>
        <item x="95"/>
        <item x="132"/>
        <item x="133"/>
        <item x="66"/>
        <item x="18"/>
        <item x="93"/>
        <item x="117"/>
        <item x="23"/>
        <item x="138"/>
        <item x="139"/>
        <item x="136"/>
        <item x="70"/>
        <item x="69"/>
        <item x="144"/>
        <item x="22"/>
        <item m="1" x="179"/>
        <item x="0"/>
        <item x="49"/>
        <item x="15"/>
        <item x="61"/>
        <item x="62"/>
        <item x="60"/>
        <item x="21"/>
        <item x="63"/>
        <item x="24"/>
        <item x="75"/>
        <item x="76"/>
        <item x="163"/>
        <item x="3"/>
        <item x="9"/>
        <item x="16"/>
        <item x="5"/>
        <item x="67"/>
        <item x="12"/>
        <item m="1" x="184"/>
        <item m="1" x="178"/>
        <item x="7"/>
        <item x="2"/>
        <item x="126"/>
        <item x="125"/>
        <item x="118"/>
        <item m="1" x="183"/>
        <item x="123"/>
        <item x="122"/>
        <item x="85"/>
        <item x="96"/>
        <item x="119"/>
        <item x="175"/>
        <item x="156"/>
        <item x="157"/>
        <item x="164"/>
        <item x="176"/>
        <item m="1" x="185"/>
        <item m="1" x="177"/>
        <item x="92"/>
        <item m="1" x="180"/>
        <item x="14"/>
        <item x="26"/>
        <item x="27"/>
        <item x="40"/>
        <item x="38"/>
        <item x="39"/>
        <item x="131"/>
        <item x="43"/>
        <item x="64"/>
        <item x="65"/>
        <item x="17"/>
        <item x="35"/>
        <item x="33"/>
        <item x="31"/>
        <item x="20"/>
        <item x="56"/>
        <item x="86"/>
        <item x="135"/>
        <item x="36"/>
        <item x="32"/>
        <item x="34"/>
        <item x="106"/>
        <item x="103"/>
        <item x="102"/>
        <item x="98"/>
        <item x="79"/>
        <item x="88"/>
        <item x="87"/>
        <item x="89"/>
        <item x="6"/>
        <item x="28"/>
        <item m="1" x="186"/>
        <item x="44"/>
        <item x="19"/>
        <item x="150"/>
        <item x="51"/>
        <item x="57"/>
        <item x="91"/>
        <item x="11"/>
        <item x="54"/>
        <item x="120"/>
        <item x="127"/>
        <item x="121"/>
        <item x="29"/>
        <item x="151"/>
        <item x="71"/>
        <item x="94"/>
        <item x="137"/>
        <item x="140"/>
        <item x="141"/>
        <item x="143"/>
        <item x="142"/>
        <item x="84"/>
        <item x="82"/>
        <item x="81"/>
        <item x="10"/>
        <item x="165"/>
        <item x="58"/>
        <item x="116"/>
        <item x="145"/>
        <item x="72"/>
        <item x="74"/>
        <item x="78"/>
        <item x="77"/>
        <item x="55"/>
        <item x="52"/>
        <item x="83"/>
        <item x="130"/>
        <item x="154"/>
        <item x="146"/>
        <item x="149"/>
        <item x="148"/>
        <item x="147"/>
        <item x="134"/>
        <item x="155"/>
        <item x="30"/>
        <item x="68"/>
        <item x="73"/>
        <item x="128"/>
        <item x="80"/>
        <item m="1" x="182"/>
        <item x="129"/>
        <item x="48"/>
        <item x="46"/>
        <item x="47"/>
        <item m="1" x="181"/>
        <item m="1" x="187"/>
        <item x="45"/>
        <item x="159"/>
        <item x="160"/>
        <item x="161"/>
        <item x="173"/>
        <item x="167"/>
        <item x="168"/>
        <item x="166"/>
        <item x="171"/>
        <item x="169"/>
        <item x="174"/>
        <item x="162"/>
        <item x="158"/>
        <item x="170"/>
        <item x="172"/>
        <item x="50"/>
        <item x="53"/>
        <item x="13"/>
        <item x="4"/>
        <item x="97"/>
        <item x="109"/>
        <item x="110"/>
        <item x="111"/>
        <item x="112"/>
        <item x="113"/>
        <item x="114"/>
        <item x="115"/>
        <item x="124"/>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dataField="1"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1">
        <item x="2"/>
        <item m="1" x="9"/>
        <item x="6"/>
        <item x="7"/>
        <item x="4"/>
        <item x="5"/>
        <item x="8"/>
        <item x="0"/>
        <item x="1"/>
        <item x="3"/>
        <item t="default"/>
      </items>
    </pivotField>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multipleItemSelectionAllowed="1" showAll="0"/>
    <pivotField axis="axisPage" multipleItemSelectionAllowed="1" showAll="0" defaultSubtotal="0">
      <items count="5">
        <item x="1"/>
        <item m="1" x="4"/>
        <item x="0"/>
        <item x="2"/>
        <item x="3"/>
      </items>
    </pivotField>
    <pivotField showAll="0" defaultSubtotal="0"/>
    <pivotField showAll="0" defaultSubtotal="0"/>
    <pivotField showAll="0" defaultSubtota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s>
  <rowFields count="2">
    <field x="0"/>
    <field x="8"/>
  </rowFields>
  <rowItems count="210">
    <i>
      <x/>
      <x v="21"/>
    </i>
    <i r="1">
      <x v="41"/>
    </i>
    <i r="1">
      <x v="83"/>
    </i>
    <i r="1">
      <x v="128"/>
    </i>
    <i>
      <x v="1"/>
      <x v="178"/>
    </i>
    <i>
      <x v="2"/>
      <x v="24"/>
    </i>
    <i r="1">
      <x v="31"/>
    </i>
    <i r="1">
      <x v="33"/>
    </i>
    <i r="1">
      <x v="39"/>
    </i>
    <i r="1">
      <x v="87"/>
    </i>
    <i r="1">
      <x v="106"/>
    </i>
    <i r="1">
      <x v="128"/>
    </i>
    <i>
      <x v="3"/>
      <x v="11"/>
    </i>
    <i r="1">
      <x v="74"/>
    </i>
    <i r="1">
      <x v="75"/>
    </i>
    <i r="1">
      <x v="103"/>
    </i>
    <i r="1">
      <x v="116"/>
    </i>
    <i r="1">
      <x v="128"/>
    </i>
    <i r="1">
      <x v="148"/>
    </i>
    <i>
      <x v="4"/>
      <x v="80"/>
    </i>
    <i r="1">
      <x v="128"/>
    </i>
    <i>
      <x v="5"/>
      <x v="7"/>
    </i>
    <i r="1">
      <x v="8"/>
    </i>
    <i r="1">
      <x v="16"/>
    </i>
    <i r="1">
      <x v="76"/>
    </i>
    <i r="1">
      <x v="77"/>
    </i>
    <i r="1">
      <x v="78"/>
    </i>
    <i r="1">
      <x v="84"/>
    </i>
    <i r="1">
      <x v="85"/>
    </i>
    <i r="1">
      <x v="86"/>
    </i>
    <i r="1">
      <x v="91"/>
    </i>
    <i r="1">
      <x v="92"/>
    </i>
    <i r="1">
      <x v="93"/>
    </i>
    <i r="1">
      <x v="128"/>
    </i>
    <i>
      <x v="6"/>
      <x v="34"/>
    </i>
    <i r="1">
      <x v="105"/>
    </i>
    <i r="1">
      <x v="108"/>
    </i>
    <i r="1">
      <x v="112"/>
    </i>
    <i r="1">
      <x v="128"/>
    </i>
    <i r="1">
      <x v="138"/>
    </i>
    <i r="1">
      <x v="155"/>
    </i>
    <i r="1">
      <x v="156"/>
    </i>
    <i r="1">
      <x v="157"/>
    </i>
    <i r="1">
      <x v="160"/>
    </i>
    <i r="1">
      <x v="175"/>
    </i>
    <i r="1">
      <x v="176"/>
    </i>
    <i>
      <x v="7"/>
      <x/>
    </i>
    <i r="1">
      <x v="36"/>
    </i>
    <i r="1">
      <x v="37"/>
    </i>
    <i r="1">
      <x v="38"/>
    </i>
    <i r="1">
      <x v="40"/>
    </i>
    <i r="1">
      <x v="88"/>
    </i>
    <i r="1">
      <x v="109"/>
    </i>
    <i r="1">
      <x v="128"/>
    </i>
    <i r="1">
      <x v="130"/>
    </i>
    <i r="1">
      <x v="137"/>
    </i>
    <i>
      <x v="8"/>
      <x v="20"/>
    </i>
    <i r="1">
      <x v="49"/>
    </i>
    <i r="1">
      <x v="81"/>
    </i>
    <i r="1">
      <x v="82"/>
    </i>
    <i r="1">
      <x v="128"/>
    </i>
    <i>
      <x v="9"/>
      <x v="2"/>
    </i>
    <i r="1">
      <x v="54"/>
    </i>
    <i r="1">
      <x v="56"/>
    </i>
    <i r="1">
      <x v="98"/>
    </i>
    <i r="1">
      <x v="128"/>
    </i>
    <i r="1">
      <x v="135"/>
    </i>
    <i r="1">
      <x v="136"/>
    </i>
    <i>
      <x v="10"/>
      <x v="28"/>
    </i>
    <i r="1">
      <x v="29"/>
    </i>
    <i r="1">
      <x v="42"/>
    </i>
    <i r="1">
      <x v="43"/>
    </i>
    <i r="1">
      <x v="118"/>
    </i>
    <i r="1">
      <x v="128"/>
    </i>
    <i r="1">
      <x v="133"/>
    </i>
    <i r="1">
      <x v="134"/>
    </i>
    <i r="1">
      <x v="149"/>
    </i>
    <i r="1">
      <x v="150"/>
    </i>
    <i>
      <x v="11"/>
      <x v="45"/>
    </i>
    <i r="1">
      <x v="48"/>
    </i>
    <i r="1">
      <x v="61"/>
    </i>
    <i r="1">
      <x v="89"/>
    </i>
    <i r="1">
      <x v="99"/>
    </i>
    <i r="1">
      <x v="100"/>
    </i>
    <i r="1">
      <x v="101"/>
    </i>
    <i r="1">
      <x v="125"/>
    </i>
    <i r="1">
      <x v="126"/>
    </i>
    <i r="1">
      <x v="127"/>
    </i>
    <i r="1">
      <x v="128"/>
    </i>
    <i r="1">
      <x v="139"/>
    </i>
    <i r="1">
      <x v="152"/>
    </i>
    <i r="1">
      <x v="178"/>
    </i>
    <i>
      <x v="12"/>
      <x v="14"/>
    </i>
    <i r="1">
      <x v="35"/>
    </i>
    <i r="1">
      <x v="110"/>
    </i>
    <i r="1">
      <x v="128"/>
    </i>
    <i>
      <x v="13"/>
      <x v="22"/>
    </i>
    <i r="1">
      <x v="35"/>
    </i>
    <i r="1">
      <x v="71"/>
    </i>
    <i r="1">
      <x v="102"/>
    </i>
    <i r="1">
      <x v="128"/>
    </i>
    <i r="1">
      <x v="178"/>
    </i>
    <i>
      <x v="14"/>
      <x v="35"/>
    </i>
    <i r="1">
      <x v="44"/>
    </i>
    <i r="1">
      <x v="50"/>
    </i>
    <i r="1">
      <x v="59"/>
    </i>
    <i r="1">
      <x v="60"/>
    </i>
    <i r="1">
      <x v="65"/>
    </i>
    <i r="1">
      <x v="66"/>
    </i>
    <i r="1">
      <x v="79"/>
    </i>
    <i r="1">
      <x v="111"/>
    </i>
    <i r="1">
      <x v="128"/>
    </i>
    <i r="1">
      <x v="140"/>
    </i>
    <i r="1">
      <x v="151"/>
    </i>
    <i r="1">
      <x v="154"/>
    </i>
    <i r="1">
      <x v="161"/>
    </i>
    <i r="1">
      <x v="162"/>
    </i>
    <i r="1">
      <x v="163"/>
    </i>
    <i r="1">
      <x v="171"/>
    </i>
    <i r="1">
      <x v="172"/>
    </i>
    <i r="1">
      <x v="177"/>
    </i>
    <i r="1">
      <x v="178"/>
    </i>
    <i r="1">
      <x v="187"/>
    </i>
    <i>
      <x v="15"/>
      <x v="18"/>
    </i>
    <i r="1">
      <x v="19"/>
    </i>
    <i r="1">
      <x v="35"/>
    </i>
    <i r="1">
      <x v="90"/>
    </i>
    <i r="1">
      <x v="128"/>
    </i>
    <i r="1">
      <x v="146"/>
    </i>
    <i>
      <x v="16"/>
      <x v="25"/>
    </i>
    <i r="1">
      <x v="26"/>
    </i>
    <i r="1">
      <x v="27"/>
    </i>
    <i r="1">
      <x v="35"/>
    </i>
    <i r="1">
      <x v="64"/>
    </i>
    <i r="1">
      <x v="67"/>
    </i>
    <i r="1">
      <x v="73"/>
    </i>
    <i r="1">
      <x v="120"/>
    </i>
    <i r="1">
      <x v="121"/>
    </i>
    <i r="1">
      <x v="122"/>
    </i>
    <i r="1">
      <x v="123"/>
    </i>
    <i r="1">
      <x v="124"/>
    </i>
    <i r="1">
      <x v="128"/>
    </i>
    <i r="1">
      <x v="129"/>
    </i>
    <i r="1">
      <x v="164"/>
    </i>
    <i r="1">
      <x v="165"/>
    </i>
    <i r="1">
      <x v="166"/>
    </i>
    <i r="1">
      <x v="167"/>
    </i>
    <i r="1">
      <x v="168"/>
    </i>
    <i r="1">
      <x v="169"/>
    </i>
    <i r="1">
      <x v="170"/>
    </i>
    <i r="1">
      <x v="173"/>
    </i>
    <i r="1">
      <x v="174"/>
    </i>
    <i r="1">
      <x v="178"/>
    </i>
    <i>
      <x v="17"/>
      <x v="30"/>
    </i>
    <i r="1">
      <x v="35"/>
    </i>
    <i r="1">
      <x v="47"/>
    </i>
    <i r="1">
      <x v="68"/>
    </i>
    <i r="1">
      <x v="128"/>
    </i>
    <i r="1">
      <x v="132"/>
    </i>
    <i r="1">
      <x v="142"/>
    </i>
    <i r="1">
      <x v="143"/>
    </i>
    <i r="1">
      <x v="144"/>
    </i>
    <i r="1">
      <x v="145"/>
    </i>
    <i>
      <x v="18"/>
      <x v="1"/>
    </i>
    <i r="1">
      <x v="4"/>
    </i>
    <i r="1">
      <x v="35"/>
    </i>
    <i r="1">
      <x v="107"/>
    </i>
    <i r="1">
      <x v="117"/>
    </i>
    <i r="1">
      <x v="128"/>
    </i>
    <i r="1">
      <x v="141"/>
    </i>
    <i r="1">
      <x v="147"/>
    </i>
    <i>
      <x v="19"/>
      <x v="3"/>
    </i>
    <i r="1">
      <x v="5"/>
    </i>
    <i r="1">
      <x v="6"/>
    </i>
    <i r="1">
      <x v="9"/>
    </i>
    <i r="1">
      <x v="10"/>
    </i>
    <i r="1">
      <x v="12"/>
    </i>
    <i r="1">
      <x v="13"/>
    </i>
    <i r="1">
      <x v="15"/>
    </i>
    <i r="1">
      <x v="17"/>
    </i>
    <i r="1">
      <x v="35"/>
    </i>
    <i r="1">
      <x v="46"/>
    </i>
    <i r="1">
      <x v="53"/>
    </i>
    <i r="1">
      <x v="55"/>
    </i>
    <i r="1">
      <x v="62"/>
    </i>
    <i r="1">
      <x v="94"/>
    </i>
    <i r="1">
      <x v="95"/>
    </i>
    <i r="1">
      <x v="96"/>
    </i>
    <i r="1">
      <x v="97"/>
    </i>
    <i r="1">
      <x v="114"/>
    </i>
    <i r="1">
      <x v="119"/>
    </i>
    <i r="1">
      <x v="128"/>
    </i>
    <i r="1">
      <x v="131"/>
    </i>
    <i r="1">
      <x v="179"/>
    </i>
    <i r="1">
      <x v="180"/>
    </i>
    <i r="1">
      <x v="181"/>
    </i>
    <i r="1">
      <x v="182"/>
    </i>
    <i r="1">
      <x v="183"/>
    </i>
    <i r="1">
      <x v="184"/>
    </i>
    <i r="1">
      <x v="185"/>
    </i>
    <i r="1">
      <x v="186"/>
    </i>
    <i>
      <x v="20"/>
      <x v="23"/>
    </i>
    <i r="1">
      <x v="35"/>
    </i>
    <i r="1">
      <x v="57"/>
    </i>
    <i r="1">
      <x v="63"/>
    </i>
    <i r="1">
      <x v="113"/>
    </i>
    <i r="1">
      <x v="115"/>
    </i>
    <i r="1">
      <x v="128"/>
    </i>
    <i>
      <x v="21"/>
      <x v="178"/>
    </i>
    <i t="grand">
      <x/>
    </i>
  </rowItems>
  <colFields count="3">
    <field x="6"/>
    <field x="2"/>
    <field x="-2"/>
  </colFields>
  <colItems count="16">
    <i>
      <x/>
      <x/>
      <x/>
    </i>
    <i r="2" i="1">
      <x v="1"/>
    </i>
    <i t="default">
      <x/>
    </i>
    <i t="default" i="1">
      <x/>
    </i>
    <i>
      <x v="1"/>
      <x/>
      <x/>
    </i>
    <i r="2" i="1">
      <x v="1"/>
    </i>
    <i r="1">
      <x v="1"/>
      <x/>
    </i>
    <i r="2" i="1">
      <x v="1"/>
    </i>
    <i r="1">
      <x v="2"/>
      <x/>
    </i>
    <i r="2" i="1">
      <x v="1"/>
    </i>
    <i r="1">
      <x v="3"/>
      <x/>
    </i>
    <i r="2" i="1">
      <x v="1"/>
    </i>
    <i t="default">
      <x v="1"/>
    </i>
    <i t="default" i="1">
      <x v="1"/>
    </i>
    <i t="grand">
      <x/>
    </i>
    <i t="grand" i="1">
      <x/>
    </i>
  </colItems>
  <pageFields count="2">
    <pageField fld="196" hier="-1"/>
    <pageField fld="208" hier="-1"/>
  </pageFields>
  <dataFields count="2">
    <dataField name="Suma de Saldo" fld="37" baseField="9" baseItem="41"/>
    <dataField name="Suma de MONTO SIN IVA (USD) FINANCIAMIENTO RECURSOS PROPIOS " fld="30" baseField="9" baseItem="32"/>
  </dataFields>
  <formats count="35">
    <format dxfId="36">
      <pivotArea field="196" type="button" dataOnly="0" labelOnly="1" outline="0" axis="axisPage" fieldPosition="0"/>
    </format>
    <format dxfId="35">
      <pivotArea field="208" type="button" dataOnly="0" labelOnly="1" outline="0" axis="axisPage" fieldPosition="1"/>
    </format>
    <format dxfId="34">
      <pivotArea type="origin" dataOnly="0" labelOnly="1" outline="0" fieldPosition="0"/>
    </format>
    <format dxfId="33">
      <pivotArea field="0" type="button" dataOnly="0" labelOnly="1" outline="0" axis="axisRow" fieldPosition="0"/>
    </format>
    <format dxfId="32">
      <pivotArea dataOnly="0" labelOnly="1" fieldPosition="0">
        <references count="1">
          <reference field="0" count="0"/>
        </references>
      </pivotArea>
    </format>
    <format dxfId="31">
      <pivotArea dataOnly="0" labelOnly="1" grandRow="1" outline="0" fieldPosition="0"/>
    </format>
    <format dxfId="30">
      <pivotArea dataOnly="0" labelOnly="1" fieldPosition="0">
        <references count="2">
          <reference field="0" count="0" selected="0"/>
          <reference field="8" count="10">
            <x v="25"/>
            <x v="26"/>
            <x v="27"/>
            <x v="67"/>
            <x v="120"/>
            <x v="121"/>
            <x v="122"/>
            <x v="124"/>
            <x v="128"/>
            <x v="167"/>
          </reference>
        </references>
      </pivotArea>
    </format>
    <format dxfId="29">
      <pivotArea dataOnly="0" labelOnly="1" outline="0" fieldPosition="0">
        <references count="1">
          <reference field="196" count="0"/>
        </references>
      </pivotArea>
    </format>
    <format dxfId="28">
      <pivotArea dataOnly="0" labelOnly="1" outline="0" fieldPosition="0">
        <references count="1">
          <reference field="208" count="0"/>
        </references>
      </pivotArea>
    </format>
    <format dxfId="27">
      <pivotArea field="8" type="button" dataOnly="0" labelOnly="1" outline="0" axis="axisRow" fieldPosition="1"/>
    </format>
    <format dxfId="26">
      <pivotArea dataOnly="0" labelOnly="1" grandRow="1" outline="0" fieldPosition="0"/>
    </format>
    <format dxfId="25">
      <pivotArea dataOnly="0" labelOnly="1" fieldPosition="0">
        <references count="2">
          <reference field="0" count="1" selected="0">
            <x v="0"/>
          </reference>
          <reference field="8" count="6">
            <x v="21"/>
            <x v="32"/>
            <x v="41"/>
            <x v="83"/>
            <x v="128"/>
            <x v="158"/>
          </reference>
        </references>
      </pivotArea>
    </format>
    <format dxfId="24">
      <pivotArea dataOnly="0" labelOnly="1" fieldPosition="0">
        <references count="2">
          <reference field="0" count="1" selected="0">
            <x v="1"/>
          </reference>
          <reference field="8" count="2">
            <x v="32"/>
            <x v="111"/>
          </reference>
        </references>
      </pivotArea>
    </format>
    <format dxfId="23">
      <pivotArea dataOnly="0" labelOnly="1" fieldPosition="0">
        <references count="2">
          <reference field="0" count="1" selected="0">
            <x v="2"/>
          </reference>
          <reference field="8" count="9">
            <x v="24"/>
            <x v="31"/>
            <x v="32"/>
            <x v="33"/>
            <x v="39"/>
            <x v="87"/>
            <x v="106"/>
            <x v="128"/>
            <x v="158"/>
          </reference>
        </references>
      </pivotArea>
    </format>
    <format dxfId="22">
      <pivotArea dataOnly="0" labelOnly="1" fieldPosition="0">
        <references count="2">
          <reference field="0" count="1" selected="0">
            <x v="3"/>
          </reference>
          <reference field="8" count="9">
            <x v="11"/>
            <x v="32"/>
            <x v="74"/>
            <x v="75"/>
            <x v="103"/>
            <x v="116"/>
            <x v="128"/>
            <x v="148"/>
            <x v="158"/>
          </reference>
        </references>
      </pivotArea>
    </format>
    <format dxfId="21">
      <pivotArea dataOnly="0" labelOnly="1" fieldPosition="0">
        <references count="2">
          <reference field="0" count="1" selected="0">
            <x v="4"/>
          </reference>
          <reference field="8" count="4">
            <x v="32"/>
            <x v="80"/>
            <x v="128"/>
            <x v="158"/>
          </reference>
        </references>
      </pivotArea>
    </format>
    <format dxfId="20">
      <pivotArea dataOnly="0" labelOnly="1" fieldPosition="0">
        <references count="2">
          <reference field="0" count="1" selected="0">
            <x v="5"/>
          </reference>
          <reference field="8" count="15">
            <x v="7"/>
            <x v="8"/>
            <x v="16"/>
            <x v="32"/>
            <x v="76"/>
            <x v="77"/>
            <x v="78"/>
            <x v="84"/>
            <x v="85"/>
            <x v="86"/>
            <x v="91"/>
            <x v="92"/>
            <x v="93"/>
            <x v="128"/>
            <x v="158"/>
          </reference>
        </references>
      </pivotArea>
    </format>
    <format dxfId="19">
      <pivotArea dataOnly="0" labelOnly="1" fieldPosition="0">
        <references count="2">
          <reference field="0" count="1" selected="0">
            <x v="6"/>
          </reference>
          <reference field="8" count="14">
            <x v="32"/>
            <x v="34"/>
            <x v="105"/>
            <x v="108"/>
            <x v="112"/>
            <x v="128"/>
            <x v="138"/>
            <x v="155"/>
            <x v="156"/>
            <x v="157"/>
            <x v="158"/>
            <x v="160"/>
            <x v="175"/>
            <x v="176"/>
          </reference>
        </references>
      </pivotArea>
    </format>
    <format dxfId="18">
      <pivotArea dataOnly="0" labelOnly="1" fieldPosition="0">
        <references count="2">
          <reference field="0" count="1" selected="0">
            <x v="7"/>
          </reference>
          <reference field="8" count="12">
            <x v="0"/>
            <x v="32"/>
            <x v="36"/>
            <x v="37"/>
            <x v="38"/>
            <x v="40"/>
            <x v="88"/>
            <x v="109"/>
            <x v="128"/>
            <x v="130"/>
            <x v="137"/>
            <x v="158"/>
          </reference>
        </references>
      </pivotArea>
    </format>
    <format dxfId="17">
      <pivotArea dataOnly="0" labelOnly="1" fieldPosition="0">
        <references count="2">
          <reference field="0" count="1" selected="0">
            <x v="8"/>
          </reference>
          <reference field="8" count="7">
            <x v="20"/>
            <x v="32"/>
            <x v="49"/>
            <x v="81"/>
            <x v="82"/>
            <x v="128"/>
            <x v="158"/>
          </reference>
        </references>
      </pivotArea>
    </format>
    <format dxfId="16">
      <pivotArea dataOnly="0" labelOnly="1" fieldPosition="0">
        <references count="2">
          <reference field="0" count="1" selected="0">
            <x v="9"/>
          </reference>
          <reference field="8" count="9">
            <x v="2"/>
            <x v="32"/>
            <x v="54"/>
            <x v="56"/>
            <x v="98"/>
            <x v="128"/>
            <x v="135"/>
            <x v="136"/>
            <x v="158"/>
          </reference>
        </references>
      </pivotArea>
    </format>
    <format dxfId="15">
      <pivotArea dataOnly="0" labelOnly="1" fieldPosition="0">
        <references count="2">
          <reference field="0" count="1" selected="0">
            <x v="10"/>
          </reference>
          <reference field="8" count="12">
            <x v="28"/>
            <x v="29"/>
            <x v="32"/>
            <x v="42"/>
            <x v="43"/>
            <x v="118"/>
            <x v="128"/>
            <x v="133"/>
            <x v="134"/>
            <x v="149"/>
            <x v="150"/>
            <x v="158"/>
          </reference>
        </references>
      </pivotArea>
    </format>
    <format dxfId="14">
      <pivotArea dataOnly="0" labelOnly="1" fieldPosition="0">
        <references count="2">
          <reference field="0" count="1" selected="0">
            <x v="11"/>
          </reference>
          <reference field="8" count="16">
            <x v="32"/>
            <x v="45"/>
            <x v="48"/>
            <x v="61"/>
            <x v="89"/>
            <x v="99"/>
            <x v="100"/>
            <x v="101"/>
            <x v="104"/>
            <x v="125"/>
            <x v="126"/>
            <x v="127"/>
            <x v="128"/>
            <x v="139"/>
            <x v="152"/>
            <x v="158"/>
          </reference>
        </references>
      </pivotArea>
    </format>
    <format dxfId="13">
      <pivotArea dataOnly="0" labelOnly="1" fieldPosition="0">
        <references count="2">
          <reference field="0" count="1" selected="0">
            <x v="12"/>
          </reference>
          <reference field="8" count="8">
            <x v="14"/>
            <x v="32"/>
            <x v="35"/>
            <x v="72"/>
            <x v="110"/>
            <x v="128"/>
            <x v="158"/>
            <x v="159"/>
          </reference>
        </references>
      </pivotArea>
    </format>
    <format dxfId="12">
      <pivotArea dataOnly="0" labelOnly="1" fieldPosition="0">
        <references count="2">
          <reference field="0" count="1" selected="0">
            <x v="13"/>
          </reference>
          <reference field="8" count="8">
            <x v="22"/>
            <x v="32"/>
            <x v="35"/>
            <x v="71"/>
            <x v="72"/>
            <x v="102"/>
            <x v="128"/>
            <x v="158"/>
          </reference>
        </references>
      </pivotArea>
    </format>
    <format dxfId="11">
      <pivotArea dataOnly="0" labelOnly="1" fieldPosition="0">
        <references count="2">
          <reference field="0" count="1" selected="0">
            <x v="14"/>
          </reference>
          <reference field="8" count="25">
            <x v="32"/>
            <x v="35"/>
            <x v="44"/>
            <x v="50"/>
            <x v="51"/>
            <x v="58"/>
            <x v="59"/>
            <x v="60"/>
            <x v="65"/>
            <x v="66"/>
            <x v="70"/>
            <x v="72"/>
            <x v="79"/>
            <x v="111"/>
            <x v="128"/>
            <x v="140"/>
            <x v="151"/>
            <x v="154"/>
            <x v="158"/>
            <x v="161"/>
            <x v="162"/>
            <x v="163"/>
            <x v="171"/>
            <x v="172"/>
            <x v="177"/>
          </reference>
        </references>
      </pivotArea>
    </format>
    <format dxfId="10">
      <pivotArea dataOnly="0" labelOnly="1" fieldPosition="0">
        <references count="2">
          <reference field="0" count="1" selected="0">
            <x v="15"/>
          </reference>
          <reference field="8" count="9">
            <x v="18"/>
            <x v="19"/>
            <x v="32"/>
            <x v="35"/>
            <x v="72"/>
            <x v="90"/>
            <x v="128"/>
            <x v="146"/>
            <x v="158"/>
          </reference>
        </references>
      </pivotArea>
    </format>
    <format dxfId="9">
      <pivotArea dataOnly="0" labelOnly="1" fieldPosition="0">
        <references count="2">
          <reference field="0" count="1" selected="0">
            <x v="16"/>
          </reference>
          <reference field="8" count="27">
            <x v="25"/>
            <x v="26"/>
            <x v="27"/>
            <x v="32"/>
            <x v="35"/>
            <x v="64"/>
            <x v="67"/>
            <x v="69"/>
            <x v="72"/>
            <x v="73"/>
            <x v="120"/>
            <x v="121"/>
            <x v="122"/>
            <x v="123"/>
            <x v="124"/>
            <x v="128"/>
            <x v="129"/>
            <x v="158"/>
            <x v="164"/>
            <x v="165"/>
            <x v="166"/>
            <x v="167"/>
            <x v="168"/>
            <x v="169"/>
            <x v="170"/>
            <x v="173"/>
            <x v="174"/>
          </reference>
        </references>
      </pivotArea>
    </format>
    <format dxfId="8">
      <pivotArea dataOnly="0" labelOnly="1" fieldPosition="0">
        <references count="2">
          <reference field="0" count="1" selected="0">
            <x v="17"/>
          </reference>
          <reference field="8" count="13">
            <x v="30"/>
            <x v="32"/>
            <x v="35"/>
            <x v="47"/>
            <x v="68"/>
            <x v="72"/>
            <x v="128"/>
            <x v="132"/>
            <x v="142"/>
            <x v="143"/>
            <x v="144"/>
            <x v="145"/>
            <x v="158"/>
          </reference>
        </references>
      </pivotArea>
    </format>
    <format dxfId="7">
      <pivotArea dataOnly="0" labelOnly="1" fieldPosition="0">
        <references count="2">
          <reference field="0" count="1" selected="0">
            <x v="18"/>
          </reference>
          <reference field="8" count="11">
            <x v="1"/>
            <x v="4"/>
            <x v="32"/>
            <x v="35"/>
            <x v="72"/>
            <x v="107"/>
            <x v="117"/>
            <x v="128"/>
            <x v="141"/>
            <x v="147"/>
            <x v="158"/>
          </reference>
        </references>
      </pivotArea>
    </format>
    <format dxfId="6">
      <pivotArea dataOnly="0" labelOnly="1" fieldPosition="0">
        <references count="2">
          <reference field="0" count="1" selected="0">
            <x v="19"/>
          </reference>
          <reference field="8" count="27">
            <x v="3"/>
            <x v="5"/>
            <x v="6"/>
            <x v="9"/>
            <x v="10"/>
            <x v="12"/>
            <x v="13"/>
            <x v="15"/>
            <x v="17"/>
            <x v="32"/>
            <x v="35"/>
            <x v="46"/>
            <x v="52"/>
            <x v="53"/>
            <x v="55"/>
            <x v="62"/>
            <x v="72"/>
            <x v="94"/>
            <x v="95"/>
            <x v="96"/>
            <x v="97"/>
            <x v="114"/>
            <x v="119"/>
            <x v="128"/>
            <x v="131"/>
            <x v="153"/>
            <x v="158"/>
          </reference>
        </references>
      </pivotArea>
    </format>
    <format dxfId="5">
      <pivotArea dataOnly="0" labelOnly="1" fieldPosition="0">
        <references count="2">
          <reference field="0" count="1" selected="0">
            <x v="20"/>
          </reference>
          <reference field="8" count="10">
            <x v="23"/>
            <x v="32"/>
            <x v="35"/>
            <x v="57"/>
            <x v="63"/>
            <x v="72"/>
            <x v="113"/>
            <x v="115"/>
            <x v="128"/>
            <x v="158"/>
          </reference>
        </references>
      </pivotArea>
    </format>
    <format dxfId="4">
      <pivotArea dataOnly="0" labelOnly="1" fieldPosition="0">
        <references count="2">
          <reference field="0" count="1" selected="0">
            <x v="21"/>
          </reference>
          <reference field="8" count="1">
            <x v="178"/>
          </reference>
        </references>
      </pivotArea>
    </format>
    <format dxfId="3">
      <pivotArea field="6" grandRow="1" outline="0" collapsedLevelsAreSubtotals="1" axis="axisCol" fieldPosition="0">
        <references count="1">
          <reference field="6" count="1" selected="0" defaultSubtotal="1">
            <x v="0"/>
          </reference>
        </references>
      </pivotArea>
    </format>
    <format dxfId="2">
      <pivotArea field="6" grandRow="1" outline="0" collapsedLevelsAreSubtotals="1" axis="axisCol" fieldPosition="0">
        <references count="2">
          <reference field="2" count="1" selected="0">
            <x v="0"/>
          </reference>
          <reference field="6"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1" cacheId="5" applyNumberFormats="0" applyBorderFormats="0" applyFontFormats="0" applyPatternFormats="0" applyAlignmentFormats="0" applyWidthHeightFormats="1" dataCaption="Valores" updatedVersion="4" minRefreshableVersion="3" itemPrintTitles="1" createdVersion="4" indent="0" outline="1" outlineData="1" multipleFieldFilters="0">
  <location ref="A5:F29" firstHeaderRow="1" firstDataRow="2" firstDataCol="1"/>
  <pivotFields count="226">
    <pivotField axis="axisRow" outline="0" showAll="0" defaultSubtotal="0">
      <items count="22">
        <item x="11"/>
        <item x="20"/>
        <item x="0"/>
        <item x="12"/>
        <item x="14"/>
        <item x="13"/>
        <item x="15"/>
        <item x="16"/>
        <item x="17"/>
        <item x="1"/>
        <item x="18"/>
        <item x="2"/>
        <item x="19"/>
        <item x="3"/>
        <item x="5"/>
        <item x="6"/>
        <item x="8"/>
        <item x="9"/>
        <item x="10"/>
        <item x="4"/>
        <item x="7"/>
        <item x="21"/>
      </items>
      <extLst>
        <ext xmlns:x14="http://schemas.microsoft.com/office/spreadsheetml/2009/9/main" uri="{2946ED86-A175-432a-8AC1-64E0C546D7DE}">
          <x14:pivotField fillDownLabels="1"/>
        </ext>
      </extLst>
    </pivotField>
    <pivotField showAll="0"/>
    <pivotField axis="axisCol" multipleItemSelectionAllowed="1" showAll="0">
      <items count="5">
        <item x="0"/>
        <item x="1"/>
        <item x="2"/>
        <item x="3"/>
        <item t="default"/>
      </items>
    </pivotField>
    <pivotField showAll="0"/>
    <pivotField showAll="0"/>
    <pivotField showAll="0"/>
    <pivotField showAll="0"/>
    <pivotField showAll="0"/>
    <pivotField multipleItemSelectionAllowed="1"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AVANCE Ene2019" outline="0" showAll="0" defaultSubtotal="0">
      <extLst>
        <ext xmlns:x14="http://schemas.microsoft.com/office/spreadsheetml/2009/9/main" uri="{2946ED86-A175-432a-8AC1-64E0C546D7DE}">
          <x14:pivotField fillDownLabels="1"/>
        </ext>
      </extLst>
    </pivotField>
    <pivotField outline="0" showAll="0" defaultSubtotal="0">
      <extLst>
        <ext xmlns:x14="http://schemas.microsoft.com/office/spreadsheetml/2009/9/main" uri="{2946ED86-A175-432a-8AC1-64E0C546D7DE}">
          <x14:pivotField fillDownLabels="1"/>
        </ext>
      </extLst>
    </pivotField>
    <pivotField outline="0" showAll="0" defaultSubtotal="0">
      <extLst>
        <ext xmlns:x14="http://schemas.microsoft.com/office/spreadsheetml/2009/9/main" uri="{2946ED86-A175-432a-8AC1-64E0C546D7DE}">
          <x14:pivotField fillDownLabels="1"/>
        </ext>
      </extLst>
    </pivotField>
    <pivotField outline="0" showAll="0" defaultSubtotal="0">
      <extLst>
        <ext xmlns:x14="http://schemas.microsoft.com/office/spreadsheetml/2009/9/main" uri="{2946ED86-A175-432a-8AC1-64E0C546D7DE}">
          <x14:pivotField fillDownLabels="1"/>
        </ext>
      </extLst>
    </pivotField>
    <pivotField outline="0" showAll="0" defaultSubtotal="0">
      <extLst>
        <ext xmlns:x14="http://schemas.microsoft.com/office/spreadsheetml/2009/9/main" uri="{2946ED86-A175-432a-8AC1-64E0C546D7DE}">
          <x14:pivotField fillDownLabels="1"/>
        </ext>
      </extLst>
    </pivotField>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2"/>
  </colFields>
  <colItems count="5">
    <i>
      <x/>
    </i>
    <i>
      <x v="1"/>
    </i>
    <i>
      <x v="2"/>
    </i>
    <i>
      <x v="3"/>
    </i>
    <i t="grand">
      <x/>
    </i>
  </colItems>
  <dataFields count="1">
    <dataField name="PLAN DE INV. USD" fld="27" baseField="0" baseItem="0"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 dinámica2" cacheId="5" applyNumberFormats="0" applyBorderFormats="0" applyFontFormats="0" applyPatternFormats="0" applyAlignmentFormats="0" applyWidthHeightFormats="1" dataCaption="Valores" updatedVersion="4" minRefreshableVersion="3" itemPrintTitles="1" createdVersion="4" indent="0" outline="1" outlineData="1" multipleFieldFilters="0">
  <location ref="A5:D159" firstHeaderRow="1" firstDataRow="1" firstDataCol="3" rowPageCount="3" colPageCount="1"/>
  <pivotFields count="226">
    <pivotField axis="axisRow" outline="0" showAll="0" defaultSubtotal="0">
      <items count="22">
        <item x="11"/>
        <item x="20"/>
        <item x="0"/>
        <item x="12"/>
        <item x="14"/>
        <item x="13"/>
        <item x="15"/>
        <item x="16"/>
        <item x="17"/>
        <item x="1"/>
        <item x="18"/>
        <item x="2"/>
        <item x="19"/>
        <item x="3"/>
        <item x="5"/>
        <item x="6"/>
        <item x="8"/>
        <item x="9"/>
        <item x="10"/>
        <item x="4"/>
        <item x="7"/>
        <item x="21"/>
      </items>
      <extLst>
        <ext xmlns:x14="http://schemas.microsoft.com/office/spreadsheetml/2009/9/main" uri="{2946ED86-A175-432a-8AC1-64E0C546D7DE}">
          <x14:pivotField fillDownLabels="1"/>
        </ext>
      </extLst>
    </pivotField>
    <pivotField showAll="0"/>
    <pivotField axis="axisPage" multipleItemSelectionAllowed="1" showAll="0">
      <items count="5">
        <item x="0"/>
        <item x="1"/>
        <item h="1" x="2"/>
        <item h="1" x="3"/>
        <item t="default"/>
      </items>
    </pivotField>
    <pivotField showAll="0"/>
    <pivotField showAll="0"/>
    <pivotField axis="axisPage" multipleItemSelectionAllowed="1" showAll="0">
      <items count="14">
        <item h="1" x="8"/>
        <item m="1" x="12"/>
        <item x="0"/>
        <item h="1" x="11"/>
        <item x="7"/>
        <item x="4"/>
        <item x="5"/>
        <item x="6"/>
        <item x="2"/>
        <item x="1"/>
        <item x="10"/>
        <item x="3"/>
        <item x="9"/>
        <item t="default"/>
      </items>
    </pivotField>
    <pivotField showAll="0"/>
    <pivotField showAll="0"/>
    <pivotField axis="axisRow" showAll="0">
      <items count="189">
        <item x="59"/>
        <item x="152"/>
        <item x="1"/>
        <item x="8"/>
        <item x="153"/>
        <item x="105"/>
        <item x="100"/>
        <item x="41"/>
        <item x="42"/>
        <item x="108"/>
        <item x="107"/>
        <item x="25"/>
        <item x="101"/>
        <item x="99"/>
        <item x="90"/>
        <item x="104"/>
        <item x="37"/>
        <item x="95"/>
        <item x="132"/>
        <item x="133"/>
        <item x="66"/>
        <item x="18"/>
        <item x="93"/>
        <item x="117"/>
        <item x="23"/>
        <item x="138"/>
        <item x="139"/>
        <item x="136"/>
        <item x="70"/>
        <item x="69"/>
        <item x="144"/>
        <item x="22"/>
        <item m="1" x="179"/>
        <item x="0"/>
        <item x="49"/>
        <item x="15"/>
        <item x="61"/>
        <item x="62"/>
        <item x="60"/>
        <item x="21"/>
        <item x="63"/>
        <item x="24"/>
        <item x="75"/>
        <item x="76"/>
        <item x="163"/>
        <item x="3"/>
        <item x="9"/>
        <item x="16"/>
        <item x="5"/>
        <item x="67"/>
        <item x="12"/>
        <item m="1" x="184"/>
        <item x="124"/>
        <item m="1" x="178"/>
        <item x="7"/>
        <item x="2"/>
        <item x="126"/>
        <item x="125"/>
        <item x="118"/>
        <item m="1" x="183"/>
        <item x="123"/>
        <item x="122"/>
        <item x="85"/>
        <item x="96"/>
        <item x="119"/>
        <item x="175"/>
        <item x="156"/>
        <item x="157"/>
        <item x="164"/>
        <item x="176"/>
        <item m="1" x="185"/>
        <item m="1" x="177"/>
        <item x="92"/>
        <item m="1" x="180"/>
        <item h="1" x="14"/>
        <item x="26"/>
        <item x="27"/>
        <item x="40"/>
        <item x="38"/>
        <item x="39"/>
        <item x="131"/>
        <item x="43"/>
        <item x="64"/>
        <item x="65"/>
        <item x="17"/>
        <item x="35"/>
        <item x="33"/>
        <item x="31"/>
        <item x="20"/>
        <item x="56"/>
        <item x="86"/>
        <item x="135"/>
        <item x="36"/>
        <item x="32"/>
        <item x="34"/>
        <item x="106"/>
        <item x="103"/>
        <item x="102"/>
        <item x="98"/>
        <item x="79"/>
        <item x="88"/>
        <item x="87"/>
        <item x="89"/>
        <item x="6"/>
        <item x="28"/>
        <item m="1" x="186"/>
        <item x="44"/>
        <item x="19"/>
        <item x="150"/>
        <item x="51"/>
        <item x="57"/>
        <item x="91"/>
        <item x="11"/>
        <item x="97"/>
        <item x="54"/>
        <item x="120"/>
        <item x="127"/>
        <item x="121"/>
        <item x="29"/>
        <item x="151"/>
        <item x="71"/>
        <item x="111"/>
        <item x="94"/>
        <item x="137"/>
        <item x="140"/>
        <item x="141"/>
        <item x="143"/>
        <item x="142"/>
        <item x="84"/>
        <item x="82"/>
        <item x="81"/>
        <item x="10"/>
        <item x="165"/>
        <item x="58"/>
        <item x="115"/>
        <item x="113"/>
        <item x="116"/>
        <item x="112"/>
        <item x="109"/>
        <item x="114"/>
        <item x="110"/>
        <item x="145"/>
        <item x="72"/>
        <item x="74"/>
        <item x="78"/>
        <item x="77"/>
        <item x="55"/>
        <item x="52"/>
        <item x="83"/>
        <item x="130"/>
        <item x="154"/>
        <item x="146"/>
        <item x="149"/>
        <item x="148"/>
        <item x="147"/>
        <item x="134"/>
        <item x="155"/>
        <item x="30"/>
        <item x="68"/>
        <item x="73"/>
        <item x="128"/>
        <item x="80"/>
        <item m="1" x="182"/>
        <item x="129"/>
        <item x="48"/>
        <item x="46"/>
        <item x="47"/>
        <item m="1" x="181"/>
        <item m="1" x="187"/>
        <item x="45"/>
        <item x="159"/>
        <item x="160"/>
        <item x="161"/>
        <item x="173"/>
        <item x="167"/>
        <item x="168"/>
        <item x="166"/>
        <item x="171"/>
        <item x="169"/>
        <item x="174"/>
        <item x="162"/>
        <item x="158"/>
        <item x="170"/>
        <item x="172"/>
        <item x="50"/>
        <item x="53"/>
        <item h="1" x="13"/>
        <item x="4"/>
        <item t="default"/>
      </items>
    </pivotField>
    <pivotField showAll="0"/>
    <pivotField axis="axisPage" multipleItemSelectionAllowed="1" showAll="0">
      <items count="10">
        <item h="1" x="1"/>
        <item m="1" x="6"/>
        <item m="1" x="7"/>
        <item h="1" x="4"/>
        <item m="1" x="8"/>
        <item m="1" x="5"/>
        <item h="1" x="3"/>
        <item h="1" x="2"/>
        <item x="0"/>
        <item t="default"/>
      </items>
    </pivotField>
    <pivotField outline="0" showAll="0" defaultSubtotal="0">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outline="0" showAll="0" defaultSubtotal="0">
      <extLst>
        <ext xmlns:x14="http://schemas.microsoft.com/office/spreadsheetml/2009/9/main" uri="{2946ED86-A175-432a-8AC1-64E0C546D7DE}">
          <x14:pivotField fillDownLabels="1"/>
        </ext>
      </extLst>
    </pivotField>
    <pivotField outline="0" showAll="0" defaultSubtotal="0">
      <extLst>
        <ext xmlns:x14="http://schemas.microsoft.com/office/spreadsheetml/2009/9/main" uri="{2946ED86-A175-432a-8AC1-64E0C546D7DE}">
          <x14:pivotField fillDownLabels="1"/>
        </ext>
      </extLst>
    </pivotField>
    <pivotField axis="axisRow" outline="0" showAll="0" defaultSubtotal="0">
      <items count="8">
        <item x="1"/>
        <item x="2"/>
        <item x="6"/>
        <item x="3"/>
        <item x="4"/>
        <item x="7"/>
        <item x="0"/>
        <item x="5"/>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s>
  <rowFields count="3">
    <field x="0"/>
    <field x="200"/>
    <field x="8"/>
  </rowFields>
  <rowItems count="154">
    <i>
      <x/>
      <x v="6"/>
      <x v="21"/>
    </i>
    <i r="2">
      <x v="41"/>
    </i>
    <i r="2">
      <x v="84"/>
    </i>
    <i>
      <x v="2"/>
      <x v="6"/>
      <x v="24"/>
    </i>
    <i r="2">
      <x v="31"/>
    </i>
    <i r="2">
      <x v="33"/>
    </i>
    <i r="2">
      <x v="39"/>
    </i>
    <i r="2">
      <x v="88"/>
    </i>
    <i r="2">
      <x v="107"/>
    </i>
    <i>
      <x v="3"/>
      <x v="6"/>
      <x v="11"/>
    </i>
    <i r="2">
      <x v="75"/>
    </i>
    <i r="2">
      <x v="76"/>
    </i>
    <i r="2">
      <x v="104"/>
    </i>
    <i r="2">
      <x v="118"/>
    </i>
    <i r="2">
      <x v="157"/>
    </i>
    <i>
      <x v="4"/>
      <x v="2"/>
      <x v="81"/>
    </i>
    <i r="1">
      <x v="3"/>
      <x v="81"/>
    </i>
    <i>
      <x v="5"/>
      <x v="1"/>
      <x v="8"/>
    </i>
    <i r="1">
      <x v="6"/>
      <x v="7"/>
    </i>
    <i r="2">
      <x v="16"/>
    </i>
    <i r="2">
      <x v="77"/>
    </i>
    <i r="2">
      <x v="78"/>
    </i>
    <i r="2">
      <x v="79"/>
    </i>
    <i r="2">
      <x v="85"/>
    </i>
    <i r="2">
      <x v="86"/>
    </i>
    <i r="2">
      <x v="87"/>
    </i>
    <i r="2">
      <x v="92"/>
    </i>
    <i r="2">
      <x v="93"/>
    </i>
    <i r="2">
      <x v="94"/>
    </i>
    <i>
      <x v="6"/>
      <x v="6"/>
      <x v="34"/>
    </i>
    <i r="2">
      <x v="106"/>
    </i>
    <i r="2">
      <x v="109"/>
    </i>
    <i r="2">
      <x v="114"/>
    </i>
    <i r="2">
      <x v="147"/>
    </i>
    <i r="2">
      <x v="164"/>
    </i>
    <i r="2">
      <x v="165"/>
    </i>
    <i r="2">
      <x v="166"/>
    </i>
    <i r="2">
      <x v="169"/>
    </i>
    <i r="2">
      <x v="184"/>
    </i>
    <i r="2">
      <x v="185"/>
    </i>
    <i>
      <x v="7"/>
      <x v="6"/>
      <x/>
    </i>
    <i r="2">
      <x v="36"/>
    </i>
    <i r="2">
      <x v="37"/>
    </i>
    <i r="2">
      <x v="38"/>
    </i>
    <i r="2">
      <x v="40"/>
    </i>
    <i r="2">
      <x v="89"/>
    </i>
    <i r="2">
      <x v="110"/>
    </i>
    <i r="2">
      <x v="133"/>
    </i>
    <i r="2">
      <x v="146"/>
    </i>
    <i>
      <x v="8"/>
      <x v="6"/>
      <x v="20"/>
    </i>
    <i r="2">
      <x v="49"/>
    </i>
    <i r="2">
      <x v="82"/>
    </i>
    <i r="2">
      <x v="83"/>
    </i>
    <i>
      <x v="9"/>
      <x v="6"/>
      <x v="2"/>
    </i>
    <i r="2">
      <x v="55"/>
    </i>
    <i r="2">
      <x v="99"/>
    </i>
    <i r="2">
      <x v="144"/>
    </i>
    <i r="2">
      <x v="145"/>
    </i>
    <i>
      <x v="10"/>
      <x v="6"/>
      <x v="28"/>
    </i>
    <i r="2">
      <x v="29"/>
    </i>
    <i r="2">
      <x v="42"/>
    </i>
    <i r="2">
      <x v="43"/>
    </i>
    <i r="2">
      <x v="120"/>
    </i>
    <i r="2">
      <x v="142"/>
    </i>
    <i r="2">
      <x v="143"/>
    </i>
    <i r="2">
      <x v="158"/>
    </i>
    <i r="2">
      <x v="159"/>
    </i>
    <i>
      <x v="11"/>
      <x v="6"/>
      <x v="45"/>
    </i>
    <i r="2">
      <x v="48"/>
    </i>
    <i r="2">
      <x v="62"/>
    </i>
    <i r="2">
      <x v="90"/>
    </i>
    <i r="2">
      <x v="100"/>
    </i>
    <i r="2">
      <x v="101"/>
    </i>
    <i r="2">
      <x v="102"/>
    </i>
    <i r="2">
      <x v="128"/>
    </i>
    <i r="2">
      <x v="129"/>
    </i>
    <i r="2">
      <x v="130"/>
    </i>
    <i r="2">
      <x v="148"/>
    </i>
    <i r="2">
      <x v="161"/>
    </i>
    <i r="2">
      <x v="187"/>
    </i>
    <i>
      <x v="12"/>
      <x v="6"/>
      <x v="14"/>
    </i>
    <i r="2">
      <x v="111"/>
    </i>
    <i>
      <x v="13"/>
      <x v="4"/>
      <x v="72"/>
    </i>
    <i r="1">
      <x v="6"/>
      <x v="22"/>
    </i>
    <i r="2">
      <x v="103"/>
    </i>
    <i r="2">
      <x v="187"/>
    </i>
    <i>
      <x v="14"/>
      <x v="6"/>
      <x v="50"/>
    </i>
    <i r="2">
      <x v="60"/>
    </i>
    <i r="2">
      <x v="61"/>
    </i>
    <i r="2">
      <x v="80"/>
    </i>
    <i r="2">
      <x v="149"/>
    </i>
    <i r="2">
      <x v="160"/>
    </i>
    <i r="2">
      <x v="163"/>
    </i>
    <i r="2">
      <x v="187"/>
    </i>
    <i>
      <x v="15"/>
      <x v="6"/>
      <x v="18"/>
    </i>
    <i r="2">
      <x v="19"/>
    </i>
    <i r="2">
      <x v="91"/>
    </i>
    <i r="2">
      <x v="155"/>
    </i>
    <i>
      <x v="16"/>
      <x v="5"/>
      <x v="125"/>
    </i>
    <i r="1">
      <x v="6"/>
      <x v="25"/>
    </i>
    <i r="2">
      <x v="26"/>
    </i>
    <i r="2">
      <x v="27"/>
    </i>
    <i r="2">
      <x v="123"/>
    </i>
    <i r="2">
      <x v="124"/>
    </i>
    <i r="2">
      <x v="125"/>
    </i>
    <i r="2">
      <x v="126"/>
    </i>
    <i r="2">
      <x v="127"/>
    </i>
    <i r="2">
      <x v="187"/>
    </i>
    <i>
      <x v="17"/>
      <x/>
      <x v="47"/>
    </i>
    <i r="2">
      <x v="151"/>
    </i>
    <i r="2">
      <x v="152"/>
    </i>
    <i r="2">
      <x v="153"/>
    </i>
    <i r="2">
      <x v="154"/>
    </i>
    <i r="1">
      <x v="6"/>
      <x v="30"/>
    </i>
    <i r="2">
      <x v="141"/>
    </i>
    <i>
      <x v="18"/>
      <x v="6"/>
      <x v="1"/>
    </i>
    <i r="2">
      <x v="4"/>
    </i>
    <i r="2">
      <x v="108"/>
    </i>
    <i r="2">
      <x v="119"/>
    </i>
    <i r="2">
      <x v="150"/>
    </i>
    <i r="2">
      <x v="156"/>
    </i>
    <i>
      <x v="19"/>
      <x/>
      <x v="17"/>
    </i>
    <i r="2">
      <x v="46"/>
    </i>
    <i r="2">
      <x v="116"/>
    </i>
    <i r="1">
      <x v="6"/>
      <x v="3"/>
    </i>
    <i r="2">
      <x v="5"/>
    </i>
    <i r="2">
      <x v="6"/>
    </i>
    <i r="2">
      <x v="9"/>
    </i>
    <i r="2">
      <x v="12"/>
    </i>
    <i r="2">
      <x v="13"/>
    </i>
    <i r="2">
      <x v="15"/>
    </i>
    <i r="2">
      <x v="54"/>
    </i>
    <i r="2">
      <x v="63"/>
    </i>
    <i r="2">
      <x v="95"/>
    </i>
    <i r="2">
      <x v="96"/>
    </i>
    <i r="2">
      <x v="97"/>
    </i>
    <i r="2">
      <x v="98"/>
    </i>
    <i r="2">
      <x v="113"/>
    </i>
    <i r="2">
      <x v="122"/>
    </i>
    <i r="2">
      <x v="136"/>
    </i>
    <i r="1">
      <x v="7"/>
      <x v="10"/>
    </i>
    <i r="2">
      <x v="121"/>
    </i>
    <i r="2">
      <x v="134"/>
    </i>
    <i r="2">
      <x v="135"/>
    </i>
    <i r="2">
      <x v="137"/>
    </i>
    <i r="2">
      <x v="138"/>
    </i>
    <i r="2">
      <x v="139"/>
    </i>
    <i r="2">
      <x v="140"/>
    </i>
    <i>
      <x v="20"/>
      <x v="6"/>
      <x v="23"/>
    </i>
    <i r="2">
      <x v="58"/>
    </i>
    <i r="2">
      <x v="64"/>
    </i>
    <i r="2">
      <x v="115"/>
    </i>
    <i r="2">
      <x v="117"/>
    </i>
    <i t="grand">
      <x/>
    </i>
  </rowItems>
  <colItems count="1">
    <i/>
  </colItems>
  <pageFields count="3">
    <pageField fld="5" hier="-1"/>
    <pageField fld="10" hier="-1"/>
    <pageField fld="2" hier="-1"/>
  </pageFields>
  <dataFields count="1">
    <dataField name="PLAN DE INVERSIÓN" fld="27" baseField="0" baseItem="0" numFmtId="171"/>
  </dataFields>
  <formats count="2">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 dinámica1"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C24" firstHeaderRow="0" firstDataRow="1" firstDataCol="1"/>
  <pivotFields count="5">
    <pivotField axis="axisRow" showAll="0">
      <items count="21">
        <item x="0"/>
        <item x="1"/>
        <item x="2"/>
        <item x="3"/>
        <item x="4"/>
        <item x="5"/>
        <item x="6"/>
        <item x="7"/>
        <item x="8"/>
        <item x="9"/>
        <item x="10"/>
        <item x="11"/>
        <item x="12"/>
        <item x="13"/>
        <item x="14"/>
        <item x="15"/>
        <item x="16"/>
        <item x="17"/>
        <item x="18"/>
        <item x="19"/>
        <item t="default"/>
      </items>
    </pivotField>
    <pivotField showAll="0"/>
    <pivotField showAll="0"/>
    <pivotField dataField="1" showAll="0"/>
    <pivotField dataField="1" numFmtId="171" showAll="0"/>
  </pivotFields>
  <rowFields count="1">
    <field x="0"/>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2">
    <i>
      <x/>
    </i>
    <i i="1">
      <x v="1"/>
    </i>
  </colItems>
  <dataFields count="2">
    <dataField name="Suma de PLAN DE INVERSIÓN" fld="3" baseField="0" baseItem="0"/>
    <dataField name="Suma de PinvAvance"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C24" firstHeaderRow="0" firstDataRow="1" firstDataCol="1"/>
  <pivotFields count="5">
    <pivotField axis="axisRow" showAll="0">
      <items count="21">
        <item x="0"/>
        <item x="1"/>
        <item x="2"/>
        <item x="3"/>
        <item x="4"/>
        <item x="5"/>
        <item x="6"/>
        <item x="7"/>
        <item x="8"/>
        <item x="9"/>
        <item x="10"/>
        <item x="11"/>
        <item x="12"/>
        <item x="13"/>
        <item x="14"/>
        <item x="15"/>
        <item x="16"/>
        <item x="17"/>
        <item x="18"/>
        <item x="19"/>
        <item t="default"/>
      </items>
    </pivotField>
    <pivotField showAll="0"/>
    <pivotField showAll="0"/>
    <pivotField dataField="1" showAll="0"/>
    <pivotField dataField="1" numFmtId="171" showAll="0"/>
  </pivotFields>
  <rowFields count="1">
    <field x="0"/>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2">
    <i>
      <x/>
    </i>
    <i i="1">
      <x v="1"/>
    </i>
  </colItems>
  <dataFields count="2">
    <dataField name="Suma de PLAN DE INVERSIÓN" fld="3" baseField="0" baseItem="0"/>
    <dataField name="Suma de PinvAvance"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callto:0984-891-849" TargetMode="External"/><Relationship Id="rId7" Type="http://schemas.openxmlformats.org/officeDocument/2006/relationships/printerSettings" Target="../printerSettings/printerSettings3.bin"/><Relationship Id="rId2" Type="http://schemas.openxmlformats.org/officeDocument/2006/relationships/hyperlink" Target="callto:0987-214-812" TargetMode="External"/><Relationship Id="rId1" Type="http://schemas.openxmlformats.org/officeDocument/2006/relationships/hyperlink" Target="callto:0984-891-849" TargetMode="External"/><Relationship Id="rId6" Type="http://schemas.openxmlformats.org/officeDocument/2006/relationships/hyperlink" Target="callto:0998-041-880" TargetMode="External"/><Relationship Id="rId5" Type="http://schemas.openxmlformats.org/officeDocument/2006/relationships/hyperlink" Target="callto:0993-270-723" TargetMode="External"/><Relationship Id="rId4" Type="http://schemas.openxmlformats.org/officeDocument/2006/relationships/hyperlink" Target="callto:0993-270-723"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29"/>
  <sheetViews>
    <sheetView workbookViewId="0">
      <selection activeCell="D8" sqref="D8"/>
    </sheetView>
  </sheetViews>
  <sheetFormatPr baseColWidth="10" defaultRowHeight="15"/>
  <cols>
    <col min="1" max="1" width="13.42578125" customWidth="1"/>
    <col min="2" max="2" width="17.42578125" customWidth="1"/>
    <col min="3" max="3" width="15.42578125" customWidth="1"/>
    <col min="4" max="4" width="16.85546875" customWidth="1"/>
    <col min="5" max="17" width="20.7109375" customWidth="1"/>
  </cols>
  <sheetData>
    <row r="5" spans="1:4">
      <c r="A5" s="18" t="s">
        <v>1871</v>
      </c>
      <c r="B5" s="18" t="s">
        <v>1673</v>
      </c>
    </row>
    <row r="6" spans="1:4">
      <c r="A6" s="18" t="s">
        <v>1671</v>
      </c>
      <c r="B6" t="s">
        <v>351</v>
      </c>
      <c r="C6" t="s">
        <v>354</v>
      </c>
      <c r="D6" t="s">
        <v>1672</v>
      </c>
    </row>
    <row r="7" spans="1:4">
      <c r="A7" t="s">
        <v>26</v>
      </c>
      <c r="B7" s="116">
        <v>3945440.13</v>
      </c>
      <c r="C7" s="116">
        <v>168947.57</v>
      </c>
      <c r="D7" s="116">
        <v>4114387.6999999997</v>
      </c>
    </row>
    <row r="8" spans="1:4">
      <c r="A8" t="s">
        <v>1039</v>
      </c>
      <c r="B8" s="116"/>
      <c r="C8" s="116">
        <v>8073900</v>
      </c>
      <c r="D8" s="116">
        <v>8073900</v>
      </c>
    </row>
    <row r="9" spans="1:4">
      <c r="A9" t="s">
        <v>0</v>
      </c>
      <c r="B9" s="116">
        <v>3222825.41</v>
      </c>
      <c r="C9" s="116">
        <v>519416.77</v>
      </c>
      <c r="D9" s="116">
        <v>3742242.18</v>
      </c>
    </row>
    <row r="10" spans="1:4">
      <c r="A10" t="s">
        <v>44</v>
      </c>
      <c r="B10" s="116">
        <v>2788563.45</v>
      </c>
      <c r="C10" s="116">
        <v>849028.35999999975</v>
      </c>
      <c r="D10" s="116">
        <v>3637591.81</v>
      </c>
    </row>
    <row r="11" spans="1:4">
      <c r="A11" t="s">
        <v>67</v>
      </c>
      <c r="B11" s="116">
        <v>4083627.1</v>
      </c>
      <c r="C11" s="116">
        <v>13982.14</v>
      </c>
      <c r="D11" s="116">
        <v>4097609.24</v>
      </c>
    </row>
    <row r="12" spans="1:4">
      <c r="A12" t="s">
        <v>56</v>
      </c>
      <c r="B12" s="116">
        <v>2242155.0299999998</v>
      </c>
      <c r="C12" s="116">
        <v>462688.18</v>
      </c>
      <c r="D12" s="116">
        <v>2704843.21</v>
      </c>
    </row>
    <row r="13" spans="1:4">
      <c r="A13" t="s">
        <v>70</v>
      </c>
      <c r="B13" s="116">
        <v>242065.82</v>
      </c>
      <c r="C13" s="116">
        <v>2014829.17</v>
      </c>
      <c r="D13" s="116">
        <v>2256894.9899999998</v>
      </c>
    </row>
    <row r="14" spans="1:4">
      <c r="A14" t="s">
        <v>86</v>
      </c>
      <c r="B14" s="116">
        <v>3048253.7</v>
      </c>
      <c r="C14" s="116">
        <v>958737.36</v>
      </c>
      <c r="D14" s="116">
        <v>4006991.06</v>
      </c>
    </row>
    <row r="15" spans="1:4">
      <c r="A15" t="s">
        <v>95</v>
      </c>
      <c r="B15" s="116">
        <v>5670833.2300000004</v>
      </c>
      <c r="C15" s="116">
        <v>506991.07</v>
      </c>
      <c r="D15" s="116">
        <v>6177824.3000000007</v>
      </c>
    </row>
    <row r="16" spans="1:4">
      <c r="A16" t="s">
        <v>5</v>
      </c>
      <c r="B16" s="116"/>
      <c r="C16" s="116">
        <v>2443035.6800000002</v>
      </c>
      <c r="D16" s="116">
        <v>2443035.6800000002</v>
      </c>
    </row>
    <row r="17" spans="1:4">
      <c r="A17" t="s">
        <v>103</v>
      </c>
      <c r="B17" s="116">
        <v>2102580.96</v>
      </c>
      <c r="C17" s="116">
        <v>1868808.43</v>
      </c>
      <c r="D17" s="116">
        <v>3971389.3899999997</v>
      </c>
    </row>
    <row r="18" spans="1:4">
      <c r="A18" t="s">
        <v>9</v>
      </c>
      <c r="B18" s="116">
        <v>735402.00000000012</v>
      </c>
      <c r="C18" s="116">
        <v>3294836.7499999995</v>
      </c>
      <c r="D18" s="116">
        <v>4030238.7499999995</v>
      </c>
    </row>
    <row r="19" spans="1:4">
      <c r="A19" t="s">
        <v>138</v>
      </c>
      <c r="B19" s="116"/>
      <c r="C19" s="116">
        <v>2646968.96</v>
      </c>
      <c r="D19" s="116">
        <v>2646968.96</v>
      </c>
    </row>
    <row r="20" spans="1:4">
      <c r="A20" t="s">
        <v>16</v>
      </c>
      <c r="B20" s="116">
        <v>245760.44</v>
      </c>
      <c r="C20" s="116">
        <v>1068184.1000000001</v>
      </c>
      <c r="D20" s="116">
        <v>1313944.54</v>
      </c>
    </row>
    <row r="21" spans="1:4">
      <c r="A21" t="s">
        <v>23</v>
      </c>
      <c r="B21" s="116">
        <v>333937.99</v>
      </c>
      <c r="C21" s="116">
        <v>5945341.3799999999</v>
      </c>
      <c r="D21" s="116">
        <v>6279279.3700000001</v>
      </c>
    </row>
    <row r="22" spans="1:4">
      <c r="A22" t="s">
        <v>168</v>
      </c>
      <c r="B22" s="116"/>
      <c r="C22" s="116">
        <v>831629.13</v>
      </c>
      <c r="D22" s="116">
        <v>831629.13</v>
      </c>
    </row>
    <row r="23" spans="1:4">
      <c r="A23" t="s">
        <v>175</v>
      </c>
      <c r="B23" s="116"/>
      <c r="C23" s="116">
        <v>7069987.1500000004</v>
      </c>
      <c r="D23" s="116">
        <v>7069987.1500000004</v>
      </c>
    </row>
    <row r="24" spans="1:4">
      <c r="A24" t="s">
        <v>183</v>
      </c>
      <c r="B24" s="116">
        <v>278257.14</v>
      </c>
      <c r="C24" s="116">
        <v>1862729.42</v>
      </c>
      <c r="D24" s="116">
        <v>2140986.56</v>
      </c>
    </row>
    <row r="25" spans="1:4">
      <c r="A25" t="s">
        <v>188</v>
      </c>
      <c r="B25" s="116">
        <v>208547.6</v>
      </c>
      <c r="C25" s="116">
        <v>2537290.19</v>
      </c>
      <c r="D25" s="116">
        <v>2745837.79</v>
      </c>
    </row>
    <row r="26" spans="1:4">
      <c r="A26" t="s">
        <v>19</v>
      </c>
      <c r="B26" s="116">
        <v>851750</v>
      </c>
      <c r="C26" s="116">
        <v>4557457.95</v>
      </c>
      <c r="D26" s="116">
        <v>5409207.9500000002</v>
      </c>
    </row>
    <row r="27" spans="1:4">
      <c r="A27" t="s">
        <v>155</v>
      </c>
      <c r="B27" s="116"/>
      <c r="C27" s="116">
        <v>2155210.2399999998</v>
      </c>
      <c r="D27" s="116">
        <v>2155210.2399999998</v>
      </c>
    </row>
    <row r="28" spans="1:4">
      <c r="A28" t="s">
        <v>1811</v>
      </c>
      <c r="B28" s="116"/>
      <c r="C28" s="116">
        <v>150000</v>
      </c>
      <c r="D28" s="116">
        <v>150000</v>
      </c>
    </row>
    <row r="29" spans="1:4">
      <c r="A29" t="s">
        <v>1672</v>
      </c>
      <c r="B29" s="116">
        <v>30000000.000000004</v>
      </c>
      <c r="C29" s="116">
        <v>50000000.000000007</v>
      </c>
      <c r="D29" s="116">
        <v>80000000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C4" sqref="C4"/>
    </sheetView>
  </sheetViews>
  <sheetFormatPr baseColWidth="10" defaultRowHeight="15"/>
  <cols>
    <col min="1" max="1" width="13.42578125" customWidth="1"/>
    <col min="2" max="17" width="20.7109375" customWidth="1"/>
  </cols>
  <sheetData>
    <row r="1" spans="1:10">
      <c r="A1" s="18" t="s">
        <v>1831</v>
      </c>
      <c r="B1" t="s">
        <v>1870</v>
      </c>
    </row>
    <row r="2" spans="1:10">
      <c r="A2" s="18" t="s">
        <v>1127</v>
      </c>
      <c r="B2" t="s">
        <v>1870</v>
      </c>
    </row>
    <row r="3" spans="1:10">
      <c r="A3" s="18" t="s">
        <v>1126</v>
      </c>
      <c r="B3" t="s">
        <v>1875</v>
      </c>
    </row>
    <row r="4" spans="1:10">
      <c r="A4" s="18" t="s">
        <v>1130</v>
      </c>
      <c r="B4" t="s">
        <v>375</v>
      </c>
    </row>
    <row r="5" spans="1:10">
      <c r="A5" s="18" t="s">
        <v>1128</v>
      </c>
      <c r="B5" t="s">
        <v>1875</v>
      </c>
    </row>
    <row r="7" spans="1:10">
      <c r="A7" s="18" t="s">
        <v>1871</v>
      </c>
      <c r="B7" s="18" t="s">
        <v>1673</v>
      </c>
    </row>
    <row r="8" spans="1:10">
      <c r="B8" t="s">
        <v>349</v>
      </c>
      <c r="D8" t="s">
        <v>1833</v>
      </c>
      <c r="E8" t="s">
        <v>352</v>
      </c>
      <c r="I8" t="s">
        <v>1869</v>
      </c>
      <c r="J8" t="s">
        <v>1672</v>
      </c>
    </row>
    <row r="9" spans="1:10">
      <c r="A9" s="18" t="s">
        <v>1671</v>
      </c>
      <c r="B9" t="s">
        <v>360</v>
      </c>
      <c r="C9" t="s">
        <v>350</v>
      </c>
      <c r="E9" t="s">
        <v>357</v>
      </c>
      <c r="F9" t="s">
        <v>355</v>
      </c>
      <c r="G9" t="s">
        <v>378</v>
      </c>
      <c r="H9" t="s">
        <v>353</v>
      </c>
    </row>
    <row r="10" spans="1:10">
      <c r="A10" s="19" t="s">
        <v>26</v>
      </c>
      <c r="B10" s="116"/>
      <c r="C10" s="116">
        <v>3945440.13</v>
      </c>
      <c r="D10" s="116">
        <v>3945440.13</v>
      </c>
      <c r="E10" s="116"/>
      <c r="F10" s="116">
        <v>103127.02</v>
      </c>
      <c r="G10" s="116"/>
      <c r="H10" s="116">
        <v>58829.48</v>
      </c>
      <c r="I10" s="116">
        <v>161956.5</v>
      </c>
      <c r="J10" s="116">
        <v>4107396.63</v>
      </c>
    </row>
    <row r="11" spans="1:10">
      <c r="A11" s="19" t="s">
        <v>0</v>
      </c>
      <c r="B11" s="116">
        <v>218175.7</v>
      </c>
      <c r="C11" s="116">
        <v>3222825.41</v>
      </c>
      <c r="D11" s="116">
        <v>3441001.1100000003</v>
      </c>
      <c r="E11" s="116"/>
      <c r="F11" s="116">
        <v>294250</v>
      </c>
      <c r="G11" s="116"/>
      <c r="H11" s="116"/>
      <c r="I11" s="116">
        <v>294250</v>
      </c>
      <c r="J11" s="116">
        <v>3735251.1100000003</v>
      </c>
    </row>
    <row r="12" spans="1:10">
      <c r="A12" s="19" t="s">
        <v>44</v>
      </c>
      <c r="B12" s="116">
        <v>403755.70000000007</v>
      </c>
      <c r="C12" s="116">
        <v>2981298.62</v>
      </c>
      <c r="D12" s="116">
        <v>3385054.3200000003</v>
      </c>
      <c r="E12" s="116"/>
      <c r="F12" s="116">
        <v>140273.32999999999</v>
      </c>
      <c r="G12" s="116">
        <v>105273.09</v>
      </c>
      <c r="H12" s="116"/>
      <c r="I12" s="116">
        <v>245546.41999999998</v>
      </c>
      <c r="J12" s="116">
        <v>3630600.74</v>
      </c>
    </row>
    <row r="13" spans="1:10">
      <c r="A13" s="19" t="s">
        <v>67</v>
      </c>
      <c r="B13" s="116"/>
      <c r="C13" s="116">
        <v>4083627.1</v>
      </c>
      <c r="D13" s="116">
        <v>4083627.1</v>
      </c>
      <c r="E13" s="116"/>
      <c r="F13" s="116"/>
      <c r="G13" s="116"/>
      <c r="H13" s="116"/>
      <c r="I13" s="116"/>
      <c r="J13" s="116">
        <v>4083627.1</v>
      </c>
    </row>
    <row r="14" spans="1:10">
      <c r="A14" s="19" t="s">
        <v>56</v>
      </c>
      <c r="B14" s="116">
        <v>459897.28</v>
      </c>
      <c r="C14" s="116">
        <v>2242155.0299999998</v>
      </c>
      <c r="D14" s="116">
        <v>2702052.3099999996</v>
      </c>
      <c r="E14" s="116"/>
      <c r="F14" s="116"/>
      <c r="G14" s="116"/>
      <c r="H14" s="116"/>
      <c r="I14" s="116"/>
      <c r="J14" s="116">
        <v>2702052.3099999996</v>
      </c>
    </row>
    <row r="15" spans="1:10">
      <c r="A15" s="19" t="s">
        <v>70</v>
      </c>
      <c r="B15" s="116">
        <v>930356.28</v>
      </c>
      <c r="C15" s="116">
        <v>1069127.6399999999</v>
      </c>
      <c r="D15" s="116">
        <v>1999483.92</v>
      </c>
      <c r="E15" s="116"/>
      <c r="F15" s="116"/>
      <c r="G15" s="116">
        <v>250420</v>
      </c>
      <c r="H15" s="116"/>
      <c r="I15" s="116">
        <v>250420</v>
      </c>
      <c r="J15" s="116">
        <v>2249903.92</v>
      </c>
    </row>
    <row r="16" spans="1:10">
      <c r="A16" s="19" t="s">
        <v>86</v>
      </c>
      <c r="B16" s="116">
        <v>401296.39999999997</v>
      </c>
      <c r="C16" s="116">
        <v>3048253.7</v>
      </c>
      <c r="D16" s="116">
        <v>3449550.1</v>
      </c>
      <c r="E16" s="116"/>
      <c r="F16" s="116"/>
      <c r="G16" s="116">
        <v>550449.89000000013</v>
      </c>
      <c r="H16" s="116"/>
      <c r="I16" s="116">
        <v>550449.89000000013</v>
      </c>
      <c r="J16" s="116">
        <v>3999999.99</v>
      </c>
    </row>
    <row r="17" spans="1:10">
      <c r="A17" s="19" t="s">
        <v>95</v>
      </c>
      <c r="B17" s="116"/>
      <c r="C17" s="116">
        <v>5670833.2300000004</v>
      </c>
      <c r="D17" s="116">
        <v>5670833.2300000004</v>
      </c>
      <c r="E17" s="116"/>
      <c r="F17" s="116"/>
      <c r="G17" s="116">
        <v>500000</v>
      </c>
      <c r="H17" s="116"/>
      <c r="I17" s="116">
        <v>500000</v>
      </c>
      <c r="J17" s="116">
        <v>6170833.2300000004</v>
      </c>
    </row>
    <row r="18" spans="1:10">
      <c r="A18" s="19" t="s">
        <v>5</v>
      </c>
      <c r="B18" s="116">
        <v>1127329.8399999999</v>
      </c>
      <c r="C18" s="116"/>
      <c r="D18" s="116">
        <v>1127329.8399999999</v>
      </c>
      <c r="E18" s="116"/>
      <c r="F18" s="116">
        <v>41000</v>
      </c>
      <c r="G18" s="116">
        <v>213600</v>
      </c>
      <c r="H18" s="116">
        <v>195000</v>
      </c>
      <c r="I18" s="116">
        <v>449600</v>
      </c>
      <c r="J18" s="116">
        <v>1576929.8399999999</v>
      </c>
    </row>
    <row r="19" spans="1:10">
      <c r="A19" s="19" t="s">
        <v>103</v>
      </c>
      <c r="B19" s="116">
        <v>1361817.36</v>
      </c>
      <c r="C19" s="116">
        <v>2102580.96</v>
      </c>
      <c r="D19" s="116">
        <v>3464398.3200000003</v>
      </c>
      <c r="E19" s="116"/>
      <c r="F19" s="116"/>
      <c r="G19" s="116">
        <v>500000</v>
      </c>
      <c r="H19" s="116"/>
      <c r="I19" s="116">
        <v>500000</v>
      </c>
      <c r="J19" s="116">
        <v>3964398.3200000003</v>
      </c>
    </row>
    <row r="20" spans="1:10">
      <c r="A20" s="19" t="s">
        <v>9</v>
      </c>
      <c r="B20" s="116">
        <v>1386937.3800000001</v>
      </c>
      <c r="C20" s="116">
        <v>1635402.0000000002</v>
      </c>
      <c r="D20" s="116">
        <v>3022339.3800000004</v>
      </c>
      <c r="E20" s="116"/>
      <c r="F20" s="116"/>
      <c r="G20" s="116">
        <v>504308.3</v>
      </c>
      <c r="H20" s="116">
        <v>496600</v>
      </c>
      <c r="I20" s="116">
        <v>1000908.3</v>
      </c>
      <c r="J20" s="116">
        <v>4023247.68</v>
      </c>
    </row>
    <row r="21" spans="1:10">
      <c r="A21" s="19" t="s">
        <v>138</v>
      </c>
      <c r="B21" s="116"/>
      <c r="C21" s="116">
        <v>2300000</v>
      </c>
      <c r="D21" s="116">
        <v>2300000</v>
      </c>
      <c r="E21" s="116">
        <v>312569</v>
      </c>
      <c r="F21" s="116"/>
      <c r="G21" s="116"/>
      <c r="H21" s="116"/>
      <c r="I21" s="116">
        <v>312569</v>
      </c>
      <c r="J21" s="116">
        <v>2612569</v>
      </c>
    </row>
    <row r="22" spans="1:10">
      <c r="A22" s="19" t="s">
        <v>16</v>
      </c>
      <c r="B22" s="116">
        <v>252112.24</v>
      </c>
      <c r="C22" s="116">
        <v>1043741.23</v>
      </c>
      <c r="D22" s="116">
        <v>1295853.47</v>
      </c>
      <c r="E22" s="116"/>
      <c r="F22" s="116"/>
      <c r="G22" s="116"/>
      <c r="H22" s="116"/>
      <c r="I22" s="116"/>
      <c r="J22" s="116">
        <v>1295853.47</v>
      </c>
    </row>
    <row r="23" spans="1:10">
      <c r="A23" s="19" t="s">
        <v>23</v>
      </c>
      <c r="B23" s="116">
        <v>298117.8</v>
      </c>
      <c r="C23" s="116">
        <v>333937.99</v>
      </c>
      <c r="D23" s="116">
        <v>632055.79</v>
      </c>
      <c r="E23" s="116"/>
      <c r="F23" s="116"/>
      <c r="G23" s="116">
        <v>975000</v>
      </c>
      <c r="H23" s="116">
        <v>520130</v>
      </c>
      <c r="I23" s="116">
        <v>1495130</v>
      </c>
      <c r="J23" s="116">
        <v>2127185.79</v>
      </c>
    </row>
    <row r="24" spans="1:10">
      <c r="A24" s="19" t="s">
        <v>168</v>
      </c>
      <c r="B24" s="116">
        <v>103285.49</v>
      </c>
      <c r="C24" s="116"/>
      <c r="D24" s="116">
        <v>103285.49</v>
      </c>
      <c r="E24" s="116"/>
      <c r="F24" s="116">
        <v>696428.57000000007</v>
      </c>
      <c r="G24" s="116"/>
      <c r="H24" s="116"/>
      <c r="I24" s="116">
        <v>696428.57000000007</v>
      </c>
      <c r="J24" s="116">
        <v>799714.06</v>
      </c>
    </row>
    <row r="25" spans="1:10">
      <c r="A25" s="19" t="s">
        <v>175</v>
      </c>
      <c r="B25" s="116">
        <v>4079306.3100000005</v>
      </c>
      <c r="C25" s="116"/>
      <c r="D25" s="116">
        <v>4079306.3100000005</v>
      </c>
      <c r="E25" s="116"/>
      <c r="F25" s="116"/>
      <c r="G25" s="116"/>
      <c r="H25" s="116"/>
      <c r="I25" s="116"/>
      <c r="J25" s="116">
        <v>4079306.3100000005</v>
      </c>
    </row>
    <row r="26" spans="1:10">
      <c r="A26" s="19" t="s">
        <v>183</v>
      </c>
      <c r="B26" s="116">
        <v>510514</v>
      </c>
      <c r="C26" s="116">
        <v>1387801.1400000001</v>
      </c>
      <c r="D26" s="116">
        <v>1898315.1400000001</v>
      </c>
      <c r="E26" s="116"/>
      <c r="F26" s="116"/>
      <c r="G26" s="116"/>
      <c r="H26" s="116"/>
      <c r="I26" s="116"/>
      <c r="J26" s="116">
        <v>1898315.1400000001</v>
      </c>
    </row>
    <row r="27" spans="1:10">
      <c r="A27" s="19" t="s">
        <v>188</v>
      </c>
      <c r="B27" s="116">
        <v>2263783.6</v>
      </c>
      <c r="C27" s="116">
        <v>378547.6</v>
      </c>
      <c r="D27" s="116">
        <v>2642331.2000000002</v>
      </c>
      <c r="E27" s="116"/>
      <c r="F27" s="116"/>
      <c r="G27" s="116"/>
      <c r="H27" s="116"/>
      <c r="I27" s="116"/>
      <c r="J27" s="116">
        <v>2642331.2000000002</v>
      </c>
    </row>
    <row r="28" spans="1:10">
      <c r="A28" s="19" t="s">
        <v>19</v>
      </c>
      <c r="B28" s="116">
        <v>1920179.5</v>
      </c>
      <c r="C28" s="116">
        <v>2825754.98</v>
      </c>
      <c r="D28" s="116">
        <v>4745934.4800000004</v>
      </c>
      <c r="E28" s="116"/>
      <c r="F28" s="116">
        <v>173854.77</v>
      </c>
      <c r="G28" s="116"/>
      <c r="H28" s="116"/>
      <c r="I28" s="116">
        <v>173854.77</v>
      </c>
      <c r="J28" s="116">
        <v>4919789.25</v>
      </c>
    </row>
    <row r="29" spans="1:10">
      <c r="A29" s="19" t="s">
        <v>155</v>
      </c>
      <c r="B29" s="116">
        <v>1917838.7599999998</v>
      </c>
      <c r="C29" s="116"/>
      <c r="D29" s="116">
        <v>1917838.7599999998</v>
      </c>
      <c r="E29" s="116"/>
      <c r="F29" s="116"/>
      <c r="G29" s="116"/>
      <c r="H29" s="116"/>
      <c r="I29" s="116"/>
      <c r="J29" s="116">
        <v>1917838.7599999998</v>
      </c>
    </row>
    <row r="30" spans="1:10">
      <c r="A30" s="19" t="s">
        <v>1672</v>
      </c>
      <c r="B30" s="116">
        <v>17634703.640000001</v>
      </c>
      <c r="C30" s="116">
        <v>38271326.759999998</v>
      </c>
      <c r="D30" s="116">
        <v>55906030.400000013</v>
      </c>
      <c r="E30" s="116">
        <v>312569</v>
      </c>
      <c r="F30" s="116">
        <v>1448933.69</v>
      </c>
      <c r="G30" s="116">
        <v>3599051.28</v>
      </c>
      <c r="H30" s="116">
        <v>1270559.48</v>
      </c>
      <c r="I30" s="116">
        <v>6631113.4500000002</v>
      </c>
      <c r="J30" s="116">
        <v>62537143.850000009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4"/>
  <sheetViews>
    <sheetView topLeftCell="B1" workbookViewId="0">
      <selection activeCell="F16" sqref="F16"/>
    </sheetView>
  </sheetViews>
  <sheetFormatPr baseColWidth="10" defaultRowHeight="15"/>
  <cols>
    <col min="1" max="1" width="20.28515625" style="119" customWidth="1"/>
    <col min="2" max="2" width="38" style="122" customWidth="1"/>
    <col min="3" max="7" width="20.7109375" style="117" customWidth="1"/>
    <col min="8" max="17" width="20.7109375" customWidth="1"/>
  </cols>
  <sheetData>
    <row r="1" spans="1:18" ht="45">
      <c r="A1" s="121" t="s">
        <v>1831</v>
      </c>
      <c r="B1" s="119" t="s">
        <v>1870</v>
      </c>
    </row>
    <row r="2" spans="1:18">
      <c r="A2" s="121" t="s">
        <v>1882</v>
      </c>
      <c r="B2" s="119" t="s">
        <v>1870</v>
      </c>
    </row>
    <row r="4" spans="1:18">
      <c r="B4" s="119"/>
      <c r="C4" s="18" t="s">
        <v>1673</v>
      </c>
      <c r="D4"/>
      <c r="E4"/>
      <c r="F4"/>
      <c r="G4"/>
    </row>
    <row r="5" spans="1:18">
      <c r="B5" s="119"/>
      <c r="C5" t="s">
        <v>351</v>
      </c>
      <c r="D5"/>
      <c r="E5" t="s">
        <v>1895</v>
      </c>
      <c r="F5" t="s">
        <v>1898</v>
      </c>
      <c r="G5" t="s">
        <v>354</v>
      </c>
      <c r="O5" t="s">
        <v>1896</v>
      </c>
      <c r="P5" t="s">
        <v>1899</v>
      </c>
      <c r="Q5" t="s">
        <v>1897</v>
      </c>
      <c r="R5" t="s">
        <v>1900</v>
      </c>
    </row>
    <row r="6" spans="1:18">
      <c r="B6" s="119"/>
      <c r="C6" t="s">
        <v>349</v>
      </c>
      <c r="D6"/>
      <c r="E6"/>
      <c r="F6"/>
      <c r="G6" t="s">
        <v>349</v>
      </c>
      <c r="I6" t="s">
        <v>352</v>
      </c>
      <c r="K6" t="s">
        <v>358</v>
      </c>
      <c r="M6" t="s">
        <v>362</v>
      </c>
    </row>
    <row r="7" spans="1:18">
      <c r="A7" s="121" t="s">
        <v>1671</v>
      </c>
      <c r="B7" s="121" t="s">
        <v>1128</v>
      </c>
      <c r="C7" t="s">
        <v>1894</v>
      </c>
      <c r="D7" t="s">
        <v>1901</v>
      </c>
      <c r="E7"/>
      <c r="F7"/>
      <c r="G7" t="s">
        <v>1894</v>
      </c>
      <c r="H7" t="s">
        <v>1901</v>
      </c>
      <c r="I7" t="s">
        <v>1894</v>
      </c>
      <c r="J7" t="s">
        <v>1901</v>
      </c>
      <c r="K7" t="s">
        <v>1894</v>
      </c>
      <c r="L7" t="s">
        <v>1901</v>
      </c>
      <c r="M7" t="s">
        <v>1894</v>
      </c>
      <c r="N7" t="s">
        <v>1901</v>
      </c>
    </row>
    <row r="8" spans="1:18" ht="30">
      <c r="A8" s="119" t="s">
        <v>26</v>
      </c>
      <c r="B8" s="119" t="s">
        <v>31</v>
      </c>
      <c r="C8" s="118"/>
      <c r="D8" s="118"/>
      <c r="E8" s="118"/>
      <c r="F8" s="118"/>
      <c r="G8" s="118"/>
      <c r="H8" s="118"/>
      <c r="I8" s="118">
        <v>829.4800000000032</v>
      </c>
      <c r="J8" s="118">
        <v>0</v>
      </c>
      <c r="K8" s="118"/>
      <c r="L8" s="118"/>
      <c r="M8" s="118"/>
      <c r="N8" s="118"/>
      <c r="O8" s="118">
        <v>829.4800000000032</v>
      </c>
      <c r="P8" s="118">
        <v>0</v>
      </c>
      <c r="Q8" s="118">
        <v>829.4800000000032</v>
      </c>
      <c r="R8" s="118">
        <v>0</v>
      </c>
    </row>
    <row r="9" spans="1:18" ht="75">
      <c r="A9" s="119" t="s">
        <v>26</v>
      </c>
      <c r="B9" s="119" t="s">
        <v>43</v>
      </c>
      <c r="C9" s="118"/>
      <c r="D9" s="118"/>
      <c r="E9" s="118"/>
      <c r="F9" s="118"/>
      <c r="G9" s="118"/>
      <c r="H9" s="118"/>
      <c r="I9" s="118">
        <v>3.2700000000040745</v>
      </c>
      <c r="J9" s="118">
        <v>0</v>
      </c>
      <c r="K9" s="118"/>
      <c r="L9" s="118"/>
      <c r="M9" s="118"/>
      <c r="N9" s="118"/>
      <c r="O9" s="118">
        <v>3.2700000000040745</v>
      </c>
      <c r="P9" s="118">
        <v>0</v>
      </c>
      <c r="Q9" s="118">
        <v>3.2700000000040745</v>
      </c>
      <c r="R9" s="118">
        <v>0</v>
      </c>
    </row>
    <row r="10" spans="1:18" ht="30">
      <c r="A10" s="119" t="s">
        <v>26</v>
      </c>
      <c r="B10" s="119" t="s">
        <v>29</v>
      </c>
      <c r="C10" s="118"/>
      <c r="D10" s="118">
        <v>0</v>
      </c>
      <c r="E10" s="118"/>
      <c r="F10" s="118">
        <v>0</v>
      </c>
      <c r="G10" s="118"/>
      <c r="H10" s="118"/>
      <c r="I10" s="118"/>
      <c r="J10" s="118"/>
      <c r="K10" s="118"/>
      <c r="L10" s="118"/>
      <c r="M10" s="118"/>
      <c r="N10" s="118"/>
      <c r="O10" s="118"/>
      <c r="P10" s="118"/>
      <c r="Q10" s="118"/>
      <c r="R10" s="118">
        <v>0</v>
      </c>
    </row>
    <row r="11" spans="1:18" ht="45">
      <c r="A11" s="119" t="s">
        <v>26</v>
      </c>
      <c r="B11" s="119" t="s">
        <v>25</v>
      </c>
      <c r="C11" s="118"/>
      <c r="D11" s="118"/>
      <c r="E11" s="118"/>
      <c r="F11" s="118"/>
      <c r="G11" s="118"/>
      <c r="H11" s="118"/>
      <c r="I11" s="118"/>
      <c r="J11" s="118"/>
      <c r="K11" s="118">
        <v>0</v>
      </c>
      <c r="L11" s="118">
        <v>0</v>
      </c>
      <c r="M11" s="118"/>
      <c r="N11" s="118"/>
      <c r="O11" s="118">
        <v>0</v>
      </c>
      <c r="P11" s="118">
        <v>0</v>
      </c>
      <c r="Q11" s="118">
        <v>0</v>
      </c>
      <c r="R11" s="118">
        <v>0</v>
      </c>
    </row>
    <row r="12" spans="1:18">
      <c r="A12" s="119" t="s">
        <v>1039</v>
      </c>
      <c r="B12" t="s">
        <v>1874</v>
      </c>
      <c r="C12" s="118"/>
      <c r="D12" s="118"/>
      <c r="E12" s="118"/>
      <c r="F12" s="118"/>
      <c r="G12" s="118"/>
      <c r="H12" s="118"/>
      <c r="I12" s="118"/>
      <c r="J12" s="118">
        <v>0</v>
      </c>
      <c r="K12" s="118"/>
      <c r="L12" s="118"/>
      <c r="M12" s="118"/>
      <c r="N12" s="118"/>
      <c r="O12" s="118"/>
      <c r="P12" s="118">
        <v>0</v>
      </c>
      <c r="Q12" s="118"/>
      <c r="R12" s="118">
        <v>0</v>
      </c>
    </row>
    <row r="13" spans="1:18" ht="30">
      <c r="A13" s="119" t="s">
        <v>0</v>
      </c>
      <c r="B13" s="119" t="s">
        <v>41</v>
      </c>
      <c r="C13" s="118"/>
      <c r="D13" s="118"/>
      <c r="E13" s="118"/>
      <c r="F13" s="118"/>
      <c r="G13" s="118">
        <v>23582.940000000002</v>
      </c>
      <c r="H13" s="118">
        <v>0</v>
      </c>
      <c r="I13" s="118"/>
      <c r="J13" s="118"/>
      <c r="K13" s="118"/>
      <c r="L13" s="118"/>
      <c r="M13" s="118"/>
      <c r="N13" s="118"/>
      <c r="O13" s="118">
        <v>23582.940000000002</v>
      </c>
      <c r="P13" s="118">
        <v>0</v>
      </c>
      <c r="Q13" s="118">
        <v>23582.940000000002</v>
      </c>
      <c r="R13" s="118">
        <v>0</v>
      </c>
    </row>
    <row r="14" spans="1:18" ht="30">
      <c r="A14" s="119" t="s">
        <v>0</v>
      </c>
      <c r="B14" s="119" t="s">
        <v>39</v>
      </c>
      <c r="C14" s="118">
        <v>155694.35999999999</v>
      </c>
      <c r="D14" s="118">
        <v>0</v>
      </c>
      <c r="E14" s="118">
        <v>155694.35999999999</v>
      </c>
      <c r="F14" s="118">
        <v>0</v>
      </c>
      <c r="G14" s="118"/>
      <c r="H14" s="118"/>
      <c r="I14" s="118"/>
      <c r="J14" s="118"/>
      <c r="K14" s="118"/>
      <c r="L14" s="118"/>
      <c r="M14" s="118"/>
      <c r="N14" s="118"/>
      <c r="O14" s="118"/>
      <c r="P14" s="118"/>
      <c r="Q14" s="118">
        <v>155694.35999999999</v>
      </c>
      <c r="R14" s="118">
        <v>0</v>
      </c>
    </row>
    <row r="15" spans="1:18" ht="30">
      <c r="A15" s="119" t="s">
        <v>0</v>
      </c>
      <c r="B15" s="119" t="s">
        <v>1888</v>
      </c>
      <c r="C15" s="118"/>
      <c r="D15" s="118"/>
      <c r="E15" s="118"/>
      <c r="F15" s="118"/>
      <c r="G15" s="118">
        <v>9966.3799999999974</v>
      </c>
      <c r="H15" s="118">
        <v>0</v>
      </c>
      <c r="I15" s="118"/>
      <c r="J15" s="118"/>
      <c r="K15" s="118"/>
      <c r="L15" s="118"/>
      <c r="M15" s="118"/>
      <c r="N15" s="118"/>
      <c r="O15" s="118">
        <v>9966.3799999999974</v>
      </c>
      <c r="P15" s="118">
        <v>0</v>
      </c>
      <c r="Q15" s="118">
        <v>9966.3799999999974</v>
      </c>
      <c r="R15" s="118">
        <v>0</v>
      </c>
    </row>
    <row r="16" spans="1:18" ht="45">
      <c r="A16" s="119" t="s">
        <v>0</v>
      </c>
      <c r="B16" s="119" t="s">
        <v>37</v>
      </c>
      <c r="C16" s="118"/>
      <c r="D16" s="118"/>
      <c r="E16" s="118"/>
      <c r="F16" s="118"/>
      <c r="G16" s="118"/>
      <c r="H16" s="118"/>
      <c r="I16" s="118">
        <v>14020.760000000009</v>
      </c>
      <c r="J16" s="118">
        <v>0</v>
      </c>
      <c r="K16" s="118"/>
      <c r="L16" s="118"/>
      <c r="M16" s="118"/>
      <c r="N16" s="118"/>
      <c r="O16" s="118">
        <v>14020.760000000009</v>
      </c>
      <c r="P16" s="118">
        <v>0</v>
      </c>
      <c r="Q16" s="118">
        <v>14020.760000000009</v>
      </c>
      <c r="R16" s="118">
        <v>0</v>
      </c>
    </row>
    <row r="17" spans="1:18" ht="30">
      <c r="A17" s="119" t="s">
        <v>0</v>
      </c>
      <c r="B17" s="119" t="s">
        <v>35</v>
      </c>
      <c r="C17" s="118">
        <v>0</v>
      </c>
      <c r="D17" s="118">
        <v>0</v>
      </c>
      <c r="E17" s="118">
        <v>0</v>
      </c>
      <c r="F17" s="118">
        <v>0</v>
      </c>
      <c r="G17" s="118"/>
      <c r="H17" s="118"/>
      <c r="I17" s="118"/>
      <c r="J17" s="118"/>
      <c r="K17" s="118"/>
      <c r="L17" s="118"/>
      <c r="M17" s="118"/>
      <c r="N17" s="118"/>
      <c r="O17" s="118"/>
      <c r="P17" s="118"/>
      <c r="Q17" s="118">
        <v>0</v>
      </c>
      <c r="R17" s="118">
        <v>0</v>
      </c>
    </row>
    <row r="18" spans="1:18" ht="30">
      <c r="A18" s="119" t="s">
        <v>0</v>
      </c>
      <c r="B18" s="119" t="s">
        <v>33</v>
      </c>
      <c r="C18" s="118">
        <v>395748.55000000005</v>
      </c>
      <c r="D18" s="118">
        <v>0</v>
      </c>
      <c r="E18" s="118">
        <v>395748.55000000005</v>
      </c>
      <c r="F18" s="118">
        <v>0</v>
      </c>
      <c r="G18" s="118"/>
      <c r="H18" s="118"/>
      <c r="I18" s="118"/>
      <c r="J18" s="118"/>
      <c r="K18" s="118"/>
      <c r="L18" s="118"/>
      <c r="M18" s="118"/>
      <c r="N18" s="118"/>
      <c r="O18" s="118"/>
      <c r="P18" s="118"/>
      <c r="Q18" s="118">
        <v>395748.55000000005</v>
      </c>
      <c r="R18" s="118">
        <v>0</v>
      </c>
    </row>
    <row r="19" spans="1:18" ht="45">
      <c r="A19" s="119" t="s">
        <v>0</v>
      </c>
      <c r="B19" s="119" t="s">
        <v>25</v>
      </c>
      <c r="C19" s="118"/>
      <c r="D19" s="118"/>
      <c r="E19" s="118"/>
      <c r="F19" s="118"/>
      <c r="G19" s="118"/>
      <c r="H19" s="118"/>
      <c r="I19" s="118"/>
      <c r="J19" s="118"/>
      <c r="K19" s="118">
        <v>0</v>
      </c>
      <c r="L19" s="118">
        <v>0</v>
      </c>
      <c r="M19" s="118"/>
      <c r="N19" s="118"/>
      <c r="O19" s="118">
        <v>0</v>
      </c>
      <c r="P19" s="118">
        <v>0</v>
      </c>
      <c r="Q19" s="118">
        <v>0</v>
      </c>
      <c r="R19" s="118">
        <v>0</v>
      </c>
    </row>
    <row r="20" spans="1:18" ht="30">
      <c r="A20" s="119" t="s">
        <v>44</v>
      </c>
      <c r="B20" s="119" t="s">
        <v>46</v>
      </c>
      <c r="C20" s="118">
        <v>136362.33000000007</v>
      </c>
      <c r="D20" s="118">
        <v>197695.84</v>
      </c>
      <c r="E20" s="118">
        <v>136362.33000000007</v>
      </c>
      <c r="F20" s="118">
        <v>197695.84</v>
      </c>
      <c r="G20" s="118"/>
      <c r="H20" s="118"/>
      <c r="I20" s="118"/>
      <c r="J20" s="118"/>
      <c r="K20" s="118"/>
      <c r="L20" s="118"/>
      <c r="M20" s="118"/>
      <c r="N20" s="118"/>
      <c r="O20" s="118"/>
      <c r="P20" s="118"/>
      <c r="Q20" s="118">
        <v>136362.33000000007</v>
      </c>
      <c r="R20" s="118">
        <v>197695.84</v>
      </c>
    </row>
    <row r="21" spans="1:18">
      <c r="A21" s="119" t="s">
        <v>44</v>
      </c>
      <c r="B21" s="119" t="s">
        <v>48</v>
      </c>
      <c r="C21" s="118"/>
      <c r="D21" s="118"/>
      <c r="E21" s="118"/>
      <c r="F21" s="118"/>
      <c r="G21" s="118">
        <v>13715.190000000015</v>
      </c>
      <c r="H21" s="118">
        <v>0</v>
      </c>
      <c r="I21" s="118"/>
      <c r="J21" s="118"/>
      <c r="K21" s="118"/>
      <c r="L21" s="118"/>
      <c r="M21" s="118"/>
      <c r="N21" s="118"/>
      <c r="O21" s="118">
        <v>13715.190000000015</v>
      </c>
      <c r="P21" s="118">
        <v>0</v>
      </c>
      <c r="Q21" s="118">
        <v>13715.190000000015</v>
      </c>
      <c r="R21" s="118">
        <v>0</v>
      </c>
    </row>
    <row r="22" spans="1:18" ht="30">
      <c r="A22" s="119" t="s">
        <v>44</v>
      </c>
      <c r="B22" s="119" t="s">
        <v>50</v>
      </c>
      <c r="C22" s="118"/>
      <c r="D22" s="118"/>
      <c r="E22" s="118"/>
      <c r="F22" s="118"/>
      <c r="G22" s="118">
        <v>33824.039999999994</v>
      </c>
      <c r="H22" s="118">
        <v>0</v>
      </c>
      <c r="I22" s="118"/>
      <c r="J22" s="118"/>
      <c r="K22" s="118"/>
      <c r="L22" s="118"/>
      <c r="M22" s="118"/>
      <c r="N22" s="118"/>
      <c r="O22" s="118">
        <v>33824.039999999994</v>
      </c>
      <c r="P22" s="118">
        <v>0</v>
      </c>
      <c r="Q22" s="118">
        <v>33824.039999999994</v>
      </c>
      <c r="R22" s="118">
        <v>0</v>
      </c>
    </row>
    <row r="23" spans="1:18" ht="60">
      <c r="A23" s="119" t="s">
        <v>44</v>
      </c>
      <c r="B23" s="119" t="s">
        <v>52</v>
      </c>
      <c r="C23" s="118"/>
      <c r="D23" s="118"/>
      <c r="E23" s="118"/>
      <c r="F23" s="118"/>
      <c r="G23" s="118"/>
      <c r="H23" s="118"/>
      <c r="I23" s="118">
        <v>14755.270000000002</v>
      </c>
      <c r="J23" s="118">
        <v>0</v>
      </c>
      <c r="K23" s="118"/>
      <c r="L23" s="118"/>
      <c r="M23" s="118"/>
      <c r="N23" s="118"/>
      <c r="O23" s="118">
        <v>14755.270000000002</v>
      </c>
      <c r="P23" s="118">
        <v>0</v>
      </c>
      <c r="Q23" s="118">
        <v>14755.270000000002</v>
      </c>
      <c r="R23" s="118">
        <v>0</v>
      </c>
    </row>
    <row r="24" spans="1:18" ht="60">
      <c r="A24" s="119" t="s">
        <v>44</v>
      </c>
      <c r="B24" s="119" t="s">
        <v>54</v>
      </c>
      <c r="C24" s="118"/>
      <c r="D24" s="118"/>
      <c r="E24" s="118"/>
      <c r="F24" s="118"/>
      <c r="G24" s="118"/>
      <c r="H24" s="118"/>
      <c r="I24" s="118">
        <v>14892.229999999985</v>
      </c>
      <c r="J24" s="118">
        <v>0</v>
      </c>
      <c r="K24" s="118"/>
      <c r="L24" s="118"/>
      <c r="M24" s="118"/>
      <c r="N24" s="118"/>
      <c r="O24" s="118">
        <v>14892.229999999985</v>
      </c>
      <c r="P24" s="118">
        <v>0</v>
      </c>
      <c r="Q24" s="118">
        <v>14892.229999999985</v>
      </c>
      <c r="R24" s="118">
        <v>0</v>
      </c>
    </row>
    <row r="25" spans="1:18" ht="45">
      <c r="A25" s="119" t="s">
        <v>44</v>
      </c>
      <c r="B25" s="119" t="s">
        <v>25</v>
      </c>
      <c r="C25" s="118"/>
      <c r="D25" s="118"/>
      <c r="E25" s="118"/>
      <c r="F25" s="118"/>
      <c r="G25" s="118"/>
      <c r="H25" s="118"/>
      <c r="I25" s="118"/>
      <c r="J25" s="118"/>
      <c r="K25" s="118">
        <v>0</v>
      </c>
      <c r="L25" s="118">
        <v>0</v>
      </c>
      <c r="M25" s="118"/>
      <c r="N25" s="118"/>
      <c r="O25" s="118">
        <v>0</v>
      </c>
      <c r="P25" s="118">
        <v>0</v>
      </c>
      <c r="Q25" s="118">
        <v>0</v>
      </c>
      <c r="R25" s="118">
        <v>0</v>
      </c>
    </row>
    <row r="26" spans="1:18" ht="60">
      <c r="A26" s="119" t="s">
        <v>44</v>
      </c>
      <c r="B26" s="119" t="s">
        <v>55</v>
      </c>
      <c r="C26" s="118"/>
      <c r="D26" s="118"/>
      <c r="E26" s="118"/>
      <c r="F26" s="118"/>
      <c r="G26" s="118">
        <v>19747.330000000002</v>
      </c>
      <c r="H26" s="118">
        <v>0</v>
      </c>
      <c r="I26" s="118"/>
      <c r="J26" s="118"/>
      <c r="K26" s="118"/>
      <c r="L26" s="118"/>
      <c r="M26" s="118"/>
      <c r="N26" s="118"/>
      <c r="O26" s="118">
        <v>19747.330000000002</v>
      </c>
      <c r="P26" s="118">
        <v>0</v>
      </c>
      <c r="Q26" s="118">
        <v>19747.330000000002</v>
      </c>
      <c r="R26" s="118">
        <v>0</v>
      </c>
    </row>
    <row r="27" spans="1:18" ht="60">
      <c r="A27" s="119" t="s">
        <v>67</v>
      </c>
      <c r="B27" s="119" t="s">
        <v>69</v>
      </c>
      <c r="C27" s="118"/>
      <c r="D27" s="118">
        <v>0</v>
      </c>
      <c r="E27" s="118"/>
      <c r="F27" s="118">
        <v>0</v>
      </c>
      <c r="G27" s="118"/>
      <c r="H27" s="118"/>
      <c r="I27" s="118"/>
      <c r="J27" s="118"/>
      <c r="K27" s="118"/>
      <c r="L27" s="118"/>
      <c r="M27" s="118"/>
      <c r="N27" s="118"/>
      <c r="O27" s="118"/>
      <c r="P27" s="118"/>
      <c r="Q27" s="118"/>
      <c r="R27" s="118">
        <v>0</v>
      </c>
    </row>
    <row r="28" spans="1:18" ht="45">
      <c r="A28" s="119" t="s">
        <v>67</v>
      </c>
      <c r="B28" s="119" t="s">
        <v>25</v>
      </c>
      <c r="C28" s="118"/>
      <c r="D28" s="118"/>
      <c r="E28" s="118"/>
      <c r="F28" s="118"/>
      <c r="G28" s="118"/>
      <c r="H28" s="118"/>
      <c r="I28" s="118"/>
      <c r="J28" s="118"/>
      <c r="K28" s="118">
        <v>0</v>
      </c>
      <c r="L28" s="118">
        <v>0</v>
      </c>
      <c r="M28" s="118"/>
      <c r="N28" s="118"/>
      <c r="O28" s="118">
        <v>0</v>
      </c>
      <c r="P28" s="118">
        <v>0</v>
      </c>
      <c r="Q28" s="118">
        <v>0</v>
      </c>
      <c r="R28" s="118">
        <v>0</v>
      </c>
    </row>
    <row r="29" spans="1:18" ht="30">
      <c r="A29" s="119" t="s">
        <v>56</v>
      </c>
      <c r="B29" s="119" t="s">
        <v>65</v>
      </c>
      <c r="C29" s="118"/>
      <c r="D29" s="118"/>
      <c r="E29" s="118"/>
      <c r="F29" s="118"/>
      <c r="G29" s="118">
        <v>2856.4499999999971</v>
      </c>
      <c r="H29" s="118">
        <v>0</v>
      </c>
      <c r="I29" s="118"/>
      <c r="J29" s="118"/>
      <c r="K29" s="118"/>
      <c r="L29" s="118"/>
      <c r="M29" s="118"/>
      <c r="N29" s="118"/>
      <c r="O29" s="118">
        <v>2856.4499999999971</v>
      </c>
      <c r="P29" s="118">
        <v>0</v>
      </c>
      <c r="Q29" s="118">
        <v>2856.4499999999971</v>
      </c>
      <c r="R29" s="118">
        <v>0</v>
      </c>
    </row>
    <row r="30" spans="1:18" ht="30">
      <c r="A30" s="119" t="s">
        <v>56</v>
      </c>
      <c r="B30" s="119" t="s">
        <v>66</v>
      </c>
      <c r="C30" s="118"/>
      <c r="D30" s="118"/>
      <c r="E30" s="118"/>
      <c r="F30" s="118"/>
      <c r="G30" s="118"/>
      <c r="H30" s="118">
        <v>0</v>
      </c>
      <c r="I30" s="118"/>
      <c r="J30" s="118"/>
      <c r="K30" s="118"/>
      <c r="L30" s="118"/>
      <c r="M30" s="118"/>
      <c r="N30" s="118"/>
      <c r="O30" s="118"/>
      <c r="P30" s="118">
        <v>0</v>
      </c>
      <c r="Q30" s="118"/>
      <c r="R30" s="118">
        <v>0</v>
      </c>
    </row>
    <row r="31" spans="1:18" ht="45">
      <c r="A31" s="119" t="s">
        <v>56</v>
      </c>
      <c r="B31" s="119" t="s">
        <v>63</v>
      </c>
      <c r="C31" s="118">
        <v>31383.089999999997</v>
      </c>
      <c r="D31" s="118">
        <v>0</v>
      </c>
      <c r="E31" s="118">
        <v>31383.089999999997</v>
      </c>
      <c r="F31" s="118">
        <v>0</v>
      </c>
      <c r="G31" s="118"/>
      <c r="H31" s="118"/>
      <c r="I31" s="118"/>
      <c r="J31" s="118"/>
      <c r="K31" s="118"/>
      <c r="L31" s="118"/>
      <c r="M31" s="118"/>
      <c r="N31" s="118"/>
      <c r="O31" s="118"/>
      <c r="P31" s="118"/>
      <c r="Q31" s="118">
        <v>31383.089999999997</v>
      </c>
      <c r="R31" s="118">
        <v>0</v>
      </c>
    </row>
    <row r="32" spans="1:18" ht="30">
      <c r="A32" s="119" t="s">
        <v>56</v>
      </c>
      <c r="B32" s="119" t="s">
        <v>421</v>
      </c>
      <c r="C32" s="118"/>
      <c r="D32" s="118"/>
      <c r="E32" s="118"/>
      <c r="F32" s="118"/>
      <c r="G32" s="118"/>
      <c r="H32" s="118">
        <v>0</v>
      </c>
      <c r="I32" s="118"/>
      <c r="J32" s="118"/>
      <c r="K32" s="118"/>
      <c r="L32" s="118"/>
      <c r="M32" s="118"/>
      <c r="N32" s="118"/>
      <c r="O32" s="118"/>
      <c r="P32" s="118">
        <v>0</v>
      </c>
      <c r="Q32" s="118"/>
      <c r="R32" s="118">
        <v>0</v>
      </c>
    </row>
    <row r="33" spans="1:18" ht="30">
      <c r="A33" s="119" t="s">
        <v>56</v>
      </c>
      <c r="B33" s="119" t="s">
        <v>419</v>
      </c>
      <c r="C33" s="118"/>
      <c r="D33" s="118"/>
      <c r="E33" s="118"/>
      <c r="F33" s="118"/>
      <c r="G33" s="118">
        <v>2453.7700000000041</v>
      </c>
      <c r="H33" s="118">
        <v>0</v>
      </c>
      <c r="I33" s="118"/>
      <c r="J33" s="118"/>
      <c r="K33" s="118"/>
      <c r="L33" s="118"/>
      <c r="M33" s="118"/>
      <c r="N33" s="118"/>
      <c r="O33" s="118">
        <v>2453.7700000000041</v>
      </c>
      <c r="P33" s="118">
        <v>0</v>
      </c>
      <c r="Q33" s="118">
        <v>2453.7700000000041</v>
      </c>
      <c r="R33" s="118">
        <v>0</v>
      </c>
    </row>
    <row r="34" spans="1:18" ht="30">
      <c r="A34" s="119" t="s">
        <v>56</v>
      </c>
      <c r="B34" s="119" t="s">
        <v>420</v>
      </c>
      <c r="C34" s="118"/>
      <c r="D34" s="118"/>
      <c r="E34" s="118"/>
      <c r="F34" s="118"/>
      <c r="G34" s="118"/>
      <c r="H34" s="118">
        <v>0</v>
      </c>
      <c r="I34" s="118"/>
      <c r="J34" s="118"/>
      <c r="K34" s="118"/>
      <c r="L34" s="118"/>
      <c r="M34" s="118"/>
      <c r="N34" s="118"/>
      <c r="O34" s="118"/>
      <c r="P34" s="118">
        <v>0</v>
      </c>
      <c r="Q34" s="118"/>
      <c r="R34" s="118">
        <v>0</v>
      </c>
    </row>
    <row r="35" spans="1:18" ht="45">
      <c r="A35" s="119" t="s">
        <v>56</v>
      </c>
      <c r="B35" s="119" t="s">
        <v>417</v>
      </c>
      <c r="C35" s="118">
        <v>5485.2499999999527</v>
      </c>
      <c r="D35" s="118">
        <v>0</v>
      </c>
      <c r="E35" s="118">
        <v>5485.2499999999527</v>
      </c>
      <c r="F35" s="118">
        <v>0</v>
      </c>
      <c r="G35" s="118"/>
      <c r="H35" s="118"/>
      <c r="I35" s="118"/>
      <c r="J35" s="118"/>
      <c r="K35" s="118"/>
      <c r="L35" s="118"/>
      <c r="M35" s="118"/>
      <c r="N35" s="118"/>
      <c r="O35" s="118"/>
      <c r="P35" s="118"/>
      <c r="Q35" s="118">
        <v>5485.2499999999527</v>
      </c>
      <c r="R35" s="118">
        <v>0</v>
      </c>
    </row>
    <row r="36" spans="1:18" ht="45">
      <c r="A36" s="119" t="s">
        <v>56</v>
      </c>
      <c r="B36" s="119" t="s">
        <v>415</v>
      </c>
      <c r="C36" s="118">
        <v>0</v>
      </c>
      <c r="D36" s="118">
        <v>80773.569999999949</v>
      </c>
      <c r="E36" s="118">
        <v>0</v>
      </c>
      <c r="F36" s="118">
        <v>80773.569999999949</v>
      </c>
      <c r="G36" s="118"/>
      <c r="H36" s="118"/>
      <c r="I36" s="118"/>
      <c r="J36" s="118"/>
      <c r="K36" s="118"/>
      <c r="L36" s="118"/>
      <c r="M36" s="118"/>
      <c r="N36" s="118"/>
      <c r="O36" s="118"/>
      <c r="P36" s="118"/>
      <c r="Q36" s="118">
        <v>0</v>
      </c>
      <c r="R36" s="118">
        <v>80773.569999999949</v>
      </c>
    </row>
    <row r="37" spans="1:18" ht="45">
      <c r="A37" s="119" t="s">
        <v>56</v>
      </c>
      <c r="B37" s="119" t="s">
        <v>413</v>
      </c>
      <c r="C37" s="118">
        <v>100</v>
      </c>
      <c r="D37" s="118">
        <v>68907.420000000042</v>
      </c>
      <c r="E37" s="118">
        <v>100</v>
      </c>
      <c r="F37" s="118">
        <v>68907.420000000042</v>
      </c>
      <c r="G37" s="118"/>
      <c r="H37" s="118"/>
      <c r="I37" s="118"/>
      <c r="J37" s="118"/>
      <c r="K37" s="118"/>
      <c r="L37" s="118"/>
      <c r="M37" s="118"/>
      <c r="N37" s="118"/>
      <c r="O37" s="118"/>
      <c r="P37" s="118"/>
      <c r="Q37" s="118">
        <v>100</v>
      </c>
      <c r="R37" s="118">
        <v>68907.420000000042</v>
      </c>
    </row>
    <row r="38" spans="1:18" ht="45">
      <c r="A38" s="119" t="s">
        <v>56</v>
      </c>
      <c r="B38" s="119" t="s">
        <v>418</v>
      </c>
      <c r="C38" s="118"/>
      <c r="D38" s="118">
        <v>0</v>
      </c>
      <c r="E38" s="118"/>
      <c r="F38" s="118">
        <v>0</v>
      </c>
      <c r="G38" s="118"/>
      <c r="H38" s="118"/>
      <c r="I38" s="118"/>
      <c r="J38" s="118"/>
      <c r="K38" s="118"/>
      <c r="L38" s="118"/>
      <c r="M38" s="118"/>
      <c r="N38" s="118"/>
      <c r="O38" s="118"/>
      <c r="P38" s="118"/>
      <c r="Q38" s="118"/>
      <c r="R38" s="118">
        <v>0</v>
      </c>
    </row>
    <row r="39" spans="1:18" ht="45">
      <c r="A39" s="119" t="s">
        <v>56</v>
      </c>
      <c r="B39" s="119" t="s">
        <v>414</v>
      </c>
      <c r="C39" s="118"/>
      <c r="D39" s="118">
        <v>0</v>
      </c>
      <c r="E39" s="118"/>
      <c r="F39" s="118">
        <v>0</v>
      </c>
      <c r="G39" s="118"/>
      <c r="H39" s="118"/>
      <c r="I39" s="118"/>
      <c r="J39" s="118"/>
      <c r="K39" s="118"/>
      <c r="L39" s="118"/>
      <c r="M39" s="118"/>
      <c r="N39" s="118"/>
      <c r="O39" s="118"/>
      <c r="P39" s="118"/>
      <c r="Q39" s="118"/>
      <c r="R39" s="118">
        <v>0</v>
      </c>
    </row>
    <row r="40" spans="1:18" ht="45">
      <c r="A40" s="119" t="s">
        <v>56</v>
      </c>
      <c r="B40" s="119" t="s">
        <v>416</v>
      </c>
      <c r="C40" s="118"/>
      <c r="D40" s="118">
        <v>0</v>
      </c>
      <c r="E40" s="118"/>
      <c r="F40" s="118">
        <v>0</v>
      </c>
      <c r="G40" s="118"/>
      <c r="H40" s="118"/>
      <c r="I40" s="118"/>
      <c r="J40" s="118"/>
      <c r="K40" s="118"/>
      <c r="L40" s="118"/>
      <c r="M40" s="118"/>
      <c r="N40" s="118"/>
      <c r="O40" s="118"/>
      <c r="P40" s="118"/>
      <c r="Q40" s="118"/>
      <c r="R40" s="118">
        <v>0</v>
      </c>
    </row>
    <row r="41" spans="1:18" ht="45">
      <c r="A41" s="119" t="s">
        <v>56</v>
      </c>
      <c r="B41" s="119" t="s">
        <v>25</v>
      </c>
      <c r="C41" s="118"/>
      <c r="D41" s="118"/>
      <c r="E41" s="118"/>
      <c r="F41" s="118"/>
      <c r="G41" s="118"/>
      <c r="H41" s="118"/>
      <c r="I41" s="118"/>
      <c r="J41" s="118"/>
      <c r="K41" s="118">
        <v>0</v>
      </c>
      <c r="L41" s="118">
        <v>0</v>
      </c>
      <c r="M41" s="118"/>
      <c r="N41" s="118"/>
      <c r="O41" s="118">
        <v>0</v>
      </c>
      <c r="P41" s="118">
        <v>0</v>
      </c>
      <c r="Q41" s="118">
        <v>0</v>
      </c>
      <c r="R41" s="118">
        <v>0</v>
      </c>
    </row>
    <row r="42" spans="1:18" ht="30">
      <c r="A42" s="119" t="s">
        <v>70</v>
      </c>
      <c r="B42" s="119" t="s">
        <v>77</v>
      </c>
      <c r="C42" s="118"/>
      <c r="D42" s="118"/>
      <c r="E42" s="118"/>
      <c r="F42" s="118"/>
      <c r="G42" s="118">
        <v>12180.630000000005</v>
      </c>
      <c r="H42" s="118">
        <v>0</v>
      </c>
      <c r="I42" s="118"/>
      <c r="J42" s="118"/>
      <c r="K42" s="118"/>
      <c r="L42" s="118"/>
      <c r="M42" s="118"/>
      <c r="N42" s="118"/>
      <c r="O42" s="118">
        <v>12180.630000000005</v>
      </c>
      <c r="P42" s="118">
        <v>0</v>
      </c>
      <c r="Q42" s="118">
        <v>12180.630000000005</v>
      </c>
      <c r="R42" s="118">
        <v>0</v>
      </c>
    </row>
    <row r="43" spans="1:18" ht="45">
      <c r="A43" s="119" t="s">
        <v>70</v>
      </c>
      <c r="B43" s="119" t="s">
        <v>855</v>
      </c>
      <c r="C43" s="118">
        <v>28158.329999999994</v>
      </c>
      <c r="D43" s="118">
        <v>0</v>
      </c>
      <c r="E43" s="118">
        <v>28158.329999999994</v>
      </c>
      <c r="F43" s="118">
        <v>0</v>
      </c>
      <c r="G43" s="118"/>
      <c r="H43" s="118"/>
      <c r="I43" s="118"/>
      <c r="J43" s="118"/>
      <c r="K43" s="118"/>
      <c r="L43" s="118"/>
      <c r="M43" s="118"/>
      <c r="N43" s="118"/>
      <c r="O43" s="118"/>
      <c r="P43" s="118"/>
      <c r="Q43" s="118">
        <v>28158.329999999994</v>
      </c>
      <c r="R43" s="118">
        <v>0</v>
      </c>
    </row>
    <row r="44" spans="1:18" ht="30">
      <c r="A44" s="119" t="s">
        <v>70</v>
      </c>
      <c r="B44" s="119" t="s">
        <v>81</v>
      </c>
      <c r="C44" s="118"/>
      <c r="D44" s="118"/>
      <c r="E44" s="118"/>
      <c r="F44" s="118"/>
      <c r="G44" s="118">
        <v>9444.4400000000023</v>
      </c>
      <c r="H44" s="118">
        <v>0</v>
      </c>
      <c r="I44" s="118"/>
      <c r="J44" s="118"/>
      <c r="K44" s="118"/>
      <c r="L44" s="118"/>
      <c r="M44" s="118"/>
      <c r="N44" s="118"/>
      <c r="O44" s="118">
        <v>9444.4400000000023</v>
      </c>
      <c r="P44" s="118">
        <v>0</v>
      </c>
      <c r="Q44" s="118">
        <v>9444.4400000000023</v>
      </c>
      <c r="R44" s="118">
        <v>0</v>
      </c>
    </row>
    <row r="45" spans="1:18">
      <c r="A45" s="119" t="s">
        <v>70</v>
      </c>
      <c r="B45" s="119" t="s">
        <v>864</v>
      </c>
      <c r="C45" s="118"/>
      <c r="D45" s="118"/>
      <c r="E45" s="118"/>
      <c r="F45" s="118"/>
      <c r="G45" s="118"/>
      <c r="H45" s="118"/>
      <c r="I45" s="118">
        <v>1568</v>
      </c>
      <c r="J45" s="118">
        <v>0</v>
      </c>
      <c r="K45" s="118"/>
      <c r="L45" s="118"/>
      <c r="M45" s="118"/>
      <c r="N45" s="118"/>
      <c r="O45" s="118">
        <v>1568</v>
      </c>
      <c r="P45" s="118">
        <v>0</v>
      </c>
      <c r="Q45" s="118">
        <v>1568</v>
      </c>
      <c r="R45" s="118">
        <v>0</v>
      </c>
    </row>
    <row r="46" spans="1:18" ht="45">
      <c r="A46" s="119" t="s">
        <v>70</v>
      </c>
      <c r="B46" s="119" t="s">
        <v>25</v>
      </c>
      <c r="C46" s="118"/>
      <c r="D46" s="118"/>
      <c r="E46" s="118"/>
      <c r="F46" s="118"/>
      <c r="G46" s="118"/>
      <c r="H46" s="118"/>
      <c r="I46" s="118"/>
      <c r="J46" s="118"/>
      <c r="K46" s="118">
        <v>0</v>
      </c>
      <c r="L46" s="118">
        <v>0</v>
      </c>
      <c r="M46" s="118"/>
      <c r="N46" s="118"/>
      <c r="O46" s="118">
        <v>0</v>
      </c>
      <c r="P46" s="118">
        <v>0</v>
      </c>
      <c r="Q46" s="118">
        <v>0</v>
      </c>
      <c r="R46" s="118">
        <v>0</v>
      </c>
    </row>
    <row r="47" spans="1:18" ht="45">
      <c r="A47" s="119" t="s">
        <v>70</v>
      </c>
      <c r="B47" s="119" t="s">
        <v>863</v>
      </c>
      <c r="C47" s="118"/>
      <c r="D47" s="118"/>
      <c r="E47" s="118"/>
      <c r="F47" s="118"/>
      <c r="G47" s="118">
        <v>19839.020000000019</v>
      </c>
      <c r="H47" s="118">
        <v>0</v>
      </c>
      <c r="I47" s="118"/>
      <c r="J47" s="118"/>
      <c r="K47" s="118"/>
      <c r="L47" s="118"/>
      <c r="M47" s="118"/>
      <c r="N47" s="118"/>
      <c r="O47" s="118">
        <v>19839.020000000019</v>
      </c>
      <c r="P47" s="118">
        <v>0</v>
      </c>
      <c r="Q47" s="118">
        <v>19839.020000000019</v>
      </c>
      <c r="R47" s="118">
        <v>0</v>
      </c>
    </row>
    <row r="48" spans="1:18" ht="30">
      <c r="A48" s="119" t="s">
        <v>70</v>
      </c>
      <c r="B48" s="119" t="s">
        <v>861</v>
      </c>
      <c r="C48" s="118"/>
      <c r="D48" s="118"/>
      <c r="E48" s="118"/>
      <c r="F48" s="118"/>
      <c r="G48" s="118"/>
      <c r="H48" s="118">
        <v>0</v>
      </c>
      <c r="I48" s="118"/>
      <c r="J48" s="118"/>
      <c r="K48" s="118"/>
      <c r="L48" s="118"/>
      <c r="M48" s="118"/>
      <c r="N48" s="118"/>
      <c r="O48" s="118"/>
      <c r="P48" s="118">
        <v>0</v>
      </c>
      <c r="Q48" s="118"/>
      <c r="R48" s="118">
        <v>0</v>
      </c>
    </row>
    <row r="49" spans="1:18" ht="45">
      <c r="A49" s="119" t="s">
        <v>70</v>
      </c>
      <c r="B49" s="119" t="s">
        <v>859</v>
      </c>
      <c r="C49" s="118"/>
      <c r="D49" s="118"/>
      <c r="E49" s="118"/>
      <c r="F49" s="118"/>
      <c r="G49" s="118">
        <v>109872.52999999997</v>
      </c>
      <c r="H49" s="118">
        <v>0</v>
      </c>
      <c r="I49" s="118"/>
      <c r="J49" s="118"/>
      <c r="K49" s="118"/>
      <c r="L49" s="118"/>
      <c r="M49" s="118"/>
      <c r="N49" s="118"/>
      <c r="O49" s="118">
        <v>109872.52999999997</v>
      </c>
      <c r="P49" s="118">
        <v>0</v>
      </c>
      <c r="Q49" s="118">
        <v>109872.52999999997</v>
      </c>
      <c r="R49" s="118">
        <v>0</v>
      </c>
    </row>
    <row r="50" spans="1:18">
      <c r="A50" s="119" t="s">
        <v>70</v>
      </c>
      <c r="B50" s="119" t="s">
        <v>860</v>
      </c>
      <c r="C50" s="118"/>
      <c r="D50" s="118"/>
      <c r="E50" s="118"/>
      <c r="F50" s="118"/>
      <c r="G50" s="118"/>
      <c r="H50" s="118">
        <v>0</v>
      </c>
      <c r="I50" s="118"/>
      <c r="J50" s="118"/>
      <c r="K50" s="118"/>
      <c r="L50" s="118"/>
      <c r="M50" s="118"/>
      <c r="N50" s="118"/>
      <c r="O50" s="118"/>
      <c r="P50" s="118">
        <v>0</v>
      </c>
      <c r="Q50" s="118"/>
      <c r="R50" s="118">
        <v>0</v>
      </c>
    </row>
    <row r="51" spans="1:18" ht="75">
      <c r="A51" s="119" t="s">
        <v>70</v>
      </c>
      <c r="B51" s="119" t="s">
        <v>74</v>
      </c>
      <c r="C51" s="118"/>
      <c r="D51" s="118"/>
      <c r="E51" s="118"/>
      <c r="F51" s="118"/>
      <c r="G51" s="118">
        <v>26502.599999999977</v>
      </c>
      <c r="H51" s="118">
        <v>0</v>
      </c>
      <c r="I51" s="118"/>
      <c r="J51" s="118"/>
      <c r="K51" s="118"/>
      <c r="L51" s="118"/>
      <c r="M51" s="118"/>
      <c r="N51" s="118"/>
      <c r="O51" s="118">
        <v>26502.599999999977</v>
      </c>
      <c r="P51" s="118">
        <v>0</v>
      </c>
      <c r="Q51" s="118">
        <v>26502.599999999977</v>
      </c>
      <c r="R51" s="118">
        <v>0</v>
      </c>
    </row>
    <row r="52" spans="1:18" ht="30">
      <c r="A52" s="119" t="s">
        <v>70</v>
      </c>
      <c r="B52" s="119" t="s">
        <v>79</v>
      </c>
      <c r="C52" s="118"/>
      <c r="D52" s="118"/>
      <c r="E52" s="118"/>
      <c r="F52" s="118"/>
      <c r="G52" s="118">
        <v>1985.8699999999953</v>
      </c>
      <c r="H52" s="118">
        <v>0</v>
      </c>
      <c r="I52" s="118"/>
      <c r="J52" s="118"/>
      <c r="K52" s="118"/>
      <c r="L52" s="118"/>
      <c r="M52" s="118"/>
      <c r="N52" s="118"/>
      <c r="O52" s="118">
        <v>1985.8699999999953</v>
      </c>
      <c r="P52" s="118">
        <v>0</v>
      </c>
      <c r="Q52" s="118">
        <v>1985.8699999999953</v>
      </c>
      <c r="R52" s="118">
        <v>0</v>
      </c>
    </row>
    <row r="53" spans="1:18" ht="30">
      <c r="A53" s="119" t="s">
        <v>70</v>
      </c>
      <c r="B53" s="119" t="s">
        <v>862</v>
      </c>
      <c r="C53" s="118"/>
      <c r="D53" s="118"/>
      <c r="E53" s="118"/>
      <c r="F53" s="118"/>
      <c r="G53" s="118"/>
      <c r="H53" s="118">
        <v>0</v>
      </c>
      <c r="I53" s="118"/>
      <c r="J53" s="118"/>
      <c r="K53" s="118"/>
      <c r="L53" s="118"/>
      <c r="M53" s="118"/>
      <c r="N53" s="118"/>
      <c r="O53" s="118"/>
      <c r="P53" s="118">
        <v>0</v>
      </c>
      <c r="Q53" s="118"/>
      <c r="R53" s="118">
        <v>0</v>
      </c>
    </row>
    <row r="54" spans="1:18" ht="45">
      <c r="A54" s="119" t="s">
        <v>86</v>
      </c>
      <c r="B54" s="119" t="s">
        <v>92</v>
      </c>
      <c r="C54" s="118"/>
      <c r="D54" s="118"/>
      <c r="E54" s="118"/>
      <c r="F54" s="118"/>
      <c r="G54" s="118"/>
      <c r="H54" s="118"/>
      <c r="I54" s="118">
        <v>3921.6499999999942</v>
      </c>
      <c r="J54" s="118">
        <v>0</v>
      </c>
      <c r="K54" s="118"/>
      <c r="L54" s="118"/>
      <c r="M54" s="118"/>
      <c r="N54" s="118"/>
      <c r="O54" s="118">
        <v>3921.6499999999942</v>
      </c>
      <c r="P54" s="118">
        <v>0</v>
      </c>
      <c r="Q54" s="118">
        <v>3921.6499999999942</v>
      </c>
      <c r="R54" s="118">
        <v>0</v>
      </c>
    </row>
    <row r="55" spans="1:18" ht="45">
      <c r="A55" s="119" t="s">
        <v>86</v>
      </c>
      <c r="B55" s="119" t="s">
        <v>976</v>
      </c>
      <c r="C55" s="118"/>
      <c r="D55" s="118"/>
      <c r="E55" s="118"/>
      <c r="F55" s="118"/>
      <c r="G55" s="118"/>
      <c r="H55" s="118"/>
      <c r="I55" s="118"/>
      <c r="J55" s="118">
        <v>0</v>
      </c>
      <c r="K55" s="118"/>
      <c r="L55" s="118"/>
      <c r="M55" s="118"/>
      <c r="N55" s="118"/>
      <c r="O55" s="118"/>
      <c r="P55" s="118">
        <v>0</v>
      </c>
      <c r="Q55" s="118"/>
      <c r="R55" s="118">
        <v>0</v>
      </c>
    </row>
    <row r="56" spans="1:18" ht="45">
      <c r="A56" s="119" t="s">
        <v>86</v>
      </c>
      <c r="B56" s="119" t="s">
        <v>977</v>
      </c>
      <c r="C56" s="118"/>
      <c r="D56" s="118"/>
      <c r="E56" s="118"/>
      <c r="F56" s="118"/>
      <c r="G56" s="118"/>
      <c r="H56" s="118"/>
      <c r="I56" s="118"/>
      <c r="J56" s="118">
        <v>0</v>
      </c>
      <c r="K56" s="118"/>
      <c r="L56" s="118"/>
      <c r="M56" s="118"/>
      <c r="N56" s="118"/>
      <c r="O56" s="118"/>
      <c r="P56" s="118">
        <v>0</v>
      </c>
      <c r="Q56" s="118"/>
      <c r="R56" s="118">
        <v>0</v>
      </c>
    </row>
    <row r="57" spans="1:18" ht="45">
      <c r="A57" s="119" t="s">
        <v>86</v>
      </c>
      <c r="B57" s="119" t="s">
        <v>975</v>
      </c>
      <c r="C57" s="118"/>
      <c r="D57" s="118"/>
      <c r="E57" s="118"/>
      <c r="F57" s="118"/>
      <c r="G57" s="118"/>
      <c r="H57" s="118"/>
      <c r="I57" s="118">
        <v>26407.169999999995</v>
      </c>
      <c r="J57" s="118">
        <v>0</v>
      </c>
      <c r="K57" s="118"/>
      <c r="L57" s="118"/>
      <c r="M57" s="118"/>
      <c r="N57" s="118"/>
      <c r="O57" s="118">
        <v>26407.169999999995</v>
      </c>
      <c r="P57" s="118">
        <v>0</v>
      </c>
      <c r="Q57" s="118">
        <v>26407.169999999995</v>
      </c>
      <c r="R57" s="118">
        <v>0</v>
      </c>
    </row>
    <row r="58" spans="1:18" ht="45">
      <c r="A58" s="119" t="s">
        <v>86</v>
      </c>
      <c r="B58" s="119" t="s">
        <v>1038</v>
      </c>
      <c r="C58" s="118"/>
      <c r="D58" s="118"/>
      <c r="E58" s="118"/>
      <c r="F58" s="118"/>
      <c r="G58" s="118"/>
      <c r="H58" s="118"/>
      <c r="I58" s="118"/>
      <c r="J58" s="118">
        <v>0</v>
      </c>
      <c r="K58" s="118"/>
      <c r="L58" s="118"/>
      <c r="M58" s="118"/>
      <c r="N58" s="118"/>
      <c r="O58" s="118"/>
      <c r="P58" s="118">
        <v>0</v>
      </c>
      <c r="Q58" s="118"/>
      <c r="R58" s="118">
        <v>0</v>
      </c>
    </row>
    <row r="59" spans="1:18" ht="45">
      <c r="A59" s="119" t="s">
        <v>86</v>
      </c>
      <c r="B59" s="119" t="s">
        <v>972</v>
      </c>
      <c r="C59" s="118"/>
      <c r="D59" s="118"/>
      <c r="E59" s="118"/>
      <c r="F59" s="118"/>
      <c r="G59" s="118">
        <v>36118.079999999973</v>
      </c>
      <c r="H59" s="118">
        <v>0</v>
      </c>
      <c r="I59" s="118"/>
      <c r="J59" s="118"/>
      <c r="K59" s="118"/>
      <c r="L59" s="118"/>
      <c r="M59" s="118"/>
      <c r="N59" s="118"/>
      <c r="O59" s="118">
        <v>36118.079999999973</v>
      </c>
      <c r="P59" s="118">
        <v>0</v>
      </c>
      <c r="Q59" s="118">
        <v>36118.079999999973</v>
      </c>
      <c r="R59" s="118">
        <v>0</v>
      </c>
    </row>
    <row r="60" spans="1:18" ht="75">
      <c r="A60" s="119" t="s">
        <v>86</v>
      </c>
      <c r="B60" s="119" t="s">
        <v>973</v>
      </c>
      <c r="C60" s="118"/>
      <c r="D60" s="118"/>
      <c r="E60" s="118"/>
      <c r="F60" s="118"/>
      <c r="G60" s="118"/>
      <c r="H60" s="118">
        <v>0</v>
      </c>
      <c r="I60" s="118"/>
      <c r="J60" s="118"/>
      <c r="K60" s="118"/>
      <c r="L60" s="118"/>
      <c r="M60" s="118"/>
      <c r="N60" s="118"/>
      <c r="O60" s="118"/>
      <c r="P60" s="118">
        <v>0</v>
      </c>
      <c r="Q60" s="118"/>
      <c r="R60" s="118">
        <v>0</v>
      </c>
    </row>
    <row r="61" spans="1:18" ht="45">
      <c r="A61" s="119" t="s">
        <v>86</v>
      </c>
      <c r="B61" s="119" t="s">
        <v>25</v>
      </c>
      <c r="C61" s="118"/>
      <c r="D61" s="118"/>
      <c r="E61" s="118"/>
      <c r="F61" s="118"/>
      <c r="G61" s="118"/>
      <c r="H61" s="118"/>
      <c r="I61" s="118"/>
      <c r="J61" s="118"/>
      <c r="K61" s="118">
        <v>0</v>
      </c>
      <c r="L61" s="118">
        <v>0</v>
      </c>
      <c r="M61" s="118"/>
      <c r="N61" s="118"/>
      <c r="O61" s="118">
        <v>0</v>
      </c>
      <c r="P61" s="118">
        <v>0</v>
      </c>
      <c r="Q61" s="118">
        <v>0</v>
      </c>
      <c r="R61" s="118">
        <v>0</v>
      </c>
    </row>
    <row r="62" spans="1:18" ht="90">
      <c r="A62" s="119" t="s">
        <v>86</v>
      </c>
      <c r="B62" s="119" t="s">
        <v>974</v>
      </c>
      <c r="C62" s="118"/>
      <c r="D62" s="118"/>
      <c r="E62" s="118"/>
      <c r="F62" s="118"/>
      <c r="G62" s="118"/>
      <c r="H62" s="118">
        <v>0</v>
      </c>
      <c r="I62" s="118"/>
      <c r="J62" s="118"/>
      <c r="K62" s="118"/>
      <c r="L62" s="118"/>
      <c r="M62" s="118"/>
      <c r="N62" s="118"/>
      <c r="O62" s="118"/>
      <c r="P62" s="118">
        <v>0</v>
      </c>
      <c r="Q62" s="118"/>
      <c r="R62" s="118">
        <v>0</v>
      </c>
    </row>
    <row r="63" spans="1:18" ht="60">
      <c r="A63" s="119" t="s">
        <v>86</v>
      </c>
      <c r="B63" s="119" t="s">
        <v>88</v>
      </c>
      <c r="C63" s="118">
        <v>177390.3999999997</v>
      </c>
      <c r="D63" s="118">
        <v>0</v>
      </c>
      <c r="E63" s="118">
        <v>177390.3999999997</v>
      </c>
      <c r="F63" s="118">
        <v>0</v>
      </c>
      <c r="G63" s="118"/>
      <c r="H63" s="118"/>
      <c r="I63" s="118"/>
      <c r="J63" s="118"/>
      <c r="K63" s="118"/>
      <c r="L63" s="118"/>
      <c r="M63" s="118"/>
      <c r="N63" s="118"/>
      <c r="O63" s="118"/>
      <c r="P63" s="118"/>
      <c r="Q63" s="118">
        <v>177390.3999999997</v>
      </c>
      <c r="R63" s="118">
        <v>0</v>
      </c>
    </row>
    <row r="64" spans="1:18">
      <c r="A64" s="119" t="s">
        <v>95</v>
      </c>
      <c r="B64" s="119" t="s">
        <v>100</v>
      </c>
      <c r="C64" s="118"/>
      <c r="D64" s="118"/>
      <c r="E64" s="118"/>
      <c r="F64" s="118"/>
      <c r="G64" s="118"/>
      <c r="H64" s="118"/>
      <c r="I64" s="118">
        <v>71.809999999997672</v>
      </c>
      <c r="J64" s="118">
        <v>0</v>
      </c>
      <c r="K64" s="118"/>
      <c r="L64" s="118"/>
      <c r="M64" s="118"/>
      <c r="N64" s="118"/>
      <c r="O64" s="118">
        <v>71.809999999997672</v>
      </c>
      <c r="P64" s="118">
        <v>0</v>
      </c>
      <c r="Q64" s="118">
        <v>71.809999999997672</v>
      </c>
      <c r="R64" s="118">
        <v>0</v>
      </c>
    </row>
    <row r="65" spans="1:18" ht="75">
      <c r="A65" s="119" t="s">
        <v>95</v>
      </c>
      <c r="B65" s="119" t="s">
        <v>102</v>
      </c>
      <c r="C65" s="118">
        <v>0</v>
      </c>
      <c r="D65" s="118">
        <v>0</v>
      </c>
      <c r="E65" s="118">
        <v>0</v>
      </c>
      <c r="F65" s="118">
        <v>0</v>
      </c>
      <c r="G65" s="118"/>
      <c r="H65" s="118"/>
      <c r="I65" s="118"/>
      <c r="J65" s="118"/>
      <c r="K65" s="118"/>
      <c r="L65" s="118"/>
      <c r="M65" s="118"/>
      <c r="N65" s="118"/>
      <c r="O65" s="118"/>
      <c r="P65" s="118"/>
      <c r="Q65" s="118">
        <v>0</v>
      </c>
      <c r="R65" s="118">
        <v>0</v>
      </c>
    </row>
    <row r="66" spans="1:18" ht="60">
      <c r="A66" s="119" t="s">
        <v>95</v>
      </c>
      <c r="B66" s="119" t="s">
        <v>422</v>
      </c>
      <c r="C66" s="118">
        <v>11412.550000000003</v>
      </c>
      <c r="D66" s="118">
        <v>511761.88</v>
      </c>
      <c r="E66" s="118">
        <v>11412.550000000003</v>
      </c>
      <c r="F66" s="118">
        <v>511761.88</v>
      </c>
      <c r="G66" s="118"/>
      <c r="H66" s="118"/>
      <c r="I66" s="118"/>
      <c r="J66" s="118"/>
      <c r="K66" s="118"/>
      <c r="L66" s="118"/>
      <c r="M66" s="118"/>
      <c r="N66" s="118"/>
      <c r="O66" s="118"/>
      <c r="P66" s="118"/>
      <c r="Q66" s="118">
        <v>11412.550000000003</v>
      </c>
      <c r="R66" s="118">
        <v>511761.88</v>
      </c>
    </row>
    <row r="67" spans="1:18" ht="45">
      <c r="A67" s="119" t="s">
        <v>95</v>
      </c>
      <c r="B67" s="119" t="s">
        <v>98</v>
      </c>
      <c r="C67" s="118">
        <v>32688.330000000293</v>
      </c>
      <c r="D67" s="118">
        <v>0</v>
      </c>
      <c r="E67" s="118">
        <v>32688.330000000293</v>
      </c>
      <c r="F67" s="118">
        <v>0</v>
      </c>
      <c r="G67" s="118"/>
      <c r="H67" s="118"/>
      <c r="I67" s="118"/>
      <c r="J67" s="118"/>
      <c r="K67" s="118"/>
      <c r="L67" s="118"/>
      <c r="M67" s="118"/>
      <c r="N67" s="118"/>
      <c r="O67" s="118"/>
      <c r="P67" s="118"/>
      <c r="Q67" s="118">
        <v>32688.330000000293</v>
      </c>
      <c r="R67" s="118">
        <v>0</v>
      </c>
    </row>
    <row r="68" spans="1:18" ht="45">
      <c r="A68" s="119" t="s">
        <v>95</v>
      </c>
      <c r="B68" s="119" t="s">
        <v>25</v>
      </c>
      <c r="C68" s="118"/>
      <c r="D68" s="118"/>
      <c r="E68" s="118"/>
      <c r="F68" s="118"/>
      <c r="G68" s="118"/>
      <c r="H68" s="118"/>
      <c r="I68" s="118"/>
      <c r="J68" s="118"/>
      <c r="K68" s="118">
        <v>0</v>
      </c>
      <c r="L68" s="118">
        <v>0</v>
      </c>
      <c r="M68" s="118"/>
      <c r="N68" s="118"/>
      <c r="O68" s="118">
        <v>0</v>
      </c>
      <c r="P68" s="118">
        <v>0</v>
      </c>
      <c r="Q68" s="118">
        <v>0</v>
      </c>
      <c r="R68" s="118">
        <v>0</v>
      </c>
    </row>
    <row r="69" spans="1:18" ht="30">
      <c r="A69" s="119" t="s">
        <v>5</v>
      </c>
      <c r="B69" s="119" t="s">
        <v>7</v>
      </c>
      <c r="C69" s="118"/>
      <c r="D69" s="118"/>
      <c r="E69" s="118"/>
      <c r="F69" s="118"/>
      <c r="G69" s="118"/>
      <c r="H69" s="118"/>
      <c r="I69" s="118">
        <v>5500</v>
      </c>
      <c r="J69" s="118">
        <v>0</v>
      </c>
      <c r="K69" s="118"/>
      <c r="L69" s="118"/>
      <c r="M69" s="118"/>
      <c r="N69" s="118"/>
      <c r="O69" s="118">
        <v>5500</v>
      </c>
      <c r="P69" s="118">
        <v>0</v>
      </c>
      <c r="Q69" s="118">
        <v>5500</v>
      </c>
      <c r="R69" s="118">
        <v>0</v>
      </c>
    </row>
    <row r="70" spans="1:18" ht="60">
      <c r="A70" s="119" t="s">
        <v>5</v>
      </c>
      <c r="B70" s="119" t="s">
        <v>999</v>
      </c>
      <c r="C70" s="118"/>
      <c r="D70" s="118"/>
      <c r="E70" s="118"/>
      <c r="F70" s="118"/>
      <c r="G70" s="118"/>
      <c r="H70" s="118"/>
      <c r="I70" s="118">
        <v>5992.760000000002</v>
      </c>
      <c r="J70" s="118">
        <v>20807.48000000001</v>
      </c>
      <c r="K70" s="118"/>
      <c r="L70" s="118"/>
      <c r="M70" s="118"/>
      <c r="N70" s="118"/>
      <c r="O70" s="118">
        <v>5992.760000000002</v>
      </c>
      <c r="P70" s="118">
        <v>20807.48000000001</v>
      </c>
      <c r="Q70" s="118">
        <v>5992.760000000002</v>
      </c>
      <c r="R70" s="118">
        <v>20807.48000000001</v>
      </c>
    </row>
    <row r="71" spans="1:18" ht="45">
      <c r="A71" s="119" t="s">
        <v>5</v>
      </c>
      <c r="B71" s="119" t="s">
        <v>978</v>
      </c>
      <c r="C71" s="118"/>
      <c r="D71" s="118"/>
      <c r="E71" s="118"/>
      <c r="F71" s="118"/>
      <c r="G71" s="118"/>
      <c r="H71" s="118"/>
      <c r="I71" s="118">
        <v>90947.280000000028</v>
      </c>
      <c r="J71" s="118">
        <v>0</v>
      </c>
      <c r="K71" s="118"/>
      <c r="L71" s="118"/>
      <c r="M71" s="118"/>
      <c r="N71" s="118"/>
      <c r="O71" s="118">
        <v>90947.280000000028</v>
      </c>
      <c r="P71" s="118">
        <v>0</v>
      </c>
      <c r="Q71" s="118">
        <v>90947.280000000028</v>
      </c>
      <c r="R71" s="118">
        <v>0</v>
      </c>
    </row>
    <row r="72" spans="1:18" ht="45">
      <c r="A72" s="119" t="s">
        <v>5</v>
      </c>
      <c r="B72" s="119" t="s">
        <v>128</v>
      </c>
      <c r="C72" s="118"/>
      <c r="D72" s="118"/>
      <c r="E72" s="118"/>
      <c r="F72" s="118"/>
      <c r="G72" s="118">
        <v>2073.2199999999721</v>
      </c>
      <c r="H72" s="118">
        <v>0</v>
      </c>
      <c r="I72" s="118"/>
      <c r="J72" s="118"/>
      <c r="K72" s="118"/>
      <c r="L72" s="118"/>
      <c r="M72" s="118"/>
      <c r="N72" s="118"/>
      <c r="O72" s="118">
        <v>2073.2199999999721</v>
      </c>
      <c r="P72" s="118">
        <v>0</v>
      </c>
      <c r="Q72" s="118">
        <v>2073.2199999999721</v>
      </c>
      <c r="R72" s="118">
        <v>0</v>
      </c>
    </row>
    <row r="73" spans="1:18" ht="45">
      <c r="A73" s="119" t="s">
        <v>5</v>
      </c>
      <c r="B73" s="119" t="s">
        <v>25</v>
      </c>
      <c r="C73" s="118"/>
      <c r="D73" s="118"/>
      <c r="E73" s="118"/>
      <c r="F73" s="118"/>
      <c r="G73" s="118"/>
      <c r="H73" s="118"/>
      <c r="I73" s="118"/>
      <c r="J73" s="118"/>
      <c r="K73" s="118">
        <v>0</v>
      </c>
      <c r="L73" s="118">
        <v>0</v>
      </c>
      <c r="M73" s="118"/>
      <c r="N73" s="118"/>
      <c r="O73" s="118">
        <v>0</v>
      </c>
      <c r="P73" s="118">
        <v>0</v>
      </c>
      <c r="Q73" s="118">
        <v>0</v>
      </c>
      <c r="R73" s="118">
        <v>0</v>
      </c>
    </row>
    <row r="74" spans="1:18" ht="45">
      <c r="A74" s="119" t="s">
        <v>5</v>
      </c>
      <c r="B74" s="119" t="s">
        <v>126</v>
      </c>
      <c r="C74" s="118"/>
      <c r="D74" s="118"/>
      <c r="E74" s="118"/>
      <c r="F74" s="118"/>
      <c r="G74" s="118">
        <v>211.66000000000349</v>
      </c>
      <c r="H74" s="118">
        <v>0</v>
      </c>
      <c r="I74" s="118"/>
      <c r="J74" s="118"/>
      <c r="K74" s="118"/>
      <c r="L74" s="118"/>
      <c r="M74" s="118"/>
      <c r="N74" s="118"/>
      <c r="O74" s="118">
        <v>211.66000000000349</v>
      </c>
      <c r="P74" s="118">
        <v>0</v>
      </c>
      <c r="Q74" s="118">
        <v>211.66000000000349</v>
      </c>
      <c r="R74" s="118">
        <v>0</v>
      </c>
    </row>
    <row r="75" spans="1:18" ht="60">
      <c r="A75" s="119" t="s">
        <v>5</v>
      </c>
      <c r="B75" s="119" t="s">
        <v>124</v>
      </c>
      <c r="C75" s="118"/>
      <c r="D75" s="118"/>
      <c r="E75" s="118"/>
      <c r="F75" s="118"/>
      <c r="G75" s="118">
        <v>47200.990000000071</v>
      </c>
      <c r="H75" s="118">
        <v>0</v>
      </c>
      <c r="I75" s="118"/>
      <c r="J75" s="118"/>
      <c r="K75" s="118"/>
      <c r="L75" s="118"/>
      <c r="M75" s="118"/>
      <c r="N75" s="118"/>
      <c r="O75" s="118">
        <v>47200.990000000071</v>
      </c>
      <c r="P75" s="118">
        <v>0</v>
      </c>
      <c r="Q75" s="118">
        <v>47200.990000000071</v>
      </c>
      <c r="R75" s="118">
        <v>0</v>
      </c>
    </row>
    <row r="76" spans="1:18" ht="45">
      <c r="A76" s="119" t="s">
        <v>103</v>
      </c>
      <c r="B76" s="119" t="s">
        <v>109</v>
      </c>
      <c r="C76" s="118">
        <v>5945.18</v>
      </c>
      <c r="D76" s="118">
        <v>0</v>
      </c>
      <c r="E76" s="118">
        <v>5945.18</v>
      </c>
      <c r="F76" s="118">
        <v>0</v>
      </c>
      <c r="G76" s="118"/>
      <c r="H76" s="118"/>
      <c r="I76" s="118"/>
      <c r="J76" s="118"/>
      <c r="K76" s="118"/>
      <c r="L76" s="118"/>
      <c r="M76" s="118"/>
      <c r="N76" s="118"/>
      <c r="O76" s="118"/>
      <c r="P76" s="118"/>
      <c r="Q76" s="118">
        <v>5945.18</v>
      </c>
      <c r="R76" s="118">
        <v>0</v>
      </c>
    </row>
    <row r="77" spans="1:18" ht="60">
      <c r="A77" s="119" t="s">
        <v>103</v>
      </c>
      <c r="B77" s="119" t="s">
        <v>107</v>
      </c>
      <c r="C77" s="118"/>
      <c r="D77" s="118">
        <v>19569.330000000016</v>
      </c>
      <c r="E77" s="118"/>
      <c r="F77" s="118">
        <v>19569.330000000016</v>
      </c>
      <c r="G77" s="118"/>
      <c r="H77" s="118"/>
      <c r="I77" s="118"/>
      <c r="J77" s="118"/>
      <c r="K77" s="118"/>
      <c r="L77" s="118"/>
      <c r="M77" s="118"/>
      <c r="N77" s="118"/>
      <c r="O77" s="118"/>
      <c r="P77" s="118"/>
      <c r="Q77" s="118"/>
      <c r="R77" s="118">
        <v>19569.330000000016</v>
      </c>
    </row>
    <row r="78" spans="1:18">
      <c r="A78" s="119" t="s">
        <v>103</v>
      </c>
      <c r="B78" s="119" t="s">
        <v>1000</v>
      </c>
      <c r="C78" s="118"/>
      <c r="D78" s="118"/>
      <c r="E78" s="118"/>
      <c r="F78" s="118"/>
      <c r="G78" s="118"/>
      <c r="H78" s="118"/>
      <c r="I78" s="118">
        <v>1071</v>
      </c>
      <c r="J78" s="118">
        <v>0</v>
      </c>
      <c r="K78" s="118"/>
      <c r="L78" s="118"/>
      <c r="M78" s="118"/>
      <c r="N78" s="118"/>
      <c r="O78" s="118">
        <v>1071</v>
      </c>
      <c r="P78" s="118">
        <v>0</v>
      </c>
      <c r="Q78" s="118">
        <v>1071</v>
      </c>
      <c r="R78" s="118">
        <v>0</v>
      </c>
    </row>
    <row r="79" spans="1:18" ht="30">
      <c r="A79" s="119" t="s">
        <v>103</v>
      </c>
      <c r="B79" s="119" t="s">
        <v>121</v>
      </c>
      <c r="C79" s="118"/>
      <c r="D79" s="118"/>
      <c r="E79" s="118"/>
      <c r="F79" s="118"/>
      <c r="G79" s="118"/>
      <c r="H79" s="118"/>
      <c r="I79" s="118">
        <v>25806</v>
      </c>
      <c r="J79" s="118">
        <v>0</v>
      </c>
      <c r="K79" s="118"/>
      <c r="L79" s="118"/>
      <c r="M79" s="118"/>
      <c r="N79" s="118"/>
      <c r="O79" s="118">
        <v>25806</v>
      </c>
      <c r="P79" s="118">
        <v>0</v>
      </c>
      <c r="Q79" s="118">
        <v>25806</v>
      </c>
      <c r="R79" s="118">
        <v>0</v>
      </c>
    </row>
    <row r="80" spans="1:18" ht="30">
      <c r="A80" s="119" t="s">
        <v>103</v>
      </c>
      <c r="B80" s="119" t="s">
        <v>111</v>
      </c>
      <c r="C80" s="118">
        <v>36473.72</v>
      </c>
      <c r="D80" s="118">
        <v>1860.34</v>
      </c>
      <c r="E80" s="118">
        <v>36473.72</v>
      </c>
      <c r="F80" s="118">
        <v>1860.34</v>
      </c>
      <c r="G80" s="118"/>
      <c r="H80" s="118"/>
      <c r="I80" s="118"/>
      <c r="J80" s="118"/>
      <c r="K80" s="118"/>
      <c r="L80" s="118"/>
      <c r="M80" s="118"/>
      <c r="N80" s="118"/>
      <c r="O80" s="118"/>
      <c r="P80" s="118"/>
      <c r="Q80" s="118">
        <v>36473.72</v>
      </c>
      <c r="R80" s="118">
        <v>1860.34</v>
      </c>
    </row>
    <row r="81" spans="1:18" ht="45">
      <c r="A81" s="119" t="s">
        <v>103</v>
      </c>
      <c r="B81" s="119" t="s">
        <v>25</v>
      </c>
      <c r="C81" s="118"/>
      <c r="D81" s="118"/>
      <c r="E81" s="118"/>
      <c r="F81" s="118"/>
      <c r="G81" s="118"/>
      <c r="H81" s="118"/>
      <c r="I81" s="118"/>
      <c r="J81" s="118"/>
      <c r="K81" s="118">
        <v>0</v>
      </c>
      <c r="L81" s="118">
        <v>0</v>
      </c>
      <c r="M81" s="118"/>
      <c r="N81" s="118"/>
      <c r="O81" s="118">
        <v>0</v>
      </c>
      <c r="P81" s="118">
        <v>0</v>
      </c>
      <c r="Q81" s="118">
        <v>0</v>
      </c>
      <c r="R81" s="118">
        <v>0</v>
      </c>
    </row>
    <row r="82" spans="1:18" ht="45">
      <c r="A82" s="119" t="s">
        <v>103</v>
      </c>
      <c r="B82" s="119" t="s">
        <v>113</v>
      </c>
      <c r="C82" s="118"/>
      <c r="D82" s="118"/>
      <c r="E82" s="118"/>
      <c r="F82" s="118"/>
      <c r="G82" s="118"/>
      <c r="H82" s="118">
        <v>0</v>
      </c>
      <c r="I82" s="118"/>
      <c r="J82" s="118"/>
      <c r="K82" s="118"/>
      <c r="L82" s="118"/>
      <c r="M82" s="118"/>
      <c r="N82" s="118"/>
      <c r="O82" s="118"/>
      <c r="P82" s="118">
        <v>0</v>
      </c>
      <c r="Q82" s="118"/>
      <c r="R82" s="118">
        <v>0</v>
      </c>
    </row>
    <row r="83" spans="1:18" ht="75">
      <c r="A83" s="119" t="s">
        <v>103</v>
      </c>
      <c r="B83" s="119" t="s">
        <v>117</v>
      </c>
      <c r="C83" s="118"/>
      <c r="D83" s="118"/>
      <c r="E83" s="118"/>
      <c r="F83" s="118"/>
      <c r="G83" s="118">
        <v>20000</v>
      </c>
      <c r="H83" s="118">
        <v>34538.74000000002</v>
      </c>
      <c r="I83" s="118"/>
      <c r="J83" s="118"/>
      <c r="K83" s="118"/>
      <c r="L83" s="118"/>
      <c r="M83" s="118"/>
      <c r="N83" s="118"/>
      <c r="O83" s="118">
        <v>20000</v>
      </c>
      <c r="P83" s="118">
        <v>34538.74000000002</v>
      </c>
      <c r="Q83" s="118">
        <v>20000</v>
      </c>
      <c r="R83" s="118">
        <v>34538.74000000002</v>
      </c>
    </row>
    <row r="84" spans="1:18" ht="45">
      <c r="A84" s="119" t="s">
        <v>103</v>
      </c>
      <c r="B84" s="119" t="s">
        <v>105</v>
      </c>
      <c r="C84" s="118"/>
      <c r="D84" s="118">
        <v>0</v>
      </c>
      <c r="E84" s="118"/>
      <c r="F84" s="118">
        <v>0</v>
      </c>
      <c r="G84" s="118"/>
      <c r="H84" s="118"/>
      <c r="I84" s="118"/>
      <c r="J84" s="118"/>
      <c r="K84" s="118"/>
      <c r="L84" s="118"/>
      <c r="M84" s="118"/>
      <c r="N84" s="118"/>
      <c r="O84" s="118"/>
      <c r="P84" s="118"/>
      <c r="Q84" s="118"/>
      <c r="R84" s="118">
        <v>0</v>
      </c>
    </row>
    <row r="85" spans="1:18" ht="45">
      <c r="A85" s="119" t="s">
        <v>103</v>
      </c>
      <c r="B85" s="119" t="s">
        <v>115</v>
      </c>
      <c r="C85" s="118"/>
      <c r="D85" s="118"/>
      <c r="E85" s="118"/>
      <c r="F85" s="118"/>
      <c r="G85" s="118">
        <v>0</v>
      </c>
      <c r="H85" s="118">
        <v>13313.57</v>
      </c>
      <c r="I85" s="118"/>
      <c r="J85" s="118"/>
      <c r="K85" s="118"/>
      <c r="L85" s="118"/>
      <c r="M85" s="118"/>
      <c r="N85" s="118"/>
      <c r="O85" s="118">
        <v>0</v>
      </c>
      <c r="P85" s="118">
        <v>13313.57</v>
      </c>
      <c r="Q85" s="118">
        <v>0</v>
      </c>
      <c r="R85" s="118">
        <v>13313.57</v>
      </c>
    </row>
    <row r="86" spans="1:18" ht="45">
      <c r="A86" s="119" t="s">
        <v>9</v>
      </c>
      <c r="B86" s="119" t="s">
        <v>10</v>
      </c>
      <c r="C86" s="118"/>
      <c r="D86" s="118"/>
      <c r="E86" s="118"/>
      <c r="F86" s="118"/>
      <c r="G86" s="118"/>
      <c r="H86" s="118"/>
      <c r="I86" s="118">
        <v>21827.789999999986</v>
      </c>
      <c r="J86" s="118">
        <v>0</v>
      </c>
      <c r="K86" s="118"/>
      <c r="L86" s="118"/>
      <c r="M86" s="118"/>
      <c r="N86" s="118"/>
      <c r="O86" s="118">
        <v>21827.789999999986</v>
      </c>
      <c r="P86" s="118">
        <v>0</v>
      </c>
      <c r="Q86" s="118">
        <v>21827.789999999986</v>
      </c>
      <c r="R86" s="118">
        <v>0</v>
      </c>
    </row>
    <row r="87" spans="1:18" ht="30">
      <c r="A87" s="119" t="s">
        <v>9</v>
      </c>
      <c r="B87" s="119" t="s">
        <v>979</v>
      </c>
      <c r="C87" s="118"/>
      <c r="D87" s="118"/>
      <c r="E87" s="118"/>
      <c r="F87" s="118"/>
      <c r="G87" s="118">
        <v>18010.939999999944</v>
      </c>
      <c r="H87" s="118">
        <v>0</v>
      </c>
      <c r="I87" s="118"/>
      <c r="J87" s="118"/>
      <c r="K87" s="118"/>
      <c r="L87" s="118"/>
      <c r="M87" s="118"/>
      <c r="N87" s="118"/>
      <c r="O87" s="118">
        <v>18010.939999999944</v>
      </c>
      <c r="P87" s="118">
        <v>0</v>
      </c>
      <c r="Q87" s="118">
        <v>18010.939999999944</v>
      </c>
      <c r="R87" s="118">
        <v>0</v>
      </c>
    </row>
    <row r="88" spans="1:18" ht="90">
      <c r="A88" s="119" t="s">
        <v>9</v>
      </c>
      <c r="B88" s="119" t="s">
        <v>368</v>
      </c>
      <c r="C88" s="118"/>
      <c r="D88" s="118"/>
      <c r="E88" s="118"/>
      <c r="F88" s="118"/>
      <c r="G88" s="118"/>
      <c r="H88" s="118"/>
      <c r="I88" s="118">
        <v>6590.7600000000093</v>
      </c>
      <c r="J88" s="118">
        <v>0</v>
      </c>
      <c r="K88" s="118"/>
      <c r="L88" s="118"/>
      <c r="M88" s="118"/>
      <c r="N88" s="118"/>
      <c r="O88" s="118">
        <v>6590.7600000000093</v>
      </c>
      <c r="P88" s="118">
        <v>0</v>
      </c>
      <c r="Q88" s="118">
        <v>6590.7600000000093</v>
      </c>
      <c r="R88" s="118">
        <v>0</v>
      </c>
    </row>
    <row r="89" spans="1:18" ht="75">
      <c r="A89" s="119" t="s">
        <v>9</v>
      </c>
      <c r="B89" s="119" t="s">
        <v>438</v>
      </c>
      <c r="C89" s="118">
        <v>18952.050000000003</v>
      </c>
      <c r="D89" s="118">
        <v>0</v>
      </c>
      <c r="E89" s="118">
        <v>18952.050000000003</v>
      </c>
      <c r="F89" s="118">
        <v>0</v>
      </c>
      <c r="G89" s="118"/>
      <c r="H89" s="118">
        <v>0</v>
      </c>
      <c r="I89" s="118">
        <v>20422.13</v>
      </c>
      <c r="J89" s="118">
        <v>0</v>
      </c>
      <c r="K89" s="118"/>
      <c r="L89" s="118"/>
      <c r="M89" s="118"/>
      <c r="N89" s="118"/>
      <c r="O89" s="118">
        <v>20422.13</v>
      </c>
      <c r="P89" s="118">
        <v>0</v>
      </c>
      <c r="Q89" s="118">
        <v>39374.180000000008</v>
      </c>
      <c r="R89" s="118">
        <v>0</v>
      </c>
    </row>
    <row r="90" spans="1:18" ht="30">
      <c r="A90" s="119" t="s">
        <v>9</v>
      </c>
      <c r="B90" s="119" t="s">
        <v>440</v>
      </c>
      <c r="C90" s="118"/>
      <c r="D90" s="118"/>
      <c r="E90" s="118"/>
      <c r="F90" s="118"/>
      <c r="G90" s="118">
        <v>2766.3199999999997</v>
      </c>
      <c r="H90" s="118">
        <v>0</v>
      </c>
      <c r="I90" s="118"/>
      <c r="J90" s="118"/>
      <c r="K90" s="118"/>
      <c r="L90" s="118"/>
      <c r="M90" s="118"/>
      <c r="N90" s="118"/>
      <c r="O90" s="118">
        <v>2766.3199999999997</v>
      </c>
      <c r="P90" s="118">
        <v>0</v>
      </c>
      <c r="Q90" s="118">
        <v>2766.3199999999997</v>
      </c>
      <c r="R90" s="118">
        <v>0</v>
      </c>
    </row>
    <row r="91" spans="1:18" ht="30">
      <c r="A91" s="119" t="s">
        <v>9</v>
      </c>
      <c r="B91" s="119" t="s">
        <v>439</v>
      </c>
      <c r="C91" s="118"/>
      <c r="D91" s="118"/>
      <c r="E91" s="118"/>
      <c r="F91" s="118"/>
      <c r="G91" s="118">
        <v>12233.75</v>
      </c>
      <c r="H91" s="118">
        <v>0</v>
      </c>
      <c r="I91" s="118"/>
      <c r="J91" s="118"/>
      <c r="K91" s="118"/>
      <c r="L91" s="118"/>
      <c r="M91" s="118"/>
      <c r="N91" s="118"/>
      <c r="O91" s="118">
        <v>12233.75</v>
      </c>
      <c r="P91" s="118">
        <v>0</v>
      </c>
      <c r="Q91" s="118">
        <v>12233.75</v>
      </c>
      <c r="R91" s="118">
        <v>0</v>
      </c>
    </row>
    <row r="92" spans="1:18">
      <c r="A92" s="119" t="s">
        <v>9</v>
      </c>
      <c r="B92" s="119" t="s">
        <v>441</v>
      </c>
      <c r="C92" s="118"/>
      <c r="D92" s="118"/>
      <c r="E92" s="118"/>
      <c r="F92" s="118"/>
      <c r="G92" s="118">
        <v>2233.0100000000057</v>
      </c>
      <c r="H92" s="118">
        <v>0</v>
      </c>
      <c r="I92" s="118"/>
      <c r="J92" s="118"/>
      <c r="K92" s="118"/>
      <c r="L92" s="118"/>
      <c r="M92" s="118"/>
      <c r="N92" s="118"/>
      <c r="O92" s="118">
        <v>2233.0100000000057</v>
      </c>
      <c r="P92" s="118">
        <v>0</v>
      </c>
      <c r="Q92" s="118">
        <v>2233.0100000000057</v>
      </c>
      <c r="R92" s="118">
        <v>0</v>
      </c>
    </row>
    <row r="93" spans="1:18" ht="60">
      <c r="A93" s="119" t="s">
        <v>9</v>
      </c>
      <c r="B93" s="119" t="s">
        <v>137</v>
      </c>
      <c r="C93" s="118"/>
      <c r="D93" s="118"/>
      <c r="E93" s="118"/>
      <c r="F93" s="118"/>
      <c r="G93" s="118">
        <v>877.84999999999127</v>
      </c>
      <c r="H93" s="118">
        <v>0</v>
      </c>
      <c r="I93" s="118"/>
      <c r="J93" s="118"/>
      <c r="K93" s="118"/>
      <c r="L93" s="118"/>
      <c r="M93" s="118"/>
      <c r="N93" s="118"/>
      <c r="O93" s="118">
        <v>877.84999999999127</v>
      </c>
      <c r="P93" s="118">
        <v>0</v>
      </c>
      <c r="Q93" s="118">
        <v>877.84999999999127</v>
      </c>
      <c r="R93" s="118">
        <v>0</v>
      </c>
    </row>
    <row r="94" spans="1:18" ht="30">
      <c r="A94" s="119" t="s">
        <v>9</v>
      </c>
      <c r="B94" s="119" t="s">
        <v>133</v>
      </c>
      <c r="C94" s="118"/>
      <c r="D94" s="118"/>
      <c r="E94" s="118"/>
      <c r="F94" s="118"/>
      <c r="G94" s="118">
        <v>11098.130000000005</v>
      </c>
      <c r="H94" s="118">
        <v>0</v>
      </c>
      <c r="I94" s="118"/>
      <c r="J94" s="118"/>
      <c r="K94" s="118"/>
      <c r="L94" s="118"/>
      <c r="M94" s="118"/>
      <c r="N94" s="118"/>
      <c r="O94" s="118">
        <v>11098.130000000005</v>
      </c>
      <c r="P94" s="118">
        <v>0</v>
      </c>
      <c r="Q94" s="118">
        <v>11098.130000000005</v>
      </c>
      <c r="R94" s="118">
        <v>0</v>
      </c>
    </row>
    <row r="95" spans="1:18" ht="45">
      <c r="A95" s="119" t="s">
        <v>9</v>
      </c>
      <c r="B95" s="119" t="s">
        <v>131</v>
      </c>
      <c r="C95" s="118"/>
      <c r="D95" s="118"/>
      <c r="E95" s="118"/>
      <c r="F95" s="118"/>
      <c r="G95" s="118">
        <v>16378.660000000033</v>
      </c>
      <c r="H95" s="118">
        <v>0</v>
      </c>
      <c r="I95" s="118"/>
      <c r="J95" s="118"/>
      <c r="K95" s="118"/>
      <c r="L95" s="118"/>
      <c r="M95" s="118"/>
      <c r="N95" s="118"/>
      <c r="O95" s="118">
        <v>16378.660000000033</v>
      </c>
      <c r="P95" s="118">
        <v>0</v>
      </c>
      <c r="Q95" s="118">
        <v>16378.660000000033</v>
      </c>
      <c r="R95" s="118">
        <v>0</v>
      </c>
    </row>
    <row r="96" spans="1:18" ht="45">
      <c r="A96" s="119" t="s">
        <v>9</v>
      </c>
      <c r="B96" s="119" t="s">
        <v>25</v>
      </c>
      <c r="C96" s="118"/>
      <c r="D96" s="118"/>
      <c r="E96" s="118"/>
      <c r="F96" s="118"/>
      <c r="G96" s="118"/>
      <c r="H96" s="118"/>
      <c r="I96" s="118"/>
      <c r="J96" s="118"/>
      <c r="K96" s="118">
        <v>0</v>
      </c>
      <c r="L96" s="118">
        <v>0</v>
      </c>
      <c r="M96" s="118"/>
      <c r="N96" s="118"/>
      <c r="O96" s="118">
        <v>0</v>
      </c>
      <c r="P96" s="118">
        <v>0</v>
      </c>
      <c r="Q96" s="118">
        <v>0</v>
      </c>
      <c r="R96" s="118">
        <v>0</v>
      </c>
    </row>
    <row r="97" spans="1:18" ht="30">
      <c r="A97" s="119" t="s">
        <v>9</v>
      </c>
      <c r="B97" s="119" t="s">
        <v>135</v>
      </c>
      <c r="C97" s="118"/>
      <c r="D97" s="118"/>
      <c r="E97" s="118"/>
      <c r="F97" s="118"/>
      <c r="G97" s="118">
        <v>17536.05</v>
      </c>
      <c r="H97" s="118">
        <v>0</v>
      </c>
      <c r="I97" s="118"/>
      <c r="J97" s="118"/>
      <c r="K97" s="118"/>
      <c r="L97" s="118"/>
      <c r="M97" s="118"/>
      <c r="N97" s="118"/>
      <c r="O97" s="118">
        <v>17536.05</v>
      </c>
      <c r="P97" s="118">
        <v>0</v>
      </c>
      <c r="Q97" s="118">
        <v>17536.05</v>
      </c>
      <c r="R97" s="118">
        <v>0</v>
      </c>
    </row>
    <row r="98" spans="1:18" ht="30">
      <c r="A98" s="119" t="s">
        <v>9</v>
      </c>
      <c r="B98" s="119" t="s">
        <v>129</v>
      </c>
      <c r="C98" s="118">
        <v>26558.080000000005</v>
      </c>
      <c r="D98" s="118">
        <v>0</v>
      </c>
      <c r="E98" s="118">
        <v>26558.080000000005</v>
      </c>
      <c r="F98" s="118">
        <v>0</v>
      </c>
      <c r="G98" s="118">
        <v>10036.879999999997</v>
      </c>
      <c r="H98" s="118">
        <v>0</v>
      </c>
      <c r="I98" s="118"/>
      <c r="J98" s="118"/>
      <c r="K98" s="118"/>
      <c r="L98" s="118"/>
      <c r="M98" s="118"/>
      <c r="N98" s="118"/>
      <c r="O98" s="118">
        <v>10036.879999999997</v>
      </c>
      <c r="P98" s="118">
        <v>0</v>
      </c>
      <c r="Q98" s="118">
        <v>36594.960000000006</v>
      </c>
      <c r="R98" s="118">
        <v>0</v>
      </c>
    </row>
    <row r="99" spans="1:18">
      <c r="A99" s="119" t="s">
        <v>9</v>
      </c>
      <c r="B99" t="s">
        <v>1874</v>
      </c>
      <c r="C99" s="118"/>
      <c r="D99" s="118"/>
      <c r="E99" s="118"/>
      <c r="F99" s="118"/>
      <c r="G99" s="118"/>
      <c r="H99" s="118"/>
      <c r="I99" s="118">
        <v>13614.75</v>
      </c>
      <c r="J99" s="118">
        <v>0</v>
      </c>
      <c r="K99" s="118"/>
      <c r="L99" s="118"/>
      <c r="M99" s="118"/>
      <c r="N99" s="118"/>
      <c r="O99" s="118">
        <v>13614.75</v>
      </c>
      <c r="P99" s="118">
        <v>0</v>
      </c>
      <c r="Q99" s="118">
        <v>13614.75</v>
      </c>
      <c r="R99" s="118">
        <v>0</v>
      </c>
    </row>
    <row r="100" spans="1:18" ht="30">
      <c r="A100" s="119" t="s">
        <v>138</v>
      </c>
      <c r="B100" s="119" t="s">
        <v>140</v>
      </c>
      <c r="C100" s="118"/>
      <c r="D100" s="118"/>
      <c r="E100" s="118"/>
      <c r="F100" s="118"/>
      <c r="G100" s="118">
        <v>0</v>
      </c>
      <c r="H100" s="118">
        <v>92117.070000000298</v>
      </c>
      <c r="I100" s="118"/>
      <c r="J100" s="118"/>
      <c r="K100" s="118"/>
      <c r="L100" s="118"/>
      <c r="M100" s="118"/>
      <c r="N100" s="118"/>
      <c r="O100" s="118">
        <v>0</v>
      </c>
      <c r="P100" s="118">
        <v>92117.070000000298</v>
      </c>
      <c r="Q100" s="118">
        <v>0</v>
      </c>
      <c r="R100" s="118">
        <v>92117.070000000298</v>
      </c>
    </row>
    <row r="101" spans="1:18" ht="45">
      <c r="A101" s="119" t="s">
        <v>138</v>
      </c>
      <c r="B101" s="119" t="s">
        <v>1832</v>
      </c>
      <c r="C101" s="118"/>
      <c r="D101" s="118"/>
      <c r="E101" s="118"/>
      <c r="F101" s="118"/>
      <c r="G101" s="118"/>
      <c r="H101" s="118"/>
      <c r="I101" s="118"/>
      <c r="J101" s="118">
        <v>0</v>
      </c>
      <c r="K101" s="118"/>
      <c r="L101" s="118"/>
      <c r="M101" s="118"/>
      <c r="N101" s="118"/>
      <c r="O101" s="118"/>
      <c r="P101" s="118">
        <v>0</v>
      </c>
      <c r="Q101" s="118"/>
      <c r="R101" s="118">
        <v>0</v>
      </c>
    </row>
    <row r="102" spans="1:18" ht="45">
      <c r="A102" s="119" t="s">
        <v>138</v>
      </c>
      <c r="B102" s="119" t="s">
        <v>373</v>
      </c>
      <c r="C102" s="118"/>
      <c r="D102" s="118"/>
      <c r="E102" s="118"/>
      <c r="F102" s="118"/>
      <c r="G102" s="118"/>
      <c r="H102" s="118"/>
      <c r="I102" s="118">
        <v>1225.5200000000186</v>
      </c>
      <c r="J102" s="118">
        <v>0</v>
      </c>
      <c r="K102" s="118"/>
      <c r="L102" s="118"/>
      <c r="M102" s="118"/>
      <c r="N102" s="118"/>
      <c r="O102" s="118">
        <v>1225.5200000000186</v>
      </c>
      <c r="P102" s="118">
        <v>0</v>
      </c>
      <c r="Q102" s="118">
        <v>1225.5200000000186</v>
      </c>
      <c r="R102" s="118">
        <v>0</v>
      </c>
    </row>
    <row r="103" spans="1:18" ht="45">
      <c r="A103" s="119" t="s">
        <v>138</v>
      </c>
      <c r="B103" s="119" t="s">
        <v>25</v>
      </c>
      <c r="C103" s="118"/>
      <c r="D103" s="118"/>
      <c r="E103" s="118"/>
      <c r="F103" s="118"/>
      <c r="G103" s="118"/>
      <c r="H103" s="118"/>
      <c r="I103" s="118"/>
      <c r="J103" s="118"/>
      <c r="K103" s="118">
        <v>0</v>
      </c>
      <c r="L103" s="118">
        <v>0</v>
      </c>
      <c r="M103" s="118"/>
      <c r="N103" s="118"/>
      <c r="O103" s="118">
        <v>0</v>
      </c>
      <c r="P103" s="118">
        <v>0</v>
      </c>
      <c r="Q103" s="118">
        <v>0</v>
      </c>
      <c r="R103" s="118">
        <v>0</v>
      </c>
    </row>
    <row r="104" spans="1:18" ht="30">
      <c r="A104" s="119" t="s">
        <v>16</v>
      </c>
      <c r="B104" s="119" t="s">
        <v>144</v>
      </c>
      <c r="C104" s="118"/>
      <c r="D104" s="118">
        <v>0</v>
      </c>
      <c r="E104" s="118"/>
      <c r="F104" s="118">
        <v>0</v>
      </c>
      <c r="G104" s="118"/>
      <c r="H104" s="118"/>
      <c r="I104" s="118"/>
      <c r="J104" s="118"/>
      <c r="K104" s="118"/>
      <c r="L104" s="118"/>
      <c r="M104" s="118"/>
      <c r="N104" s="118"/>
      <c r="O104" s="118"/>
      <c r="P104" s="118"/>
      <c r="Q104" s="118"/>
      <c r="R104" s="118">
        <v>0</v>
      </c>
    </row>
    <row r="105" spans="1:18" ht="45">
      <c r="A105" s="119" t="s">
        <v>16</v>
      </c>
      <c r="B105" s="119" t="s">
        <v>1832</v>
      </c>
      <c r="C105" s="118"/>
      <c r="D105" s="118"/>
      <c r="E105" s="118"/>
      <c r="F105" s="118"/>
      <c r="G105" s="118"/>
      <c r="H105" s="118"/>
      <c r="I105" s="118"/>
      <c r="J105" s="118">
        <v>0</v>
      </c>
      <c r="K105" s="118"/>
      <c r="L105" s="118"/>
      <c r="M105" s="118"/>
      <c r="N105" s="118"/>
      <c r="O105" s="118"/>
      <c r="P105" s="118">
        <v>0</v>
      </c>
      <c r="Q105" s="118"/>
      <c r="R105" s="118">
        <v>0</v>
      </c>
    </row>
    <row r="106" spans="1:18" ht="60">
      <c r="A106" s="119" t="s">
        <v>16</v>
      </c>
      <c r="B106" s="119" t="s">
        <v>142</v>
      </c>
      <c r="C106" s="118"/>
      <c r="D106" s="118"/>
      <c r="E106" s="118"/>
      <c r="F106" s="118"/>
      <c r="G106" s="118"/>
      <c r="H106" s="118">
        <v>0</v>
      </c>
      <c r="I106" s="118"/>
      <c r="J106" s="118"/>
      <c r="K106" s="118"/>
      <c r="L106" s="118"/>
      <c r="M106" s="118"/>
      <c r="N106" s="118"/>
      <c r="O106" s="118"/>
      <c r="P106" s="118">
        <v>0</v>
      </c>
      <c r="Q106" s="118"/>
      <c r="R106" s="118">
        <v>0</v>
      </c>
    </row>
    <row r="107" spans="1:18" ht="30">
      <c r="A107" s="119" t="s">
        <v>16</v>
      </c>
      <c r="B107" s="119" t="s">
        <v>18</v>
      </c>
      <c r="C107" s="118"/>
      <c r="D107" s="118"/>
      <c r="E107" s="118"/>
      <c r="F107" s="118"/>
      <c r="G107" s="118">
        <v>64791.76999999999</v>
      </c>
      <c r="H107" s="118">
        <v>0</v>
      </c>
      <c r="I107" s="118"/>
      <c r="J107" s="118"/>
      <c r="K107" s="118"/>
      <c r="L107" s="118"/>
      <c r="M107" s="118"/>
      <c r="N107" s="118"/>
      <c r="O107" s="118">
        <v>64791.76999999999</v>
      </c>
      <c r="P107" s="118">
        <v>0</v>
      </c>
      <c r="Q107" s="118">
        <v>64791.76999999999</v>
      </c>
      <c r="R107" s="118">
        <v>0</v>
      </c>
    </row>
    <row r="108" spans="1:18" ht="45">
      <c r="A108" s="119" t="s">
        <v>16</v>
      </c>
      <c r="B108" s="119" t="s">
        <v>25</v>
      </c>
      <c r="C108" s="118"/>
      <c r="D108" s="118"/>
      <c r="E108" s="118"/>
      <c r="F108" s="118"/>
      <c r="G108" s="118"/>
      <c r="H108" s="118"/>
      <c r="I108" s="118"/>
      <c r="J108" s="118"/>
      <c r="K108" s="118">
        <v>0</v>
      </c>
      <c r="L108" s="118">
        <v>0</v>
      </c>
      <c r="M108" s="118"/>
      <c r="N108" s="118"/>
      <c r="O108" s="118">
        <v>0</v>
      </c>
      <c r="P108" s="118">
        <v>0</v>
      </c>
      <c r="Q108" s="118">
        <v>0</v>
      </c>
      <c r="R108" s="118">
        <v>0</v>
      </c>
    </row>
    <row r="109" spans="1:18">
      <c r="A109" s="119" t="s">
        <v>16</v>
      </c>
      <c r="B109" t="s">
        <v>1874</v>
      </c>
      <c r="C109" s="118"/>
      <c r="D109" s="118"/>
      <c r="E109" s="118"/>
      <c r="F109" s="118"/>
      <c r="G109" s="118"/>
      <c r="H109" s="118">
        <v>0</v>
      </c>
      <c r="I109" s="118"/>
      <c r="J109" s="118"/>
      <c r="K109" s="118"/>
      <c r="L109" s="118"/>
      <c r="M109" s="118"/>
      <c r="N109" s="118"/>
      <c r="O109" s="118"/>
      <c r="P109" s="118">
        <v>0</v>
      </c>
      <c r="Q109" s="118"/>
      <c r="R109" s="118">
        <v>0</v>
      </c>
    </row>
    <row r="110" spans="1:18" ht="45">
      <c r="A110" s="119" t="s">
        <v>23</v>
      </c>
      <c r="B110" s="119" t="s">
        <v>1832</v>
      </c>
      <c r="C110" s="118"/>
      <c r="D110" s="118"/>
      <c r="E110" s="118"/>
      <c r="F110" s="118"/>
      <c r="G110" s="118"/>
      <c r="H110" s="118"/>
      <c r="I110" s="118"/>
      <c r="J110" s="118"/>
      <c r="K110" s="118"/>
      <c r="L110" s="118"/>
      <c r="M110" s="118"/>
      <c r="N110" s="118"/>
      <c r="O110" s="118"/>
      <c r="P110" s="118"/>
      <c r="Q110" s="118"/>
      <c r="R110" s="118"/>
    </row>
    <row r="111" spans="1:18" ht="60">
      <c r="A111" s="119" t="s">
        <v>23</v>
      </c>
      <c r="B111" s="119" t="s">
        <v>1614</v>
      </c>
      <c r="C111" s="118"/>
      <c r="D111" s="118"/>
      <c r="E111" s="118"/>
      <c r="F111" s="118"/>
      <c r="G111" s="118"/>
      <c r="H111" s="118"/>
      <c r="I111" s="118"/>
      <c r="J111" s="118"/>
      <c r="K111" s="118">
        <v>23029</v>
      </c>
      <c r="L111" s="118">
        <v>0</v>
      </c>
      <c r="M111" s="118"/>
      <c r="N111" s="118"/>
      <c r="O111" s="118">
        <v>23029</v>
      </c>
      <c r="P111" s="118">
        <v>0</v>
      </c>
      <c r="Q111" s="118">
        <v>23029</v>
      </c>
      <c r="R111" s="118">
        <v>0</v>
      </c>
    </row>
    <row r="112" spans="1:18" ht="90">
      <c r="A112" s="119" t="s">
        <v>23</v>
      </c>
      <c r="B112" s="119" t="s">
        <v>823</v>
      </c>
      <c r="C112" s="118"/>
      <c r="D112" s="118"/>
      <c r="E112" s="118"/>
      <c r="F112" s="118"/>
      <c r="G112" s="118"/>
      <c r="H112" s="118"/>
      <c r="I112" s="118"/>
      <c r="J112" s="118">
        <v>0</v>
      </c>
      <c r="K112" s="118"/>
      <c r="L112" s="118"/>
      <c r="M112" s="118"/>
      <c r="N112" s="118"/>
      <c r="O112" s="118"/>
      <c r="P112" s="118">
        <v>0</v>
      </c>
      <c r="Q112" s="118"/>
      <c r="R112" s="118">
        <v>0</v>
      </c>
    </row>
    <row r="113" spans="1:18" ht="60">
      <c r="A113" s="119" t="s">
        <v>23</v>
      </c>
      <c r="B113" s="119" t="s">
        <v>164</v>
      </c>
      <c r="C113" s="118"/>
      <c r="D113" s="118"/>
      <c r="E113" s="118"/>
      <c r="F113" s="118"/>
      <c r="G113" s="118"/>
      <c r="H113" s="118"/>
      <c r="I113" s="118">
        <v>5205.4599999999919</v>
      </c>
      <c r="J113" s="118">
        <v>0</v>
      </c>
      <c r="K113" s="118"/>
      <c r="L113" s="118"/>
      <c r="M113" s="118"/>
      <c r="N113" s="118"/>
      <c r="O113" s="118">
        <v>5205.4599999999919</v>
      </c>
      <c r="P113" s="118">
        <v>0</v>
      </c>
      <c r="Q113" s="118">
        <v>5205.4599999999919</v>
      </c>
      <c r="R113" s="118">
        <v>0</v>
      </c>
    </row>
    <row r="114" spans="1:18" ht="45">
      <c r="A114" s="119" t="s">
        <v>23</v>
      </c>
      <c r="B114" s="119" t="s">
        <v>162</v>
      </c>
      <c r="C114" s="118"/>
      <c r="D114" s="118"/>
      <c r="E114" s="118"/>
      <c r="F114" s="118"/>
      <c r="G114" s="118"/>
      <c r="H114" s="118"/>
      <c r="I114" s="118">
        <v>160907.65000000002</v>
      </c>
      <c r="J114" s="118">
        <v>0</v>
      </c>
      <c r="K114" s="118"/>
      <c r="L114" s="118"/>
      <c r="M114" s="118"/>
      <c r="N114" s="118"/>
      <c r="O114" s="118">
        <v>160907.65000000002</v>
      </c>
      <c r="P114" s="118">
        <v>0</v>
      </c>
      <c r="Q114" s="118">
        <v>160907.65000000002</v>
      </c>
      <c r="R114" s="118">
        <v>0</v>
      </c>
    </row>
    <row r="115" spans="1:18">
      <c r="A115" s="119" t="s">
        <v>23</v>
      </c>
      <c r="B115" s="119" t="s">
        <v>315</v>
      </c>
      <c r="C115" s="118"/>
      <c r="D115" s="118"/>
      <c r="E115" s="118"/>
      <c r="F115" s="118"/>
      <c r="G115" s="118"/>
      <c r="H115" s="118"/>
      <c r="I115" s="118"/>
      <c r="J115" s="118"/>
      <c r="K115" s="118">
        <v>0</v>
      </c>
      <c r="L115" s="118">
        <v>0</v>
      </c>
      <c r="M115" s="118"/>
      <c r="N115" s="118"/>
      <c r="O115" s="118">
        <v>0</v>
      </c>
      <c r="P115" s="118">
        <v>0</v>
      </c>
      <c r="Q115" s="118">
        <v>0</v>
      </c>
      <c r="R115" s="118">
        <v>0</v>
      </c>
    </row>
    <row r="116" spans="1:18">
      <c r="A116" s="119" t="s">
        <v>23</v>
      </c>
      <c r="B116" s="119" t="s">
        <v>317</v>
      </c>
      <c r="C116" s="118"/>
      <c r="D116" s="118"/>
      <c r="E116" s="118"/>
      <c r="F116" s="118"/>
      <c r="G116" s="118"/>
      <c r="H116" s="118"/>
      <c r="I116" s="118"/>
      <c r="J116" s="118"/>
      <c r="K116" s="118">
        <v>0</v>
      </c>
      <c r="L116" s="118">
        <v>0</v>
      </c>
      <c r="M116" s="118"/>
      <c r="N116" s="118"/>
      <c r="O116" s="118">
        <v>0</v>
      </c>
      <c r="P116" s="118">
        <v>0</v>
      </c>
      <c r="Q116" s="118">
        <v>0</v>
      </c>
      <c r="R116" s="118">
        <v>0</v>
      </c>
    </row>
    <row r="117" spans="1:18" ht="30">
      <c r="A117" s="119" t="s">
        <v>23</v>
      </c>
      <c r="B117" s="119" t="s">
        <v>425</v>
      </c>
      <c r="C117" s="118">
        <v>-23758.369999999995</v>
      </c>
      <c r="D117" s="118">
        <v>23758.369999999995</v>
      </c>
      <c r="E117" s="118">
        <v>-23758.369999999995</v>
      </c>
      <c r="F117" s="118">
        <v>23758.369999999995</v>
      </c>
      <c r="G117" s="118"/>
      <c r="H117" s="118"/>
      <c r="I117" s="118"/>
      <c r="J117" s="118"/>
      <c r="K117" s="118"/>
      <c r="L117" s="118"/>
      <c r="M117" s="118"/>
      <c r="N117" s="118"/>
      <c r="O117" s="118"/>
      <c r="P117" s="118"/>
      <c r="Q117" s="118">
        <v>-23758.369999999995</v>
      </c>
      <c r="R117" s="118">
        <v>23758.369999999995</v>
      </c>
    </row>
    <row r="118" spans="1:18" ht="45">
      <c r="A118" s="119" t="s">
        <v>23</v>
      </c>
      <c r="B118" s="119" t="s">
        <v>1662</v>
      </c>
      <c r="C118" s="118"/>
      <c r="D118" s="118"/>
      <c r="E118" s="118"/>
      <c r="F118" s="118"/>
      <c r="G118" s="118"/>
      <c r="H118" s="118"/>
      <c r="I118" s="118"/>
      <c r="J118" s="118">
        <v>0</v>
      </c>
      <c r="K118" s="118"/>
      <c r="L118" s="118"/>
      <c r="M118" s="118"/>
      <c r="N118" s="118"/>
      <c r="O118" s="118"/>
      <c r="P118" s="118">
        <v>0</v>
      </c>
      <c r="Q118" s="118"/>
      <c r="R118" s="118">
        <v>0</v>
      </c>
    </row>
    <row r="119" spans="1:18" ht="45">
      <c r="A119" s="119" t="s">
        <v>23</v>
      </c>
      <c r="B119" s="119" t="s">
        <v>25</v>
      </c>
      <c r="C119" s="118"/>
      <c r="D119" s="118"/>
      <c r="E119" s="118"/>
      <c r="F119" s="118"/>
      <c r="G119" s="118"/>
      <c r="H119" s="118"/>
      <c r="I119" s="118"/>
      <c r="J119" s="118"/>
      <c r="K119" s="118"/>
      <c r="L119" s="118">
        <v>0</v>
      </c>
      <c r="M119" s="118"/>
      <c r="N119" s="118"/>
      <c r="O119" s="118"/>
      <c r="P119" s="118">
        <v>0</v>
      </c>
      <c r="Q119" s="118"/>
      <c r="R119" s="118">
        <v>0</v>
      </c>
    </row>
    <row r="120" spans="1:18" ht="45">
      <c r="A120" s="119" t="s">
        <v>23</v>
      </c>
      <c r="B120" s="119" t="s">
        <v>771</v>
      </c>
      <c r="C120" s="118"/>
      <c r="D120" s="118"/>
      <c r="E120" s="118"/>
      <c r="F120" s="118"/>
      <c r="G120" s="118"/>
      <c r="H120" s="118">
        <v>0</v>
      </c>
      <c r="I120" s="118"/>
      <c r="J120" s="118"/>
      <c r="K120" s="118"/>
      <c r="L120" s="118"/>
      <c r="M120" s="118"/>
      <c r="N120" s="118"/>
      <c r="O120" s="118"/>
      <c r="P120" s="118">
        <v>0</v>
      </c>
      <c r="Q120" s="118"/>
      <c r="R120" s="118">
        <v>0</v>
      </c>
    </row>
    <row r="121" spans="1:18" ht="45">
      <c r="A121" s="119" t="s">
        <v>23</v>
      </c>
      <c r="B121" s="119" t="s">
        <v>980</v>
      </c>
      <c r="C121" s="118"/>
      <c r="D121" s="118"/>
      <c r="E121" s="118"/>
      <c r="F121" s="118"/>
      <c r="G121" s="118">
        <v>5264.609999999986</v>
      </c>
      <c r="H121" s="118">
        <v>0</v>
      </c>
      <c r="I121" s="118"/>
      <c r="J121" s="118"/>
      <c r="K121" s="118"/>
      <c r="L121" s="118"/>
      <c r="M121" s="118"/>
      <c r="N121" s="118"/>
      <c r="O121" s="118">
        <v>5264.609999999986</v>
      </c>
      <c r="P121" s="118">
        <v>0</v>
      </c>
      <c r="Q121" s="118">
        <v>5264.609999999986</v>
      </c>
      <c r="R121" s="118">
        <v>0</v>
      </c>
    </row>
    <row r="122" spans="1:18" ht="45">
      <c r="A122" s="119" t="s">
        <v>23</v>
      </c>
      <c r="B122" s="119" t="s">
        <v>981</v>
      </c>
      <c r="C122" s="118"/>
      <c r="D122" s="118"/>
      <c r="E122" s="118"/>
      <c r="F122" s="118"/>
      <c r="G122" s="118"/>
      <c r="H122" s="118">
        <v>0</v>
      </c>
      <c r="I122" s="118"/>
      <c r="J122" s="118"/>
      <c r="K122" s="118"/>
      <c r="L122" s="118"/>
      <c r="M122" s="118"/>
      <c r="N122" s="118"/>
      <c r="O122" s="118"/>
      <c r="P122" s="118">
        <v>0</v>
      </c>
      <c r="Q122" s="118"/>
      <c r="R122" s="118">
        <v>0</v>
      </c>
    </row>
    <row r="123" spans="1:18">
      <c r="A123" s="119" t="s">
        <v>23</v>
      </c>
      <c r="B123" s="119" t="s">
        <v>1195</v>
      </c>
      <c r="C123" s="118"/>
      <c r="D123" s="118"/>
      <c r="E123" s="118"/>
      <c r="F123" s="118"/>
      <c r="G123" s="118"/>
      <c r="H123" s="118"/>
      <c r="I123" s="118"/>
      <c r="J123" s="118"/>
      <c r="K123" s="118">
        <v>0</v>
      </c>
      <c r="L123" s="118">
        <v>0</v>
      </c>
      <c r="M123" s="118"/>
      <c r="N123" s="118"/>
      <c r="O123" s="118">
        <v>0</v>
      </c>
      <c r="P123" s="118">
        <v>0</v>
      </c>
      <c r="Q123" s="118">
        <v>0</v>
      </c>
      <c r="R123" s="118">
        <v>0</v>
      </c>
    </row>
    <row r="124" spans="1:18">
      <c r="A124" s="119" t="s">
        <v>23</v>
      </c>
      <c r="B124" s="119" t="s">
        <v>1196</v>
      </c>
      <c r="C124" s="118"/>
      <c r="D124" s="118"/>
      <c r="E124" s="118"/>
      <c r="F124" s="118"/>
      <c r="G124" s="118"/>
      <c r="H124" s="118"/>
      <c r="I124" s="118"/>
      <c r="J124" s="118"/>
      <c r="K124" s="118"/>
      <c r="L124" s="118">
        <v>0</v>
      </c>
      <c r="M124" s="118"/>
      <c r="N124" s="118"/>
      <c r="O124" s="118"/>
      <c r="P124" s="118">
        <v>0</v>
      </c>
      <c r="Q124" s="118"/>
      <c r="R124" s="118">
        <v>0</v>
      </c>
    </row>
    <row r="125" spans="1:18">
      <c r="A125" s="119" t="s">
        <v>23</v>
      </c>
      <c r="B125" s="119" t="s">
        <v>1197</v>
      </c>
      <c r="C125" s="118"/>
      <c r="D125" s="118"/>
      <c r="E125" s="118"/>
      <c r="F125" s="118"/>
      <c r="G125" s="118"/>
      <c r="H125" s="118"/>
      <c r="I125" s="118"/>
      <c r="J125" s="118"/>
      <c r="K125" s="118">
        <v>34.650000000001455</v>
      </c>
      <c r="L125" s="118">
        <v>0</v>
      </c>
      <c r="M125" s="118"/>
      <c r="N125" s="118"/>
      <c r="O125" s="118">
        <v>34.650000000001455</v>
      </c>
      <c r="P125" s="118">
        <v>0</v>
      </c>
      <c r="Q125" s="118">
        <v>34.650000000001455</v>
      </c>
      <c r="R125" s="118">
        <v>0</v>
      </c>
    </row>
    <row r="126" spans="1:18" ht="30">
      <c r="A126" s="119" t="s">
        <v>23</v>
      </c>
      <c r="B126" s="119" t="s">
        <v>1198</v>
      </c>
      <c r="C126" s="118"/>
      <c r="D126" s="118"/>
      <c r="E126" s="118"/>
      <c r="F126" s="118"/>
      <c r="G126" s="118"/>
      <c r="H126" s="118"/>
      <c r="I126" s="118"/>
      <c r="J126" s="118"/>
      <c r="K126" s="118"/>
      <c r="L126" s="118">
        <v>0</v>
      </c>
      <c r="M126" s="118"/>
      <c r="N126" s="118"/>
      <c r="O126" s="118"/>
      <c r="P126" s="118">
        <v>0</v>
      </c>
      <c r="Q126" s="118"/>
      <c r="R126" s="118">
        <v>0</v>
      </c>
    </row>
    <row r="127" spans="1:18" ht="30">
      <c r="A127" s="119" t="s">
        <v>23</v>
      </c>
      <c r="B127" s="119" t="s">
        <v>825</v>
      </c>
      <c r="C127" s="118"/>
      <c r="D127" s="118"/>
      <c r="E127" s="118"/>
      <c r="F127" s="118"/>
      <c r="G127" s="118"/>
      <c r="H127" s="118"/>
      <c r="I127" s="118"/>
      <c r="J127" s="118"/>
      <c r="K127" s="118">
        <v>0</v>
      </c>
      <c r="L127" s="118">
        <v>0</v>
      </c>
      <c r="M127" s="118"/>
      <c r="N127" s="118"/>
      <c r="O127" s="118">
        <v>0</v>
      </c>
      <c r="P127" s="118">
        <v>0</v>
      </c>
      <c r="Q127" s="118">
        <v>0</v>
      </c>
      <c r="R127" s="118">
        <v>0</v>
      </c>
    </row>
    <row r="128" spans="1:18" ht="30">
      <c r="A128" s="119" t="s">
        <v>23</v>
      </c>
      <c r="B128" s="119" t="s">
        <v>1670</v>
      </c>
      <c r="C128" s="118"/>
      <c r="D128" s="118"/>
      <c r="E128" s="118"/>
      <c r="F128" s="118"/>
      <c r="G128" s="118"/>
      <c r="H128" s="118"/>
      <c r="I128" s="118"/>
      <c r="J128" s="118">
        <v>0</v>
      </c>
      <c r="K128" s="118"/>
      <c r="L128" s="118"/>
      <c r="M128" s="118"/>
      <c r="N128" s="118"/>
      <c r="O128" s="118"/>
      <c r="P128" s="118">
        <v>0</v>
      </c>
      <c r="Q128" s="118"/>
      <c r="R128" s="118">
        <v>0</v>
      </c>
    </row>
    <row r="129" spans="1:18">
      <c r="A129" s="119" t="s">
        <v>23</v>
      </c>
      <c r="B129" t="s">
        <v>1874</v>
      </c>
      <c r="C129" s="118"/>
      <c r="D129" s="118"/>
      <c r="E129" s="118"/>
      <c r="F129" s="118"/>
      <c r="G129" s="118"/>
      <c r="H129" s="118"/>
      <c r="I129" s="118">
        <v>383.70000000000073</v>
      </c>
      <c r="J129" s="118">
        <v>0</v>
      </c>
      <c r="K129" s="118"/>
      <c r="L129" s="118"/>
      <c r="M129" s="118"/>
      <c r="N129" s="118"/>
      <c r="O129" s="118">
        <v>383.70000000000073</v>
      </c>
      <c r="P129" s="118">
        <v>0</v>
      </c>
      <c r="Q129" s="118">
        <v>383.70000000000073</v>
      </c>
      <c r="R129" s="118">
        <v>0</v>
      </c>
    </row>
    <row r="130" spans="1:18">
      <c r="A130" s="119" t="s">
        <v>23</v>
      </c>
      <c r="B130" t="s">
        <v>2032</v>
      </c>
      <c r="C130" s="118"/>
      <c r="D130" s="118"/>
      <c r="E130" s="118"/>
      <c r="F130" s="118"/>
      <c r="G130" s="118"/>
      <c r="H130" s="118"/>
      <c r="I130" s="118"/>
      <c r="J130" s="118">
        <v>0</v>
      </c>
      <c r="K130" s="118"/>
      <c r="L130" s="118"/>
      <c r="M130" s="118"/>
      <c r="N130" s="118"/>
      <c r="O130" s="118"/>
      <c r="P130" s="118">
        <v>0</v>
      </c>
      <c r="Q130" s="118"/>
      <c r="R130" s="118">
        <v>0</v>
      </c>
    </row>
    <row r="131" spans="1:18" ht="75">
      <c r="A131" s="119" t="s">
        <v>168</v>
      </c>
      <c r="B131" s="119" t="s">
        <v>169</v>
      </c>
      <c r="C131" s="118"/>
      <c r="D131" s="118"/>
      <c r="E131" s="118"/>
      <c r="F131" s="118"/>
      <c r="G131" s="118"/>
      <c r="H131" s="118"/>
      <c r="I131" s="118">
        <v>2500</v>
      </c>
      <c r="J131" s="118">
        <v>0</v>
      </c>
      <c r="K131" s="118"/>
      <c r="L131" s="118"/>
      <c r="M131" s="118"/>
      <c r="N131" s="118"/>
      <c r="O131" s="118">
        <v>2500</v>
      </c>
      <c r="P131" s="118">
        <v>0</v>
      </c>
      <c r="Q131" s="118">
        <v>2500</v>
      </c>
      <c r="R131" s="118">
        <v>0</v>
      </c>
    </row>
    <row r="132" spans="1:18" ht="30">
      <c r="A132" s="119" t="s">
        <v>168</v>
      </c>
      <c r="B132" s="119" t="s">
        <v>170</v>
      </c>
      <c r="C132" s="118"/>
      <c r="D132" s="118"/>
      <c r="E132" s="118"/>
      <c r="F132" s="118"/>
      <c r="G132" s="118"/>
      <c r="H132" s="118"/>
      <c r="I132" s="118">
        <v>38.570000000006985</v>
      </c>
      <c r="J132" s="118">
        <v>0</v>
      </c>
      <c r="K132" s="118"/>
      <c r="L132" s="118"/>
      <c r="M132" s="118"/>
      <c r="N132" s="118"/>
      <c r="O132" s="118">
        <v>38.570000000006985</v>
      </c>
      <c r="P132" s="118">
        <v>0</v>
      </c>
      <c r="Q132" s="118">
        <v>38.570000000006985</v>
      </c>
      <c r="R132" s="118">
        <v>0</v>
      </c>
    </row>
    <row r="133" spans="1:18" ht="45">
      <c r="A133" s="119" t="s">
        <v>168</v>
      </c>
      <c r="B133" s="119" t="s">
        <v>1832</v>
      </c>
      <c r="C133" s="118"/>
      <c r="D133" s="118"/>
      <c r="E133" s="118"/>
      <c r="F133" s="118"/>
      <c r="G133" s="118"/>
      <c r="H133" s="118"/>
      <c r="I133" s="118"/>
      <c r="J133" s="118">
        <v>0</v>
      </c>
      <c r="K133" s="118"/>
      <c r="L133" s="118"/>
      <c r="M133" s="118"/>
      <c r="N133" s="118"/>
      <c r="O133" s="118"/>
      <c r="P133" s="118">
        <v>0</v>
      </c>
      <c r="Q133" s="118"/>
      <c r="R133" s="118">
        <v>0</v>
      </c>
    </row>
    <row r="134" spans="1:18" ht="45">
      <c r="A134" s="119" t="s">
        <v>168</v>
      </c>
      <c r="B134" s="119" t="s">
        <v>174</v>
      </c>
      <c r="C134" s="118"/>
      <c r="D134" s="118"/>
      <c r="E134" s="118"/>
      <c r="F134" s="118"/>
      <c r="G134" s="118">
        <v>7223.2200000000012</v>
      </c>
      <c r="H134" s="118">
        <v>0</v>
      </c>
      <c r="I134" s="118"/>
      <c r="J134" s="118"/>
      <c r="K134" s="118"/>
      <c r="L134" s="118"/>
      <c r="M134" s="118"/>
      <c r="N134" s="118"/>
      <c r="O134" s="118">
        <v>7223.2200000000012</v>
      </c>
      <c r="P134" s="118">
        <v>0</v>
      </c>
      <c r="Q134" s="118">
        <v>7223.2200000000012</v>
      </c>
      <c r="R134" s="118">
        <v>0</v>
      </c>
    </row>
    <row r="135" spans="1:18" ht="45">
      <c r="A135" s="119" t="s">
        <v>168</v>
      </c>
      <c r="B135" s="119" t="s">
        <v>25</v>
      </c>
      <c r="C135" s="118"/>
      <c r="D135" s="118"/>
      <c r="E135" s="118"/>
      <c r="F135" s="118"/>
      <c r="G135" s="118"/>
      <c r="H135" s="118"/>
      <c r="I135" s="118"/>
      <c r="J135" s="118"/>
      <c r="K135" s="118">
        <v>0</v>
      </c>
      <c r="L135" s="118">
        <v>0</v>
      </c>
      <c r="M135" s="118"/>
      <c r="N135" s="118"/>
      <c r="O135" s="118">
        <v>0</v>
      </c>
      <c r="P135" s="118">
        <v>0</v>
      </c>
      <c r="Q135" s="118">
        <v>0</v>
      </c>
      <c r="R135" s="118">
        <v>0</v>
      </c>
    </row>
    <row r="136" spans="1:18" ht="45">
      <c r="A136" s="119" t="s">
        <v>168</v>
      </c>
      <c r="B136" s="119" t="s">
        <v>172</v>
      </c>
      <c r="C136" s="118"/>
      <c r="D136" s="118"/>
      <c r="E136" s="118"/>
      <c r="F136" s="118"/>
      <c r="G136" s="118">
        <v>91.780000000006112</v>
      </c>
      <c r="H136" s="118">
        <v>0</v>
      </c>
      <c r="I136" s="118"/>
      <c r="J136" s="118"/>
      <c r="K136" s="118"/>
      <c r="L136" s="118"/>
      <c r="M136" s="118"/>
      <c r="N136" s="118"/>
      <c r="O136" s="118">
        <v>91.780000000006112</v>
      </c>
      <c r="P136" s="118">
        <v>0</v>
      </c>
      <c r="Q136" s="118">
        <v>91.780000000006112</v>
      </c>
      <c r="R136" s="118">
        <v>0</v>
      </c>
    </row>
    <row r="137" spans="1:18" ht="60">
      <c r="A137" s="119" t="s">
        <v>175</v>
      </c>
      <c r="B137" s="119" t="s">
        <v>929</v>
      </c>
      <c r="C137" s="118"/>
      <c r="D137" s="118"/>
      <c r="E137" s="118"/>
      <c r="F137" s="118"/>
      <c r="G137" s="118">
        <v>130.30999999999767</v>
      </c>
      <c r="H137" s="118">
        <v>0</v>
      </c>
      <c r="I137" s="118"/>
      <c r="J137" s="118"/>
      <c r="K137" s="118"/>
      <c r="L137" s="118"/>
      <c r="M137" s="118"/>
      <c r="N137" s="118"/>
      <c r="O137" s="118">
        <v>130.30999999999767</v>
      </c>
      <c r="P137" s="118">
        <v>0</v>
      </c>
      <c r="Q137" s="118">
        <v>130.30999999999767</v>
      </c>
      <c r="R137" s="118">
        <v>0</v>
      </c>
    </row>
    <row r="138" spans="1:18" ht="60">
      <c r="A138" s="119" t="s">
        <v>175</v>
      </c>
      <c r="B138" s="119" t="s">
        <v>930</v>
      </c>
      <c r="C138" s="118"/>
      <c r="D138" s="118"/>
      <c r="E138" s="118"/>
      <c r="F138" s="118"/>
      <c r="G138" s="118">
        <v>15253.26</v>
      </c>
      <c r="H138" s="118">
        <v>0</v>
      </c>
      <c r="I138" s="118"/>
      <c r="J138" s="118"/>
      <c r="K138" s="118"/>
      <c r="L138" s="118"/>
      <c r="M138" s="118"/>
      <c r="N138" s="118"/>
      <c r="O138" s="118">
        <v>15253.26</v>
      </c>
      <c r="P138" s="118">
        <v>0</v>
      </c>
      <c r="Q138" s="118">
        <v>15253.26</v>
      </c>
      <c r="R138" s="118">
        <v>0</v>
      </c>
    </row>
    <row r="139" spans="1:18" ht="30">
      <c r="A139" s="119" t="s">
        <v>175</v>
      </c>
      <c r="B139" s="119" t="s">
        <v>177</v>
      </c>
      <c r="C139" s="118"/>
      <c r="D139" s="118"/>
      <c r="E139" s="118"/>
      <c r="F139" s="118"/>
      <c r="G139" s="118">
        <v>413.19000000000233</v>
      </c>
      <c r="H139" s="118">
        <v>0</v>
      </c>
      <c r="I139" s="118"/>
      <c r="J139" s="118"/>
      <c r="K139" s="118"/>
      <c r="L139" s="118"/>
      <c r="M139" s="118"/>
      <c r="N139" s="118"/>
      <c r="O139" s="118">
        <v>413.19000000000233</v>
      </c>
      <c r="P139" s="118">
        <v>0</v>
      </c>
      <c r="Q139" s="118">
        <v>413.19000000000233</v>
      </c>
      <c r="R139" s="118">
        <v>0</v>
      </c>
    </row>
    <row r="140" spans="1:18" ht="45">
      <c r="A140" s="119" t="s">
        <v>175</v>
      </c>
      <c r="B140" s="119" t="s">
        <v>1832</v>
      </c>
      <c r="C140" s="118"/>
      <c r="D140" s="118"/>
      <c r="E140" s="118"/>
      <c r="F140" s="118"/>
      <c r="G140" s="118"/>
      <c r="H140" s="118"/>
      <c r="I140" s="118"/>
      <c r="J140" s="118">
        <v>0</v>
      </c>
      <c r="K140" s="118"/>
      <c r="L140" s="118"/>
      <c r="M140" s="118"/>
      <c r="N140" s="118"/>
      <c r="O140" s="118"/>
      <c r="P140" s="118">
        <v>0</v>
      </c>
      <c r="Q140" s="118"/>
      <c r="R140" s="118">
        <v>0</v>
      </c>
    </row>
    <row r="141" spans="1:18" ht="75">
      <c r="A141" s="119" t="s">
        <v>175</v>
      </c>
      <c r="B141" s="119" t="s">
        <v>1754</v>
      </c>
      <c r="C141" s="118"/>
      <c r="D141" s="118"/>
      <c r="E141" s="118"/>
      <c r="F141" s="118"/>
      <c r="G141" s="118"/>
      <c r="H141" s="118"/>
      <c r="I141" s="118"/>
      <c r="J141" s="118"/>
      <c r="K141" s="118"/>
      <c r="L141" s="118">
        <v>0</v>
      </c>
      <c r="M141" s="118"/>
      <c r="N141" s="118"/>
      <c r="O141" s="118"/>
      <c r="P141" s="118">
        <v>0</v>
      </c>
      <c r="Q141" s="118"/>
      <c r="R141" s="118">
        <v>0</v>
      </c>
    </row>
    <row r="142" spans="1:18" ht="45">
      <c r="A142" s="119" t="s">
        <v>175</v>
      </c>
      <c r="B142" s="119" t="s">
        <v>329</v>
      </c>
      <c r="C142" s="118"/>
      <c r="D142" s="118"/>
      <c r="E142" s="118"/>
      <c r="F142" s="118"/>
      <c r="G142" s="118"/>
      <c r="H142" s="118"/>
      <c r="I142" s="118"/>
      <c r="J142" s="118"/>
      <c r="K142" s="118">
        <v>0</v>
      </c>
      <c r="L142" s="118">
        <v>0</v>
      </c>
      <c r="M142" s="118"/>
      <c r="N142" s="118"/>
      <c r="O142" s="118">
        <v>0</v>
      </c>
      <c r="P142" s="118">
        <v>0</v>
      </c>
      <c r="Q142" s="118">
        <v>0</v>
      </c>
      <c r="R142" s="118">
        <v>0</v>
      </c>
    </row>
    <row r="143" spans="1:18" ht="60">
      <c r="A143" s="119" t="s">
        <v>175</v>
      </c>
      <c r="B143" s="119" t="s">
        <v>1669</v>
      </c>
      <c r="C143" s="118"/>
      <c r="D143" s="118"/>
      <c r="E143" s="118"/>
      <c r="F143" s="118"/>
      <c r="G143" s="118"/>
      <c r="H143" s="118"/>
      <c r="I143" s="118"/>
      <c r="J143" s="118">
        <v>0</v>
      </c>
      <c r="K143" s="118"/>
      <c r="L143" s="118"/>
      <c r="M143" s="118"/>
      <c r="N143" s="118"/>
      <c r="O143" s="118"/>
      <c r="P143" s="118">
        <v>0</v>
      </c>
      <c r="Q143" s="118"/>
      <c r="R143" s="118">
        <v>0</v>
      </c>
    </row>
    <row r="144" spans="1:18" ht="60">
      <c r="A144" s="119" t="s">
        <v>175</v>
      </c>
      <c r="B144" s="119" t="s">
        <v>179</v>
      </c>
      <c r="C144" s="118"/>
      <c r="D144" s="118"/>
      <c r="E144" s="118"/>
      <c r="F144" s="118"/>
      <c r="G144" s="118">
        <v>36604.739999999983</v>
      </c>
      <c r="H144" s="118">
        <v>0</v>
      </c>
      <c r="I144" s="118"/>
      <c r="J144" s="118"/>
      <c r="K144" s="118"/>
      <c r="L144" s="118"/>
      <c r="M144" s="118"/>
      <c r="N144" s="118"/>
      <c r="O144" s="118">
        <v>36604.739999999983</v>
      </c>
      <c r="P144" s="118">
        <v>0</v>
      </c>
      <c r="Q144" s="118">
        <v>36604.739999999983</v>
      </c>
      <c r="R144" s="118">
        <v>0</v>
      </c>
    </row>
    <row r="145" spans="1:18" ht="60">
      <c r="A145" s="119" t="s">
        <v>175</v>
      </c>
      <c r="B145" s="119" t="s">
        <v>340</v>
      </c>
      <c r="C145" s="118"/>
      <c r="D145" s="118"/>
      <c r="E145" s="118"/>
      <c r="F145" s="118"/>
      <c r="G145" s="118">
        <v>19732.64000000001</v>
      </c>
      <c r="H145" s="118">
        <v>0</v>
      </c>
      <c r="I145" s="118"/>
      <c r="J145" s="118"/>
      <c r="K145" s="118"/>
      <c r="L145" s="118"/>
      <c r="M145" s="118"/>
      <c r="N145" s="118"/>
      <c r="O145" s="118">
        <v>19732.64000000001</v>
      </c>
      <c r="P145" s="118">
        <v>0</v>
      </c>
      <c r="Q145" s="118">
        <v>19732.64000000001</v>
      </c>
      <c r="R145" s="118">
        <v>0</v>
      </c>
    </row>
    <row r="146" spans="1:18" ht="60">
      <c r="A146" s="119" t="s">
        <v>175</v>
      </c>
      <c r="B146" s="119" t="s">
        <v>341</v>
      </c>
      <c r="C146" s="118"/>
      <c r="D146" s="118"/>
      <c r="E146" s="118"/>
      <c r="F146" s="118"/>
      <c r="G146" s="118">
        <v>28.439999999973224</v>
      </c>
      <c r="H146" s="118">
        <v>0</v>
      </c>
      <c r="I146" s="118"/>
      <c r="J146" s="118"/>
      <c r="K146" s="118"/>
      <c r="L146" s="118"/>
      <c r="M146" s="118"/>
      <c r="N146" s="118"/>
      <c r="O146" s="118">
        <v>28.439999999973224</v>
      </c>
      <c r="P146" s="118">
        <v>0</v>
      </c>
      <c r="Q146" s="118">
        <v>28.439999999973224</v>
      </c>
      <c r="R146" s="118">
        <v>0</v>
      </c>
    </row>
    <row r="147" spans="1:18" ht="60">
      <c r="A147" s="119" t="s">
        <v>175</v>
      </c>
      <c r="B147" s="119" t="s">
        <v>928</v>
      </c>
      <c r="C147" s="118"/>
      <c r="D147" s="118"/>
      <c r="E147" s="118"/>
      <c r="F147" s="118"/>
      <c r="G147" s="118">
        <v>18559.71</v>
      </c>
      <c r="H147" s="118">
        <v>0</v>
      </c>
      <c r="I147" s="118"/>
      <c r="J147" s="118"/>
      <c r="K147" s="118"/>
      <c r="L147" s="118"/>
      <c r="M147" s="118"/>
      <c r="N147" s="118"/>
      <c r="O147" s="118">
        <v>18559.71</v>
      </c>
      <c r="P147" s="118">
        <v>0</v>
      </c>
      <c r="Q147" s="118">
        <v>18559.71</v>
      </c>
      <c r="R147" s="118">
        <v>0</v>
      </c>
    </row>
    <row r="148" spans="1:18" ht="60">
      <c r="A148" s="119" t="s">
        <v>175</v>
      </c>
      <c r="B148" s="119" t="s">
        <v>343</v>
      </c>
      <c r="C148" s="118"/>
      <c r="D148" s="118"/>
      <c r="E148" s="118"/>
      <c r="F148" s="118"/>
      <c r="G148" s="118">
        <v>5163.679999999993</v>
      </c>
      <c r="H148" s="118">
        <v>0</v>
      </c>
      <c r="I148" s="118"/>
      <c r="J148" s="118"/>
      <c r="K148" s="118"/>
      <c r="L148" s="118"/>
      <c r="M148" s="118"/>
      <c r="N148" s="118"/>
      <c r="O148" s="118">
        <v>5163.679999999993</v>
      </c>
      <c r="P148" s="118">
        <v>0</v>
      </c>
      <c r="Q148" s="118">
        <v>5163.679999999993</v>
      </c>
      <c r="R148" s="118">
        <v>0</v>
      </c>
    </row>
    <row r="149" spans="1:18" ht="45">
      <c r="A149" s="119" t="s">
        <v>175</v>
      </c>
      <c r="B149" s="119" t="s">
        <v>25</v>
      </c>
      <c r="C149" s="118"/>
      <c r="D149" s="118"/>
      <c r="E149" s="118"/>
      <c r="F149" s="118"/>
      <c r="G149" s="118"/>
      <c r="H149" s="118"/>
      <c r="I149" s="118"/>
      <c r="J149" s="118"/>
      <c r="K149" s="118">
        <v>0</v>
      </c>
      <c r="L149" s="118">
        <v>0</v>
      </c>
      <c r="M149" s="118"/>
      <c r="N149" s="118"/>
      <c r="O149" s="118">
        <v>0</v>
      </c>
      <c r="P149" s="118">
        <v>0</v>
      </c>
      <c r="Q149" s="118">
        <v>0</v>
      </c>
      <c r="R149" s="118">
        <v>0</v>
      </c>
    </row>
    <row r="150" spans="1:18" ht="120">
      <c r="A150" s="119" t="s">
        <v>175</v>
      </c>
      <c r="B150" s="119" t="s">
        <v>1194</v>
      </c>
      <c r="C150" s="118"/>
      <c r="D150" s="118"/>
      <c r="E150" s="118"/>
      <c r="F150" s="118"/>
      <c r="G150" s="118"/>
      <c r="H150" s="118"/>
      <c r="I150" s="118"/>
      <c r="J150" s="118"/>
      <c r="K150" s="118"/>
      <c r="L150" s="118">
        <v>0</v>
      </c>
      <c r="M150" s="118"/>
      <c r="N150" s="118"/>
      <c r="O150" s="118"/>
      <c r="P150" s="118">
        <v>0</v>
      </c>
      <c r="Q150" s="118"/>
      <c r="R150" s="118">
        <v>0</v>
      </c>
    </row>
    <row r="151" spans="1:18" ht="30">
      <c r="A151" s="119" t="s">
        <v>175</v>
      </c>
      <c r="B151" s="119" t="s">
        <v>1368</v>
      </c>
      <c r="C151" s="118"/>
      <c r="D151" s="118"/>
      <c r="E151" s="118"/>
      <c r="F151" s="118"/>
      <c r="G151" s="118"/>
      <c r="H151" s="118"/>
      <c r="I151" s="118"/>
      <c r="J151" s="118"/>
      <c r="K151" s="118"/>
      <c r="L151" s="118">
        <v>0</v>
      </c>
      <c r="M151" s="118"/>
      <c r="N151" s="118"/>
      <c r="O151" s="118"/>
      <c r="P151" s="118">
        <v>0</v>
      </c>
      <c r="Q151" s="118"/>
      <c r="R151" s="118">
        <v>0</v>
      </c>
    </row>
    <row r="152" spans="1:18" ht="45">
      <c r="A152" s="119" t="s">
        <v>175</v>
      </c>
      <c r="B152" s="119" t="s">
        <v>1363</v>
      </c>
      <c r="C152" s="118"/>
      <c r="D152" s="118"/>
      <c r="E152" s="118"/>
      <c r="F152" s="118"/>
      <c r="G152" s="118"/>
      <c r="H152" s="118"/>
      <c r="I152" s="118"/>
      <c r="J152" s="118"/>
      <c r="K152" s="118"/>
      <c r="L152" s="118">
        <v>0</v>
      </c>
      <c r="M152" s="118"/>
      <c r="N152" s="118"/>
      <c r="O152" s="118"/>
      <c r="P152" s="118">
        <v>0</v>
      </c>
      <c r="Q152" s="118"/>
      <c r="R152" s="118">
        <v>0</v>
      </c>
    </row>
    <row r="153" spans="1:18" ht="45">
      <c r="A153" s="119" t="s">
        <v>175</v>
      </c>
      <c r="B153" s="119" t="s">
        <v>1364</v>
      </c>
      <c r="C153" s="118"/>
      <c r="D153" s="118"/>
      <c r="E153" s="118"/>
      <c r="F153" s="118"/>
      <c r="G153" s="118"/>
      <c r="H153" s="118"/>
      <c r="I153" s="118"/>
      <c r="J153" s="118"/>
      <c r="K153" s="118"/>
      <c r="L153" s="118">
        <v>0</v>
      </c>
      <c r="M153" s="118"/>
      <c r="N153" s="118"/>
      <c r="O153" s="118"/>
      <c r="P153" s="118">
        <v>0</v>
      </c>
      <c r="Q153" s="118"/>
      <c r="R153" s="118">
        <v>0</v>
      </c>
    </row>
    <row r="154" spans="1:18" ht="45">
      <c r="A154" s="119" t="s">
        <v>175</v>
      </c>
      <c r="B154" s="119" t="s">
        <v>1362</v>
      </c>
      <c r="C154" s="118"/>
      <c r="D154" s="118"/>
      <c r="E154" s="118"/>
      <c r="F154" s="118"/>
      <c r="G154" s="118"/>
      <c r="H154" s="118"/>
      <c r="I154" s="118"/>
      <c r="J154" s="118"/>
      <c r="K154" s="118">
        <v>54495</v>
      </c>
      <c r="L154" s="118">
        <v>0</v>
      </c>
      <c r="M154" s="118"/>
      <c r="N154" s="118"/>
      <c r="O154" s="118">
        <v>54495</v>
      </c>
      <c r="P154" s="118">
        <v>0</v>
      </c>
      <c r="Q154" s="118">
        <v>54495</v>
      </c>
      <c r="R154" s="118">
        <v>0</v>
      </c>
    </row>
    <row r="155" spans="1:18" ht="45">
      <c r="A155" s="119" t="s">
        <v>175</v>
      </c>
      <c r="B155" s="119" t="s">
        <v>1366</v>
      </c>
      <c r="C155" s="118"/>
      <c r="D155" s="118"/>
      <c r="E155" s="118"/>
      <c r="F155" s="118"/>
      <c r="G155" s="118"/>
      <c r="H155" s="118"/>
      <c r="I155" s="118"/>
      <c r="J155" s="118"/>
      <c r="K155" s="118"/>
      <c r="L155" s="118">
        <v>0</v>
      </c>
      <c r="M155" s="118"/>
      <c r="N155" s="118"/>
      <c r="O155" s="118"/>
      <c r="P155" s="118">
        <v>0</v>
      </c>
      <c r="Q155" s="118"/>
      <c r="R155" s="118">
        <v>0</v>
      </c>
    </row>
    <row r="156" spans="1:18" ht="60">
      <c r="A156" s="119" t="s">
        <v>175</v>
      </c>
      <c r="B156" s="119" t="s">
        <v>1365</v>
      </c>
      <c r="C156" s="118"/>
      <c r="D156" s="118"/>
      <c r="E156" s="118"/>
      <c r="F156" s="118"/>
      <c r="G156" s="118"/>
      <c r="H156" s="118"/>
      <c r="I156" s="118"/>
      <c r="J156" s="118"/>
      <c r="K156" s="118"/>
      <c r="L156" s="118">
        <v>0</v>
      </c>
      <c r="M156" s="118"/>
      <c r="N156" s="118"/>
      <c r="O156" s="118"/>
      <c r="P156" s="118">
        <v>0</v>
      </c>
      <c r="Q156" s="118"/>
      <c r="R156" s="118">
        <v>0</v>
      </c>
    </row>
    <row r="157" spans="1:18" ht="30">
      <c r="A157" s="119" t="s">
        <v>175</v>
      </c>
      <c r="B157" s="119" t="s">
        <v>1367</v>
      </c>
      <c r="C157" s="118"/>
      <c r="D157" s="118"/>
      <c r="E157" s="118"/>
      <c r="F157" s="118"/>
      <c r="G157" s="118"/>
      <c r="H157" s="118"/>
      <c r="I157" s="118"/>
      <c r="J157" s="118"/>
      <c r="K157" s="118"/>
      <c r="L157" s="118">
        <v>0</v>
      </c>
      <c r="M157" s="118"/>
      <c r="N157" s="118"/>
      <c r="O157" s="118"/>
      <c r="P157" s="118">
        <v>0</v>
      </c>
      <c r="Q157" s="118"/>
      <c r="R157" s="118">
        <v>0</v>
      </c>
    </row>
    <row r="158" spans="1:18" ht="105">
      <c r="A158" s="119" t="s">
        <v>175</v>
      </c>
      <c r="B158" s="119" t="s">
        <v>1360</v>
      </c>
      <c r="C158" s="118"/>
      <c r="D158" s="118"/>
      <c r="E158" s="118"/>
      <c r="F158" s="118"/>
      <c r="G158" s="118"/>
      <c r="H158" s="118"/>
      <c r="I158" s="118"/>
      <c r="J158" s="118"/>
      <c r="K158" s="118"/>
      <c r="L158" s="118">
        <v>0</v>
      </c>
      <c r="M158" s="118"/>
      <c r="N158" s="118"/>
      <c r="O158" s="118"/>
      <c r="P158" s="118">
        <v>0</v>
      </c>
      <c r="Q158" s="118"/>
      <c r="R158" s="118">
        <v>0</v>
      </c>
    </row>
    <row r="159" spans="1:18" ht="75">
      <c r="A159" s="119" t="s">
        <v>175</v>
      </c>
      <c r="B159" s="119" t="s">
        <v>1361</v>
      </c>
      <c r="C159" s="118"/>
      <c r="D159" s="118"/>
      <c r="E159" s="118"/>
      <c r="F159" s="118"/>
      <c r="G159" s="118"/>
      <c r="H159" s="118"/>
      <c r="I159" s="118"/>
      <c r="J159" s="118"/>
      <c r="K159" s="118"/>
      <c r="L159" s="118">
        <v>0</v>
      </c>
      <c r="M159" s="118"/>
      <c r="N159" s="118"/>
      <c r="O159" s="118"/>
      <c r="P159" s="118">
        <v>0</v>
      </c>
      <c r="Q159" s="118"/>
      <c r="R159" s="118">
        <v>0</v>
      </c>
    </row>
    <row r="160" spans="1:18">
      <c r="A160" s="119" t="s">
        <v>175</v>
      </c>
      <c r="B160" t="s">
        <v>1874</v>
      </c>
      <c r="C160" s="118"/>
      <c r="D160" s="118"/>
      <c r="E160" s="118"/>
      <c r="F160" s="118"/>
      <c r="G160" s="118">
        <v>44509.380000000121</v>
      </c>
      <c r="H160" s="118">
        <v>0</v>
      </c>
      <c r="I160" s="118"/>
      <c r="J160" s="118"/>
      <c r="K160" s="118"/>
      <c r="L160" s="118"/>
      <c r="M160" s="118"/>
      <c r="N160" s="118"/>
      <c r="O160" s="118">
        <v>44509.380000000121</v>
      </c>
      <c r="P160" s="118">
        <v>0</v>
      </c>
      <c r="Q160" s="118">
        <v>44509.380000000121</v>
      </c>
      <c r="R160" s="118">
        <v>0</v>
      </c>
    </row>
    <row r="161" spans="1:18">
      <c r="A161" s="119" t="s">
        <v>183</v>
      </c>
      <c r="B161" s="119" t="s">
        <v>185</v>
      </c>
      <c r="C161" s="118"/>
      <c r="D161" s="118"/>
      <c r="E161" s="118"/>
      <c r="F161" s="118"/>
      <c r="G161" s="118">
        <v>0</v>
      </c>
      <c r="H161" s="118">
        <v>0</v>
      </c>
      <c r="I161" s="118"/>
      <c r="J161" s="118"/>
      <c r="K161" s="118"/>
      <c r="L161" s="118"/>
      <c r="M161" s="118"/>
      <c r="N161" s="118"/>
      <c r="O161" s="118">
        <v>0</v>
      </c>
      <c r="P161" s="118">
        <v>0</v>
      </c>
      <c r="Q161" s="118">
        <v>0</v>
      </c>
      <c r="R161" s="118">
        <v>0</v>
      </c>
    </row>
    <row r="162" spans="1:18" ht="45">
      <c r="A162" s="119" t="s">
        <v>183</v>
      </c>
      <c r="B162" s="119" t="s">
        <v>1832</v>
      </c>
      <c r="C162" s="118"/>
      <c r="D162" s="118"/>
      <c r="E162" s="118"/>
      <c r="F162" s="118"/>
      <c r="G162" s="118"/>
      <c r="H162" s="118"/>
      <c r="I162" s="118"/>
      <c r="J162" s="118">
        <v>0</v>
      </c>
      <c r="K162" s="118"/>
      <c r="L162" s="118"/>
      <c r="M162" s="118"/>
      <c r="N162" s="118"/>
      <c r="O162" s="118"/>
      <c r="P162" s="118">
        <v>0</v>
      </c>
      <c r="Q162" s="118"/>
      <c r="R162" s="118">
        <v>0</v>
      </c>
    </row>
    <row r="163" spans="1:18" ht="45">
      <c r="A163" s="119" t="s">
        <v>183</v>
      </c>
      <c r="B163" s="119" t="s">
        <v>1815</v>
      </c>
      <c r="C163" s="118"/>
      <c r="D163" s="118">
        <v>10602.859999999986</v>
      </c>
      <c r="E163" s="118"/>
      <c r="F163" s="118">
        <v>10602.859999999986</v>
      </c>
      <c r="G163" s="118"/>
      <c r="H163" s="118"/>
      <c r="I163" s="118"/>
      <c r="J163" s="118"/>
      <c r="K163" s="118"/>
      <c r="L163" s="118"/>
      <c r="M163" s="118"/>
      <c r="N163" s="118"/>
      <c r="O163" s="118"/>
      <c r="P163" s="118"/>
      <c r="Q163" s="118"/>
      <c r="R163" s="118">
        <v>10602.859999999986</v>
      </c>
    </row>
    <row r="164" spans="1:18" ht="30">
      <c r="A164" s="119" t="s">
        <v>183</v>
      </c>
      <c r="B164" s="119" t="s">
        <v>331</v>
      </c>
      <c r="C164" s="118"/>
      <c r="D164" s="118"/>
      <c r="E164" s="118"/>
      <c r="F164" s="118"/>
      <c r="G164" s="118"/>
      <c r="H164" s="118"/>
      <c r="I164" s="118"/>
      <c r="J164" s="118"/>
      <c r="K164" s="118">
        <v>0</v>
      </c>
      <c r="L164" s="118">
        <v>0</v>
      </c>
      <c r="M164" s="118"/>
      <c r="N164" s="118"/>
      <c r="O164" s="118">
        <v>0</v>
      </c>
      <c r="P164" s="118">
        <v>0</v>
      </c>
      <c r="Q164" s="118">
        <v>0</v>
      </c>
      <c r="R164" s="118">
        <v>0</v>
      </c>
    </row>
    <row r="165" spans="1:18" ht="45">
      <c r="A165" s="119" t="s">
        <v>183</v>
      </c>
      <c r="B165" s="119" t="s">
        <v>25</v>
      </c>
      <c r="C165" s="118"/>
      <c r="D165" s="118"/>
      <c r="E165" s="118"/>
      <c r="F165" s="118"/>
      <c r="G165" s="118"/>
      <c r="H165" s="118"/>
      <c r="I165" s="118"/>
      <c r="J165" s="118"/>
      <c r="K165" s="118">
        <v>0</v>
      </c>
      <c r="L165" s="118">
        <v>0</v>
      </c>
      <c r="M165" s="118"/>
      <c r="N165" s="118"/>
      <c r="O165" s="118">
        <v>0</v>
      </c>
      <c r="P165" s="118">
        <v>0</v>
      </c>
      <c r="Q165" s="118">
        <v>0</v>
      </c>
      <c r="R165" s="118">
        <v>0</v>
      </c>
    </row>
    <row r="166" spans="1:18" ht="30">
      <c r="A166" s="119" t="s">
        <v>183</v>
      </c>
      <c r="B166" s="119" t="s">
        <v>187</v>
      </c>
      <c r="C166" s="118">
        <v>0</v>
      </c>
      <c r="D166" s="118">
        <v>0</v>
      </c>
      <c r="E166" s="118">
        <v>0</v>
      </c>
      <c r="F166" s="118">
        <v>0</v>
      </c>
      <c r="G166" s="118"/>
      <c r="H166" s="118"/>
      <c r="I166" s="118"/>
      <c r="J166" s="118"/>
      <c r="K166" s="118"/>
      <c r="L166" s="118"/>
      <c r="M166" s="118"/>
      <c r="N166" s="118"/>
      <c r="O166" s="118"/>
      <c r="P166" s="118"/>
      <c r="Q166" s="118">
        <v>0</v>
      </c>
      <c r="R166" s="118">
        <v>0</v>
      </c>
    </row>
    <row r="167" spans="1:18" ht="45">
      <c r="A167" s="119" t="s">
        <v>183</v>
      </c>
      <c r="B167" s="119" t="s">
        <v>1816</v>
      </c>
      <c r="C167" s="118"/>
      <c r="D167" s="118"/>
      <c r="E167" s="118"/>
      <c r="F167" s="118"/>
      <c r="G167" s="118"/>
      <c r="H167" s="118">
        <v>54462.869999999995</v>
      </c>
      <c r="I167" s="118"/>
      <c r="J167" s="118"/>
      <c r="K167" s="118"/>
      <c r="L167" s="118"/>
      <c r="M167" s="118"/>
      <c r="N167" s="118"/>
      <c r="O167" s="118"/>
      <c r="P167" s="118">
        <v>54462.869999999995</v>
      </c>
      <c r="Q167" s="118"/>
      <c r="R167" s="118">
        <v>54462.869999999995</v>
      </c>
    </row>
    <row r="168" spans="1:18" ht="45">
      <c r="A168" s="119" t="s">
        <v>183</v>
      </c>
      <c r="B168" s="119" t="s">
        <v>1819</v>
      </c>
      <c r="C168" s="118"/>
      <c r="D168" s="118"/>
      <c r="E168" s="118"/>
      <c r="F168" s="118"/>
      <c r="G168" s="118"/>
      <c r="H168" s="118">
        <v>64855.649999999994</v>
      </c>
      <c r="I168" s="118"/>
      <c r="J168" s="118"/>
      <c r="K168" s="118"/>
      <c r="L168" s="118"/>
      <c r="M168" s="118"/>
      <c r="N168" s="118"/>
      <c r="O168" s="118"/>
      <c r="P168" s="118">
        <v>64855.649999999994</v>
      </c>
      <c r="Q168" s="118"/>
      <c r="R168" s="118">
        <v>64855.649999999994</v>
      </c>
    </row>
    <row r="169" spans="1:18" ht="45">
      <c r="A169" s="119" t="s">
        <v>183</v>
      </c>
      <c r="B169" s="119" t="s">
        <v>1818</v>
      </c>
      <c r="C169" s="118"/>
      <c r="D169" s="118"/>
      <c r="E169" s="118"/>
      <c r="F169" s="118"/>
      <c r="G169" s="118"/>
      <c r="H169" s="118">
        <v>51238.649999999994</v>
      </c>
      <c r="I169" s="118"/>
      <c r="J169" s="118"/>
      <c r="K169" s="118"/>
      <c r="L169" s="118"/>
      <c r="M169" s="118"/>
      <c r="N169" s="118"/>
      <c r="O169" s="118"/>
      <c r="P169" s="118">
        <v>51238.649999999994</v>
      </c>
      <c r="Q169" s="118"/>
      <c r="R169" s="118">
        <v>51238.649999999994</v>
      </c>
    </row>
    <row r="170" spans="1:18" ht="30">
      <c r="A170" s="119" t="s">
        <v>183</v>
      </c>
      <c r="B170" s="119" t="s">
        <v>1817</v>
      </c>
      <c r="C170" s="118"/>
      <c r="D170" s="118"/>
      <c r="E170" s="118"/>
      <c r="F170" s="118"/>
      <c r="G170" s="118"/>
      <c r="H170" s="118">
        <v>34256.829999999994</v>
      </c>
      <c r="I170" s="118"/>
      <c r="J170" s="118"/>
      <c r="K170" s="118"/>
      <c r="L170" s="118"/>
      <c r="M170" s="118"/>
      <c r="N170" s="118"/>
      <c r="O170" s="118"/>
      <c r="P170" s="118">
        <v>34256.829999999994</v>
      </c>
      <c r="Q170" s="118"/>
      <c r="R170" s="118">
        <v>34256.829999999994</v>
      </c>
    </row>
    <row r="171" spans="1:18" ht="30">
      <c r="A171" s="119" t="s">
        <v>188</v>
      </c>
      <c r="B171" s="119" t="s">
        <v>192</v>
      </c>
      <c r="C171" s="118">
        <v>4595.9400000000314</v>
      </c>
      <c r="D171" s="118">
        <v>0</v>
      </c>
      <c r="E171" s="118">
        <v>4595.9400000000314</v>
      </c>
      <c r="F171" s="118">
        <v>0</v>
      </c>
      <c r="G171" s="118"/>
      <c r="H171" s="118"/>
      <c r="I171" s="118"/>
      <c r="J171" s="118"/>
      <c r="K171" s="118"/>
      <c r="L171" s="118"/>
      <c r="M171" s="118"/>
      <c r="N171" s="118"/>
      <c r="O171" s="118"/>
      <c r="P171" s="118"/>
      <c r="Q171" s="118">
        <v>4595.9400000000314</v>
      </c>
      <c r="R171" s="118">
        <v>0</v>
      </c>
    </row>
    <row r="172" spans="1:18" ht="45">
      <c r="A172" s="119" t="s">
        <v>188</v>
      </c>
      <c r="B172" s="119" t="s">
        <v>982</v>
      </c>
      <c r="C172" s="118"/>
      <c r="D172" s="118"/>
      <c r="E172" s="118"/>
      <c r="F172" s="118"/>
      <c r="G172" s="118">
        <v>-36131.849999999977</v>
      </c>
      <c r="H172" s="118">
        <v>36131.849999999977</v>
      </c>
      <c r="I172" s="118"/>
      <c r="J172" s="118"/>
      <c r="K172" s="118"/>
      <c r="L172" s="118"/>
      <c r="M172" s="118"/>
      <c r="N172" s="118"/>
      <c r="O172" s="118">
        <v>-36131.849999999977</v>
      </c>
      <c r="P172" s="118">
        <v>36131.849999999977</v>
      </c>
      <c r="Q172" s="118">
        <v>-36131.849999999977</v>
      </c>
      <c r="R172" s="118">
        <v>36131.849999999977</v>
      </c>
    </row>
    <row r="173" spans="1:18" ht="45">
      <c r="A173" s="119" t="s">
        <v>188</v>
      </c>
      <c r="B173" s="119" t="s">
        <v>1832</v>
      </c>
      <c r="C173" s="118"/>
      <c r="D173" s="118"/>
      <c r="E173" s="118"/>
      <c r="F173" s="118"/>
      <c r="G173" s="118"/>
      <c r="H173" s="118"/>
      <c r="I173" s="118"/>
      <c r="J173" s="118">
        <v>0</v>
      </c>
      <c r="K173" s="118"/>
      <c r="L173" s="118"/>
      <c r="M173" s="118"/>
      <c r="N173" s="118"/>
      <c r="O173" s="118"/>
      <c r="P173" s="118">
        <v>0</v>
      </c>
      <c r="Q173" s="118"/>
      <c r="R173" s="118">
        <v>0</v>
      </c>
    </row>
    <row r="174" spans="1:18" ht="30">
      <c r="A174" s="119" t="s">
        <v>188</v>
      </c>
      <c r="B174" s="119" t="s">
        <v>322</v>
      </c>
      <c r="C174" s="118"/>
      <c r="D174" s="118"/>
      <c r="E174" s="118"/>
      <c r="F174" s="118"/>
      <c r="G174" s="118">
        <v>105.79000000000815</v>
      </c>
      <c r="H174" s="118">
        <v>0</v>
      </c>
      <c r="I174" s="118"/>
      <c r="J174" s="118"/>
      <c r="K174" s="118"/>
      <c r="L174" s="118"/>
      <c r="M174" s="118"/>
      <c r="N174" s="118"/>
      <c r="O174" s="118">
        <v>105.79000000000815</v>
      </c>
      <c r="P174" s="118">
        <v>0</v>
      </c>
      <c r="Q174" s="118">
        <v>105.79000000000815</v>
      </c>
      <c r="R174" s="118">
        <v>0</v>
      </c>
    </row>
    <row r="175" spans="1:18" ht="45">
      <c r="A175" s="119" t="s">
        <v>188</v>
      </c>
      <c r="B175" s="119" t="s">
        <v>190</v>
      </c>
      <c r="C175" s="118"/>
      <c r="D175" s="118"/>
      <c r="E175" s="118"/>
      <c r="F175" s="118"/>
      <c r="G175" s="118">
        <v>215.61000000001513</v>
      </c>
      <c r="H175" s="118">
        <v>0</v>
      </c>
      <c r="I175" s="118"/>
      <c r="J175" s="118"/>
      <c r="K175" s="118"/>
      <c r="L175" s="118"/>
      <c r="M175" s="118"/>
      <c r="N175" s="118"/>
      <c r="O175" s="118">
        <v>215.61000000001513</v>
      </c>
      <c r="P175" s="118">
        <v>0</v>
      </c>
      <c r="Q175" s="118">
        <v>215.61000000001513</v>
      </c>
      <c r="R175" s="118">
        <v>0</v>
      </c>
    </row>
    <row r="176" spans="1:18" ht="45">
      <c r="A176" s="119" t="s">
        <v>188</v>
      </c>
      <c r="B176" s="119" t="s">
        <v>25</v>
      </c>
      <c r="C176" s="118"/>
      <c r="D176" s="118"/>
      <c r="E176" s="118"/>
      <c r="F176" s="118"/>
      <c r="G176" s="118"/>
      <c r="H176" s="118"/>
      <c r="I176" s="118"/>
      <c r="J176" s="118"/>
      <c r="K176" s="118">
        <v>6.9999999999708962E-2</v>
      </c>
      <c r="L176" s="118">
        <v>0</v>
      </c>
      <c r="M176" s="118"/>
      <c r="N176" s="118"/>
      <c r="O176" s="118">
        <v>6.9999999999708962E-2</v>
      </c>
      <c r="P176" s="118">
        <v>0</v>
      </c>
      <c r="Q176" s="118">
        <v>6.9999999999708962E-2</v>
      </c>
      <c r="R176" s="118">
        <v>0</v>
      </c>
    </row>
    <row r="177" spans="1:18" ht="45">
      <c r="A177" s="119" t="s">
        <v>188</v>
      </c>
      <c r="B177" s="119" t="s">
        <v>195</v>
      </c>
      <c r="C177" s="118"/>
      <c r="D177" s="118"/>
      <c r="E177" s="118"/>
      <c r="F177" s="118"/>
      <c r="G177" s="118">
        <v>-26460.260000000009</v>
      </c>
      <c r="H177" s="118">
        <v>26460.260000000009</v>
      </c>
      <c r="I177" s="118"/>
      <c r="J177" s="118"/>
      <c r="K177" s="118"/>
      <c r="L177" s="118"/>
      <c r="M177" s="118"/>
      <c r="N177" s="118"/>
      <c r="O177" s="118">
        <v>-26460.260000000009</v>
      </c>
      <c r="P177" s="118">
        <v>26460.260000000009</v>
      </c>
      <c r="Q177" s="118">
        <v>-26460.260000000009</v>
      </c>
      <c r="R177" s="118">
        <v>26460.260000000009</v>
      </c>
    </row>
    <row r="178" spans="1:18" ht="60">
      <c r="A178" s="119" t="s">
        <v>188</v>
      </c>
      <c r="B178" s="119" t="s">
        <v>197</v>
      </c>
      <c r="C178" s="118"/>
      <c r="D178" s="118"/>
      <c r="E178" s="118"/>
      <c r="F178" s="118"/>
      <c r="G178" s="118">
        <v>62889.319999999949</v>
      </c>
      <c r="H178" s="118">
        <v>0</v>
      </c>
      <c r="I178" s="118"/>
      <c r="J178" s="118"/>
      <c r="K178" s="118"/>
      <c r="L178" s="118"/>
      <c r="M178" s="118"/>
      <c r="N178" s="118"/>
      <c r="O178" s="118">
        <v>62889.319999999949</v>
      </c>
      <c r="P178" s="118">
        <v>0</v>
      </c>
      <c r="Q178" s="118">
        <v>62889.319999999949</v>
      </c>
      <c r="R178" s="118">
        <v>0</v>
      </c>
    </row>
    <row r="179" spans="1:18" ht="30">
      <c r="A179" s="119" t="s">
        <v>19</v>
      </c>
      <c r="B179" s="119" t="s">
        <v>22</v>
      </c>
      <c r="C179" s="118">
        <v>0</v>
      </c>
      <c r="D179" s="118">
        <v>0</v>
      </c>
      <c r="E179" s="118">
        <v>0</v>
      </c>
      <c r="F179" s="118">
        <v>0</v>
      </c>
      <c r="G179" s="118"/>
      <c r="H179" s="118"/>
      <c r="I179" s="118"/>
      <c r="J179" s="118"/>
      <c r="K179" s="118"/>
      <c r="L179" s="118"/>
      <c r="M179" s="118"/>
      <c r="N179" s="118"/>
      <c r="O179" s="118"/>
      <c r="P179" s="118"/>
      <c r="Q179" s="118">
        <v>0</v>
      </c>
      <c r="R179" s="118">
        <v>0</v>
      </c>
    </row>
    <row r="180" spans="1:18" ht="90">
      <c r="A180" s="119" t="s">
        <v>19</v>
      </c>
      <c r="B180" s="119" t="s">
        <v>992</v>
      </c>
      <c r="C180" s="118"/>
      <c r="D180" s="118"/>
      <c r="E180" s="118"/>
      <c r="F180" s="118"/>
      <c r="G180" s="118"/>
      <c r="H180" s="118">
        <v>0</v>
      </c>
      <c r="I180" s="118"/>
      <c r="J180" s="118"/>
      <c r="K180" s="118"/>
      <c r="L180" s="118"/>
      <c r="M180" s="118"/>
      <c r="N180" s="118"/>
      <c r="O180" s="118"/>
      <c r="P180" s="118">
        <v>0</v>
      </c>
      <c r="Q180" s="118"/>
      <c r="R180" s="118">
        <v>0</v>
      </c>
    </row>
    <row r="181" spans="1:18" ht="60">
      <c r="A181" s="119" t="s">
        <v>19</v>
      </c>
      <c r="B181" s="119" t="s">
        <v>987</v>
      </c>
      <c r="C181" s="118"/>
      <c r="D181" s="118"/>
      <c r="E181" s="118"/>
      <c r="F181" s="118"/>
      <c r="G181" s="118"/>
      <c r="H181" s="118">
        <v>0</v>
      </c>
      <c r="I181" s="118"/>
      <c r="J181" s="118"/>
      <c r="K181" s="118"/>
      <c r="L181" s="118"/>
      <c r="M181" s="118"/>
      <c r="N181" s="118"/>
      <c r="O181" s="118"/>
      <c r="P181" s="118">
        <v>0</v>
      </c>
      <c r="Q181" s="118"/>
      <c r="R181" s="118">
        <v>0</v>
      </c>
    </row>
    <row r="182" spans="1:18" ht="30">
      <c r="A182" s="119" t="s">
        <v>19</v>
      </c>
      <c r="B182" s="119" t="s">
        <v>995</v>
      </c>
      <c r="C182" s="118"/>
      <c r="D182" s="118"/>
      <c r="E182" s="118"/>
      <c r="F182" s="118"/>
      <c r="G182" s="118">
        <v>266805.44000000018</v>
      </c>
      <c r="H182" s="118">
        <v>0</v>
      </c>
      <c r="I182" s="118"/>
      <c r="J182" s="118"/>
      <c r="K182" s="118"/>
      <c r="L182" s="118"/>
      <c r="M182" s="118"/>
      <c r="N182" s="118"/>
      <c r="O182" s="118">
        <v>266805.44000000018</v>
      </c>
      <c r="P182" s="118">
        <v>0</v>
      </c>
      <c r="Q182" s="118">
        <v>266805.44000000018</v>
      </c>
      <c r="R182" s="118">
        <v>0</v>
      </c>
    </row>
    <row r="183" spans="1:18" ht="30">
      <c r="A183" s="119" t="s">
        <v>19</v>
      </c>
      <c r="B183" s="119" t="s">
        <v>994</v>
      </c>
      <c r="C183" s="118"/>
      <c r="D183" s="118"/>
      <c r="E183" s="118"/>
      <c r="F183" s="118"/>
      <c r="G183" s="118"/>
      <c r="H183" s="118">
        <v>0</v>
      </c>
      <c r="I183" s="118"/>
      <c r="J183" s="118"/>
      <c r="K183" s="118"/>
      <c r="L183" s="118"/>
      <c r="M183" s="118"/>
      <c r="N183" s="118"/>
      <c r="O183" s="118"/>
      <c r="P183" s="118">
        <v>0</v>
      </c>
      <c r="Q183" s="118"/>
      <c r="R183" s="118">
        <v>0</v>
      </c>
    </row>
    <row r="184" spans="1:18" ht="45">
      <c r="A184" s="119" t="s">
        <v>19</v>
      </c>
      <c r="B184" s="119" t="s">
        <v>988</v>
      </c>
      <c r="C184" s="118"/>
      <c r="D184" s="118"/>
      <c r="E184" s="118"/>
      <c r="F184" s="118"/>
      <c r="G184" s="118">
        <v>9954.7299999999959</v>
      </c>
      <c r="H184" s="118"/>
      <c r="I184" s="118"/>
      <c r="J184" s="118"/>
      <c r="K184" s="118"/>
      <c r="L184" s="118"/>
      <c r="M184" s="118"/>
      <c r="N184" s="118"/>
      <c r="O184" s="118">
        <v>9954.7299999999959</v>
      </c>
      <c r="P184" s="118"/>
      <c r="Q184" s="118">
        <v>9954.7299999999959</v>
      </c>
      <c r="R184" s="118"/>
    </row>
    <row r="185" spans="1:18" ht="45">
      <c r="A185" s="119" t="s">
        <v>19</v>
      </c>
      <c r="B185" s="119" t="s">
        <v>986</v>
      </c>
      <c r="C185" s="118"/>
      <c r="D185" s="118"/>
      <c r="E185" s="118"/>
      <c r="F185" s="118"/>
      <c r="G185" s="118"/>
      <c r="H185" s="118">
        <v>0</v>
      </c>
      <c r="I185" s="118"/>
      <c r="J185" s="118"/>
      <c r="K185" s="118"/>
      <c r="L185" s="118"/>
      <c r="M185" s="118"/>
      <c r="N185" s="118"/>
      <c r="O185" s="118"/>
      <c r="P185" s="118">
        <v>0</v>
      </c>
      <c r="Q185" s="118"/>
      <c r="R185" s="118">
        <v>0</v>
      </c>
    </row>
    <row r="186" spans="1:18" ht="105">
      <c r="A186" s="119" t="s">
        <v>19</v>
      </c>
      <c r="B186" s="119" t="s">
        <v>991</v>
      </c>
      <c r="C186" s="118"/>
      <c r="D186" s="118"/>
      <c r="E186" s="118"/>
      <c r="F186" s="118"/>
      <c r="G186" s="118">
        <v>8455.3399999999965</v>
      </c>
      <c r="H186" s="118">
        <v>0</v>
      </c>
      <c r="I186" s="118"/>
      <c r="J186" s="118"/>
      <c r="K186" s="118"/>
      <c r="L186" s="118"/>
      <c r="M186" s="118"/>
      <c r="N186" s="118"/>
      <c r="O186" s="118">
        <v>8455.3399999999965</v>
      </c>
      <c r="P186" s="118">
        <v>0</v>
      </c>
      <c r="Q186" s="118">
        <v>8455.3399999999965</v>
      </c>
      <c r="R186" s="118">
        <v>0</v>
      </c>
    </row>
    <row r="187" spans="1:18" ht="45">
      <c r="A187" s="119" t="s">
        <v>19</v>
      </c>
      <c r="B187" s="119" t="s">
        <v>147</v>
      </c>
      <c r="C187" s="118"/>
      <c r="D187" s="118"/>
      <c r="E187" s="118"/>
      <c r="F187" s="118"/>
      <c r="G187" s="118"/>
      <c r="H187" s="118"/>
      <c r="I187" s="118"/>
      <c r="J187" s="118">
        <v>84260.69</v>
      </c>
      <c r="K187" s="118"/>
      <c r="L187" s="118"/>
      <c r="M187" s="118"/>
      <c r="N187" s="118"/>
      <c r="O187" s="118"/>
      <c r="P187" s="118">
        <v>84260.69</v>
      </c>
      <c r="Q187" s="118"/>
      <c r="R187" s="118">
        <v>84260.69</v>
      </c>
    </row>
    <row r="188" spans="1:18" ht="45">
      <c r="A188" s="119" t="s">
        <v>19</v>
      </c>
      <c r="B188" s="119" t="s">
        <v>1832</v>
      </c>
      <c r="C188" s="118"/>
      <c r="D188" s="118"/>
      <c r="E188" s="118"/>
      <c r="F188" s="118"/>
      <c r="G188" s="118"/>
      <c r="H188" s="118"/>
      <c r="I188" s="118"/>
      <c r="J188" s="118">
        <v>0</v>
      </c>
      <c r="K188" s="118"/>
      <c r="L188" s="118"/>
      <c r="M188" s="118"/>
      <c r="N188" s="118"/>
      <c r="O188" s="118"/>
      <c r="P188" s="118">
        <v>0</v>
      </c>
      <c r="Q188" s="118"/>
      <c r="R188" s="118">
        <v>0</v>
      </c>
    </row>
    <row r="189" spans="1:18">
      <c r="A189" s="119" t="s">
        <v>19</v>
      </c>
      <c r="B189" s="119" t="s">
        <v>1824</v>
      </c>
      <c r="C189" s="118"/>
      <c r="D189" s="118"/>
      <c r="E189" s="118"/>
      <c r="F189" s="118"/>
      <c r="G189" s="118"/>
      <c r="H189" s="118"/>
      <c r="I189" s="118"/>
      <c r="J189" s="118"/>
      <c r="K189" s="118"/>
      <c r="L189" s="118"/>
      <c r="M189" s="118"/>
      <c r="N189" s="118"/>
      <c r="O189" s="118"/>
      <c r="P189" s="118"/>
      <c r="Q189" s="118"/>
      <c r="R189" s="118"/>
    </row>
    <row r="190" spans="1:18" ht="45">
      <c r="A190" s="119" t="s">
        <v>19</v>
      </c>
      <c r="B190" s="119" t="s">
        <v>21</v>
      </c>
      <c r="C190" s="118"/>
      <c r="D190" s="118"/>
      <c r="E190" s="118"/>
      <c r="F190" s="118"/>
      <c r="G190" s="118">
        <v>38943.450000000012</v>
      </c>
      <c r="H190" s="118">
        <v>0</v>
      </c>
      <c r="I190" s="118"/>
      <c r="J190" s="118"/>
      <c r="K190" s="118"/>
      <c r="L190" s="118"/>
      <c r="M190" s="118"/>
      <c r="N190" s="118"/>
      <c r="O190" s="118">
        <v>38943.450000000012</v>
      </c>
      <c r="P190" s="118">
        <v>0</v>
      </c>
      <c r="Q190" s="118">
        <v>38943.450000000012</v>
      </c>
      <c r="R190" s="118">
        <v>0</v>
      </c>
    </row>
    <row r="191" spans="1:18" ht="30">
      <c r="A191" s="119" t="s">
        <v>19</v>
      </c>
      <c r="B191" s="119" t="s">
        <v>983</v>
      </c>
      <c r="C191" s="118"/>
      <c r="D191" s="118"/>
      <c r="E191" s="118"/>
      <c r="F191" s="118"/>
      <c r="G191" s="118"/>
      <c r="H191" s="118"/>
      <c r="I191" s="118">
        <v>0</v>
      </c>
      <c r="J191" s="118">
        <v>0</v>
      </c>
      <c r="K191" s="118"/>
      <c r="L191" s="118"/>
      <c r="M191" s="118"/>
      <c r="N191" s="118"/>
      <c r="O191" s="118">
        <v>0</v>
      </c>
      <c r="P191" s="118">
        <v>0</v>
      </c>
      <c r="Q191" s="118">
        <v>0</v>
      </c>
      <c r="R191" s="118">
        <v>0</v>
      </c>
    </row>
    <row r="192" spans="1:18" ht="60">
      <c r="A192" s="119" t="s">
        <v>19</v>
      </c>
      <c r="B192" s="119" t="s">
        <v>984</v>
      </c>
      <c r="C192" s="118"/>
      <c r="D192" s="118"/>
      <c r="E192" s="118"/>
      <c r="F192" s="118"/>
      <c r="G192" s="118">
        <v>1000</v>
      </c>
      <c r="H192" s="118">
        <v>0</v>
      </c>
      <c r="I192" s="118"/>
      <c r="J192" s="118"/>
      <c r="K192" s="118"/>
      <c r="L192" s="118"/>
      <c r="M192" s="118"/>
      <c r="N192" s="118"/>
      <c r="O192" s="118">
        <v>1000</v>
      </c>
      <c r="P192" s="118">
        <v>0</v>
      </c>
      <c r="Q192" s="118">
        <v>1000</v>
      </c>
      <c r="R192" s="118">
        <v>0</v>
      </c>
    </row>
    <row r="193" spans="1:18" ht="60">
      <c r="A193" s="119" t="s">
        <v>19</v>
      </c>
      <c r="B193" s="119" t="s">
        <v>993</v>
      </c>
      <c r="C193" s="118"/>
      <c r="D193" s="118"/>
      <c r="E193" s="118"/>
      <c r="F193" s="118"/>
      <c r="G193" s="118"/>
      <c r="H193" s="118">
        <v>0</v>
      </c>
      <c r="I193" s="118"/>
      <c r="J193" s="118"/>
      <c r="K193" s="118"/>
      <c r="L193" s="118"/>
      <c r="M193" s="118"/>
      <c r="N193" s="118"/>
      <c r="O193" s="118"/>
      <c r="P193" s="118">
        <v>0</v>
      </c>
      <c r="Q193" s="118"/>
      <c r="R193" s="118">
        <v>0</v>
      </c>
    </row>
    <row r="194" spans="1:18" ht="60">
      <c r="A194" s="119" t="s">
        <v>19</v>
      </c>
      <c r="B194" s="119" t="s">
        <v>990</v>
      </c>
      <c r="C194" s="118"/>
      <c r="D194" s="118"/>
      <c r="E194" s="118"/>
      <c r="F194" s="118"/>
      <c r="G194" s="118"/>
      <c r="H194" s="118">
        <v>0</v>
      </c>
      <c r="I194" s="118"/>
      <c r="J194" s="118"/>
      <c r="K194" s="118"/>
      <c r="L194" s="118"/>
      <c r="M194" s="118"/>
      <c r="N194" s="118"/>
      <c r="O194" s="118"/>
      <c r="P194" s="118">
        <v>0</v>
      </c>
      <c r="Q194" s="118"/>
      <c r="R194" s="118">
        <v>0</v>
      </c>
    </row>
    <row r="195" spans="1:18" ht="30">
      <c r="A195" s="119" t="s">
        <v>19</v>
      </c>
      <c r="B195" s="119" t="s">
        <v>989</v>
      </c>
      <c r="C195" s="118"/>
      <c r="D195" s="118"/>
      <c r="E195" s="118"/>
      <c r="F195" s="118"/>
      <c r="G195" s="118"/>
      <c r="H195" s="118">
        <v>0</v>
      </c>
      <c r="I195" s="118"/>
      <c r="J195" s="118"/>
      <c r="K195" s="118"/>
      <c r="L195" s="118"/>
      <c r="M195" s="118"/>
      <c r="N195" s="118"/>
      <c r="O195" s="118"/>
      <c r="P195" s="118">
        <v>0</v>
      </c>
      <c r="Q195" s="118"/>
      <c r="R195" s="118">
        <v>0</v>
      </c>
    </row>
    <row r="196" spans="1:18" ht="45">
      <c r="A196" s="119" t="s">
        <v>19</v>
      </c>
      <c r="B196" s="119" t="s">
        <v>985</v>
      </c>
      <c r="C196" s="118"/>
      <c r="D196" s="118"/>
      <c r="E196" s="118"/>
      <c r="F196" s="118"/>
      <c r="G196" s="118">
        <v>0</v>
      </c>
      <c r="H196" s="118">
        <v>9021.7900000000081</v>
      </c>
      <c r="I196" s="118"/>
      <c r="J196" s="118"/>
      <c r="K196" s="118"/>
      <c r="L196" s="118"/>
      <c r="M196" s="118"/>
      <c r="N196" s="118"/>
      <c r="O196" s="118">
        <v>0</v>
      </c>
      <c r="P196" s="118">
        <v>9021.7900000000081</v>
      </c>
      <c r="Q196" s="118">
        <v>0</v>
      </c>
      <c r="R196" s="118">
        <v>9021.7900000000081</v>
      </c>
    </row>
    <row r="197" spans="1:18" ht="30">
      <c r="A197" s="119" t="s">
        <v>19</v>
      </c>
      <c r="B197" s="119" t="s">
        <v>1507</v>
      </c>
      <c r="C197" s="118"/>
      <c r="D197" s="118"/>
      <c r="E197" s="118"/>
      <c r="F197" s="118"/>
      <c r="G197" s="118"/>
      <c r="H197" s="118">
        <v>83250.16</v>
      </c>
      <c r="I197" s="118"/>
      <c r="J197" s="118"/>
      <c r="K197" s="118"/>
      <c r="L197" s="118"/>
      <c r="M197" s="118"/>
      <c r="N197" s="118"/>
      <c r="O197" s="118"/>
      <c r="P197" s="118">
        <v>83250.16</v>
      </c>
      <c r="Q197" s="118"/>
      <c r="R197" s="118">
        <v>83250.16</v>
      </c>
    </row>
    <row r="198" spans="1:18" ht="30">
      <c r="A198" s="119" t="s">
        <v>19</v>
      </c>
      <c r="B198" s="119" t="s">
        <v>146</v>
      </c>
      <c r="C198" s="118"/>
      <c r="D198" s="118"/>
      <c r="E198" s="118"/>
      <c r="F198" s="118"/>
      <c r="G198" s="118">
        <v>91275.869999999879</v>
      </c>
      <c r="H198" s="118">
        <v>0</v>
      </c>
      <c r="I198" s="118"/>
      <c r="J198" s="118"/>
      <c r="K198" s="118"/>
      <c r="L198" s="118"/>
      <c r="M198" s="118"/>
      <c r="N198" s="118"/>
      <c r="O198" s="118">
        <v>91275.869999999879</v>
      </c>
      <c r="P198" s="118">
        <v>0</v>
      </c>
      <c r="Q198" s="118">
        <v>91275.869999999879</v>
      </c>
      <c r="R198" s="118">
        <v>0</v>
      </c>
    </row>
    <row r="199" spans="1:18" ht="45">
      <c r="A199" s="119" t="s">
        <v>19</v>
      </c>
      <c r="B199" s="119" t="s">
        <v>25</v>
      </c>
      <c r="C199" s="118"/>
      <c r="D199" s="118"/>
      <c r="E199" s="118"/>
      <c r="F199" s="118"/>
      <c r="G199" s="118"/>
      <c r="H199" s="118"/>
      <c r="I199" s="118"/>
      <c r="J199" s="118"/>
      <c r="K199" s="118">
        <v>0</v>
      </c>
      <c r="L199" s="118">
        <v>0</v>
      </c>
      <c r="M199" s="118"/>
      <c r="N199" s="118"/>
      <c r="O199" s="118">
        <v>0</v>
      </c>
      <c r="P199" s="118">
        <v>0</v>
      </c>
      <c r="Q199" s="118">
        <v>0</v>
      </c>
      <c r="R199" s="118">
        <v>0</v>
      </c>
    </row>
    <row r="200" spans="1:18">
      <c r="A200" s="119" t="s">
        <v>19</v>
      </c>
      <c r="B200" s="119" t="s">
        <v>550</v>
      </c>
      <c r="C200" s="118"/>
      <c r="D200" s="118"/>
      <c r="E200" s="118"/>
      <c r="F200" s="118"/>
      <c r="G200" s="118">
        <v>1952.6699999999983</v>
      </c>
      <c r="H200" s="118">
        <v>0</v>
      </c>
      <c r="I200" s="118"/>
      <c r="J200" s="118"/>
      <c r="K200" s="118"/>
      <c r="L200" s="118"/>
      <c r="M200" s="118"/>
      <c r="N200" s="118"/>
      <c r="O200" s="118">
        <v>1952.6699999999983</v>
      </c>
      <c r="P200" s="118">
        <v>0</v>
      </c>
      <c r="Q200" s="118">
        <v>1952.6699999999983</v>
      </c>
      <c r="R200" s="118">
        <v>0</v>
      </c>
    </row>
    <row r="201" spans="1:18">
      <c r="A201" s="119" t="s">
        <v>19</v>
      </c>
      <c r="B201" t="s">
        <v>2012</v>
      </c>
      <c r="C201" s="118"/>
      <c r="D201" s="118"/>
      <c r="E201" s="118"/>
      <c r="F201" s="118"/>
      <c r="G201" s="118">
        <v>0</v>
      </c>
      <c r="H201" s="118">
        <v>0</v>
      </c>
      <c r="I201" s="118"/>
      <c r="J201" s="118"/>
      <c r="K201" s="118"/>
      <c r="L201" s="118"/>
      <c r="M201" s="118"/>
      <c r="N201" s="118"/>
      <c r="O201" s="118">
        <v>0</v>
      </c>
      <c r="P201" s="118">
        <v>0</v>
      </c>
      <c r="Q201" s="118">
        <v>0</v>
      </c>
      <c r="R201" s="118">
        <v>0</v>
      </c>
    </row>
    <row r="202" spans="1:18">
      <c r="A202" s="119" t="s">
        <v>19</v>
      </c>
      <c r="B202" t="s">
        <v>1992</v>
      </c>
      <c r="C202" s="118"/>
      <c r="D202" s="118"/>
      <c r="E202" s="118"/>
      <c r="F202" s="118"/>
      <c r="G202" s="118"/>
      <c r="H202" s="118">
        <v>8817.3700000000008</v>
      </c>
      <c r="I202" s="118"/>
      <c r="J202" s="118"/>
      <c r="K202" s="118"/>
      <c r="L202" s="118"/>
      <c r="M202" s="118"/>
      <c r="N202" s="118"/>
      <c r="O202" s="118"/>
      <c r="P202" s="118">
        <v>8817.3700000000008</v>
      </c>
      <c r="Q202" s="118"/>
      <c r="R202" s="118">
        <v>8817.3700000000008</v>
      </c>
    </row>
    <row r="203" spans="1:18">
      <c r="A203" s="119" t="s">
        <v>19</v>
      </c>
      <c r="B203" t="s">
        <v>1990</v>
      </c>
      <c r="C203" s="118"/>
      <c r="D203" s="118"/>
      <c r="E203" s="118"/>
      <c r="F203" s="118"/>
      <c r="G203" s="118"/>
      <c r="H203" s="118">
        <v>19797.87</v>
      </c>
      <c r="I203" s="118"/>
      <c r="J203" s="118"/>
      <c r="K203" s="118"/>
      <c r="L203" s="118"/>
      <c r="M203" s="118"/>
      <c r="N203" s="118"/>
      <c r="O203" s="118"/>
      <c r="P203" s="118">
        <v>19797.87</v>
      </c>
      <c r="Q203" s="118"/>
      <c r="R203" s="118">
        <v>19797.87</v>
      </c>
    </row>
    <row r="204" spans="1:18">
      <c r="A204" s="119" t="s">
        <v>19</v>
      </c>
      <c r="B204" t="s">
        <v>1991</v>
      </c>
      <c r="C204" s="118"/>
      <c r="D204" s="118"/>
      <c r="E204" s="118"/>
      <c r="F204" s="118"/>
      <c r="G204" s="118"/>
      <c r="H204" s="118">
        <v>17128.91</v>
      </c>
      <c r="I204" s="118"/>
      <c r="J204" s="118"/>
      <c r="K204" s="118"/>
      <c r="L204" s="118"/>
      <c r="M204" s="118"/>
      <c r="N204" s="118"/>
      <c r="O204" s="118"/>
      <c r="P204" s="118">
        <v>17128.91</v>
      </c>
      <c r="Q204" s="118"/>
      <c r="R204" s="118">
        <v>17128.91</v>
      </c>
    </row>
    <row r="205" spans="1:18">
      <c r="A205" s="119" t="s">
        <v>19</v>
      </c>
      <c r="B205" t="s">
        <v>1993</v>
      </c>
      <c r="C205" s="118"/>
      <c r="D205" s="118"/>
      <c r="E205" s="118"/>
      <c r="F205" s="118"/>
      <c r="G205" s="118"/>
      <c r="H205" s="118">
        <v>4898.12</v>
      </c>
      <c r="I205" s="118"/>
      <c r="J205" s="118"/>
      <c r="K205" s="118"/>
      <c r="L205" s="118"/>
      <c r="M205" s="118"/>
      <c r="N205" s="118"/>
      <c r="O205" s="118"/>
      <c r="P205" s="118">
        <v>4898.12</v>
      </c>
      <c r="Q205" s="118"/>
      <c r="R205" s="118">
        <v>4898.12</v>
      </c>
    </row>
    <row r="206" spans="1:18">
      <c r="A206" s="119" t="s">
        <v>19</v>
      </c>
      <c r="B206" t="s">
        <v>1995</v>
      </c>
      <c r="C206" s="118"/>
      <c r="D206" s="118"/>
      <c r="E206" s="118"/>
      <c r="F206" s="118"/>
      <c r="G206" s="118"/>
      <c r="H206" s="118">
        <v>10118.98</v>
      </c>
      <c r="I206" s="118"/>
      <c r="J206" s="118"/>
      <c r="K206" s="118"/>
      <c r="L206" s="118"/>
      <c r="M206" s="118"/>
      <c r="N206" s="118"/>
      <c r="O206" s="118"/>
      <c r="P206" s="118">
        <v>10118.98</v>
      </c>
      <c r="Q206" s="118"/>
      <c r="R206" s="118">
        <v>10118.98</v>
      </c>
    </row>
    <row r="207" spans="1:18">
      <c r="A207" s="119" t="s">
        <v>19</v>
      </c>
      <c r="B207" t="s">
        <v>1996</v>
      </c>
      <c r="C207" s="118"/>
      <c r="D207" s="118"/>
      <c r="E207" s="118"/>
      <c r="F207" s="118"/>
      <c r="G207" s="118"/>
      <c r="H207" s="118">
        <v>6015.22</v>
      </c>
      <c r="I207" s="118"/>
      <c r="J207" s="118"/>
      <c r="K207" s="118"/>
      <c r="L207" s="118"/>
      <c r="M207" s="118"/>
      <c r="N207" s="118"/>
      <c r="O207" s="118"/>
      <c r="P207" s="118">
        <v>6015.22</v>
      </c>
      <c r="Q207" s="118"/>
      <c r="R207" s="118">
        <v>6015.22</v>
      </c>
    </row>
    <row r="208" spans="1:18">
      <c r="A208" s="119" t="s">
        <v>19</v>
      </c>
      <c r="B208" t="s">
        <v>1997</v>
      </c>
      <c r="C208" s="118"/>
      <c r="D208" s="118"/>
      <c r="E208" s="118"/>
      <c r="F208" s="118"/>
      <c r="G208" s="118"/>
      <c r="H208" s="118">
        <v>15069.34</v>
      </c>
      <c r="I208" s="118"/>
      <c r="J208" s="118"/>
      <c r="K208" s="118"/>
      <c r="L208" s="118"/>
      <c r="M208" s="118"/>
      <c r="N208" s="118"/>
      <c r="O208" s="118"/>
      <c r="P208" s="118">
        <v>15069.34</v>
      </c>
      <c r="Q208" s="118"/>
      <c r="R208" s="118">
        <v>15069.34</v>
      </c>
    </row>
    <row r="209" spans="1:18" ht="30">
      <c r="A209" s="119" t="s">
        <v>155</v>
      </c>
      <c r="B209" s="119" t="s">
        <v>321</v>
      </c>
      <c r="C209" s="118"/>
      <c r="D209" s="118"/>
      <c r="E209" s="118"/>
      <c r="F209" s="118"/>
      <c r="G209" s="118">
        <v>-23426.919999999958</v>
      </c>
      <c r="H209" s="118">
        <v>23750.51999999996</v>
      </c>
      <c r="I209" s="118"/>
      <c r="J209" s="118"/>
      <c r="K209" s="118"/>
      <c r="L209" s="118"/>
      <c r="M209" s="118"/>
      <c r="N209" s="118"/>
      <c r="O209" s="118">
        <v>-23426.919999999958</v>
      </c>
      <c r="P209" s="118">
        <v>23750.51999999996</v>
      </c>
      <c r="Q209" s="118">
        <v>-23426.919999999958</v>
      </c>
      <c r="R209" s="118">
        <v>23750.51999999996</v>
      </c>
    </row>
    <row r="210" spans="1:18" ht="45">
      <c r="A210" s="119" t="s">
        <v>155</v>
      </c>
      <c r="B210" s="119" t="s">
        <v>1832</v>
      </c>
      <c r="C210" s="118"/>
      <c r="D210" s="118"/>
      <c r="E210" s="118"/>
      <c r="F210" s="118"/>
      <c r="G210" s="118"/>
      <c r="H210" s="118"/>
      <c r="I210" s="118"/>
      <c r="J210" s="118">
        <v>0</v>
      </c>
      <c r="K210" s="118"/>
      <c r="L210" s="118"/>
      <c r="M210" s="118"/>
      <c r="N210" s="118"/>
      <c r="O210" s="118"/>
      <c r="P210" s="118">
        <v>0</v>
      </c>
      <c r="Q210" s="118"/>
      <c r="R210" s="118">
        <v>0</v>
      </c>
    </row>
    <row r="211" spans="1:18" ht="30">
      <c r="A211" s="119" t="s">
        <v>155</v>
      </c>
      <c r="B211" s="119" t="s">
        <v>158</v>
      </c>
      <c r="C211" s="118"/>
      <c r="D211" s="118"/>
      <c r="E211" s="118"/>
      <c r="F211" s="118"/>
      <c r="G211" s="118">
        <v>-41693.260000000038</v>
      </c>
      <c r="H211" s="118">
        <v>42186.660000000033</v>
      </c>
      <c r="I211" s="118"/>
      <c r="J211" s="118"/>
      <c r="K211" s="118"/>
      <c r="L211" s="118"/>
      <c r="M211" s="118"/>
      <c r="N211" s="118"/>
      <c r="O211" s="118">
        <v>-41693.260000000038</v>
      </c>
      <c r="P211" s="118">
        <v>42186.660000000033</v>
      </c>
      <c r="Q211" s="118">
        <v>-41693.260000000038</v>
      </c>
      <c r="R211" s="118">
        <v>42186.660000000033</v>
      </c>
    </row>
    <row r="212" spans="1:18" ht="60">
      <c r="A212" s="119" t="s">
        <v>155</v>
      </c>
      <c r="B212" s="119" t="s">
        <v>160</v>
      </c>
      <c r="C212" s="118"/>
      <c r="D212" s="118"/>
      <c r="E212" s="118"/>
      <c r="F212" s="118"/>
      <c r="G212" s="118">
        <v>59241.450000000157</v>
      </c>
      <c r="H212" s="118">
        <v>0</v>
      </c>
      <c r="I212" s="118"/>
      <c r="J212" s="118"/>
      <c r="K212" s="118"/>
      <c r="L212" s="118"/>
      <c r="M212" s="118"/>
      <c r="N212" s="118"/>
      <c r="O212" s="118">
        <v>59241.450000000157</v>
      </c>
      <c r="P212" s="118">
        <v>0</v>
      </c>
      <c r="Q212" s="118">
        <v>59241.450000000157</v>
      </c>
      <c r="R212" s="118">
        <v>0</v>
      </c>
    </row>
    <row r="213" spans="1:18" ht="30">
      <c r="A213" s="119" t="s">
        <v>155</v>
      </c>
      <c r="B213" s="119" t="s">
        <v>1370</v>
      </c>
      <c r="C213" s="118"/>
      <c r="D213" s="118"/>
      <c r="E213" s="118"/>
      <c r="F213" s="118"/>
      <c r="G213" s="118">
        <v>13983.820000000065</v>
      </c>
      <c r="H213" s="118">
        <v>0</v>
      </c>
      <c r="I213" s="118"/>
      <c r="J213" s="118"/>
      <c r="K213" s="118"/>
      <c r="L213" s="118"/>
      <c r="M213" s="118"/>
      <c r="N213" s="118"/>
      <c r="O213" s="118">
        <v>13983.820000000065</v>
      </c>
      <c r="P213" s="118">
        <v>0</v>
      </c>
      <c r="Q213" s="118">
        <v>13983.820000000065</v>
      </c>
      <c r="R213" s="118">
        <v>0</v>
      </c>
    </row>
    <row r="214" spans="1:18" ht="30">
      <c r="A214" s="119" t="s">
        <v>155</v>
      </c>
      <c r="B214" s="119" t="s">
        <v>1526</v>
      </c>
      <c r="C214" s="118"/>
      <c r="D214" s="118"/>
      <c r="E214" s="118"/>
      <c r="F214" s="118"/>
      <c r="G214" s="118">
        <v>3245.3300000000017</v>
      </c>
      <c r="H214" s="118">
        <v>0</v>
      </c>
      <c r="I214" s="118"/>
      <c r="J214" s="118"/>
      <c r="K214" s="118"/>
      <c r="L214" s="118"/>
      <c r="M214" s="118"/>
      <c r="N214" s="118"/>
      <c r="O214" s="118">
        <v>3245.3300000000017</v>
      </c>
      <c r="P214" s="118">
        <v>0</v>
      </c>
      <c r="Q214" s="118">
        <v>3245.3300000000017</v>
      </c>
      <c r="R214" s="118">
        <v>0</v>
      </c>
    </row>
    <row r="215" spans="1:18" ht="45">
      <c r="A215" s="119" t="s">
        <v>155</v>
      </c>
      <c r="B215" s="119" t="s">
        <v>25</v>
      </c>
      <c r="C215" s="118"/>
      <c r="D215" s="118"/>
      <c r="E215" s="118"/>
      <c r="F215" s="118"/>
      <c r="G215" s="118"/>
      <c r="H215" s="118"/>
      <c r="I215" s="118"/>
      <c r="J215" s="118"/>
      <c r="K215" s="118">
        <v>0</v>
      </c>
      <c r="L215" s="118">
        <v>0</v>
      </c>
      <c r="M215" s="118"/>
      <c r="N215" s="118"/>
      <c r="O215" s="118">
        <v>0</v>
      </c>
      <c r="P215" s="118">
        <v>0</v>
      </c>
      <c r="Q215" s="118">
        <v>0</v>
      </c>
      <c r="R215" s="118">
        <v>0</v>
      </c>
    </row>
    <row r="216" spans="1:18">
      <c r="A216" s="119" t="s">
        <v>1811</v>
      </c>
      <c r="B216" s="119" t="s">
        <v>1874</v>
      </c>
      <c r="C216" s="118"/>
      <c r="D216" s="118"/>
      <c r="E216" s="118"/>
      <c r="F216" s="118"/>
      <c r="G216" s="118"/>
      <c r="H216" s="118"/>
      <c r="I216" s="118"/>
      <c r="J216" s="118"/>
      <c r="K216" s="118"/>
      <c r="L216" s="118"/>
      <c r="M216" s="118">
        <v>2055.5999999999985</v>
      </c>
      <c r="N216" s="118">
        <v>0</v>
      </c>
      <c r="O216" s="118">
        <v>2055.5999999999985</v>
      </c>
      <c r="P216" s="118">
        <v>0</v>
      </c>
      <c r="Q216" s="118">
        <v>2055.5999999999985</v>
      </c>
      <c r="R216" s="118">
        <v>0</v>
      </c>
    </row>
    <row r="217" spans="1:18">
      <c r="A217" s="119" t="s">
        <v>1672</v>
      </c>
      <c r="B217" s="119"/>
      <c r="C217" s="120">
        <v>1043189.7900000003</v>
      </c>
      <c r="D217" s="120">
        <v>914929.61</v>
      </c>
      <c r="E217" s="120">
        <v>1043189.7900000003</v>
      </c>
      <c r="F217" s="120">
        <v>914929.61</v>
      </c>
      <c r="G217" s="118">
        <v>1130869.9900000002</v>
      </c>
      <c r="H217" s="118">
        <v>647430.43000000028</v>
      </c>
      <c r="I217" s="118">
        <v>438503.01</v>
      </c>
      <c r="J217" s="118">
        <v>105068.17000000001</v>
      </c>
      <c r="K217" s="118">
        <v>77558.720000000001</v>
      </c>
      <c r="L217" s="118">
        <v>0</v>
      </c>
      <c r="M217" s="118">
        <v>2055.5999999999985</v>
      </c>
      <c r="N217" s="118">
        <v>0</v>
      </c>
      <c r="O217" s="118">
        <v>1648987.3200000008</v>
      </c>
      <c r="P217" s="118">
        <v>752498.60000000044</v>
      </c>
      <c r="Q217" s="118">
        <v>2692177.11</v>
      </c>
      <c r="R217" s="118">
        <v>1667428.2100000004</v>
      </c>
    </row>
    <row r="218" spans="1:18">
      <c r="A218"/>
      <c r="B218"/>
      <c r="C218"/>
      <c r="D218"/>
      <c r="E218"/>
      <c r="F218"/>
      <c r="G218"/>
    </row>
    <row r="219" spans="1:18">
      <c r="A219"/>
      <c r="B219"/>
      <c r="C219"/>
      <c r="D219"/>
      <c r="E219"/>
      <c r="F219"/>
      <c r="G219"/>
    </row>
    <row r="220" spans="1:18">
      <c r="A220"/>
      <c r="B220"/>
      <c r="C220"/>
      <c r="D220"/>
      <c r="E220"/>
      <c r="F220"/>
      <c r="G220"/>
    </row>
    <row r="221" spans="1:18">
      <c r="A221"/>
      <c r="B221"/>
      <c r="C221"/>
      <c r="D221"/>
      <c r="E221"/>
      <c r="F221"/>
      <c r="G221"/>
    </row>
    <row r="222" spans="1:18">
      <c r="A222"/>
      <c r="B222"/>
      <c r="C222"/>
      <c r="D222"/>
      <c r="E222"/>
      <c r="F222"/>
      <c r="G222"/>
    </row>
    <row r="223" spans="1:18">
      <c r="A223"/>
      <c r="B223"/>
      <c r="C223"/>
      <c r="D223"/>
      <c r="E223"/>
      <c r="F223"/>
      <c r="G223"/>
    </row>
    <row r="224" spans="1:18">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row r="243" spans="1:7">
      <c r="A243"/>
      <c r="B243"/>
      <c r="C243"/>
      <c r="D243"/>
      <c r="E243"/>
      <c r="F243"/>
      <c r="G243"/>
    </row>
    <row r="244" spans="1:7">
      <c r="A244"/>
      <c r="B244"/>
      <c r="C244"/>
      <c r="D244"/>
      <c r="E244"/>
      <c r="F244"/>
      <c r="G244"/>
    </row>
    <row r="245" spans="1:7">
      <c r="A245"/>
      <c r="B245"/>
      <c r="C245"/>
      <c r="D245"/>
      <c r="E245"/>
      <c r="F245"/>
      <c r="G245"/>
    </row>
    <row r="246" spans="1:7">
      <c r="A246"/>
      <c r="B246"/>
      <c r="C246"/>
      <c r="D246"/>
      <c r="E246"/>
      <c r="F246"/>
      <c r="G246"/>
    </row>
    <row r="247" spans="1:7">
      <c r="A247"/>
      <c r="B247"/>
      <c r="C247"/>
      <c r="D247"/>
      <c r="E247"/>
      <c r="F247"/>
      <c r="G247"/>
    </row>
    <row r="248" spans="1:7">
      <c r="A248"/>
      <c r="B248"/>
      <c r="C248"/>
      <c r="D248"/>
      <c r="E248"/>
      <c r="F248"/>
      <c r="G248"/>
    </row>
    <row r="249" spans="1:7">
      <c r="A249"/>
      <c r="B249"/>
      <c r="C249"/>
      <c r="D249"/>
      <c r="E249"/>
      <c r="F249"/>
      <c r="G249"/>
    </row>
    <row r="250" spans="1:7">
      <c r="A250"/>
      <c r="B250"/>
      <c r="C250"/>
      <c r="D250"/>
      <c r="E250"/>
      <c r="F250"/>
      <c r="G250"/>
    </row>
    <row r="251" spans="1:7">
      <c r="A251"/>
      <c r="B251"/>
      <c r="C251"/>
      <c r="D251"/>
      <c r="E251"/>
      <c r="F251"/>
      <c r="G251"/>
    </row>
    <row r="252" spans="1:7">
      <c r="A252"/>
      <c r="B252"/>
      <c r="C252"/>
      <c r="D252"/>
      <c r="E252"/>
      <c r="F252"/>
      <c r="G252"/>
    </row>
    <row r="253" spans="1:7">
      <c r="A253"/>
      <c r="B253"/>
      <c r="C253"/>
      <c r="D253"/>
      <c r="E253"/>
      <c r="F253"/>
      <c r="G253"/>
    </row>
    <row r="254" spans="1:7">
      <c r="A254"/>
      <c r="B254"/>
      <c r="C254"/>
      <c r="D254"/>
      <c r="E254"/>
      <c r="F254"/>
      <c r="G254"/>
    </row>
    <row r="255" spans="1:7">
      <c r="A255"/>
      <c r="B255"/>
      <c r="C255"/>
      <c r="D255"/>
      <c r="E255"/>
      <c r="F255"/>
      <c r="G255"/>
    </row>
    <row r="256" spans="1:7">
      <c r="A256"/>
      <c r="B256"/>
      <c r="C256"/>
      <c r="D256"/>
      <c r="E256"/>
      <c r="F256"/>
      <c r="G256"/>
    </row>
    <row r="257" spans="1:8">
      <c r="A257"/>
      <c r="B257"/>
      <c r="C257"/>
      <c r="D257"/>
      <c r="E257"/>
      <c r="F257"/>
      <c r="G257"/>
    </row>
    <row r="258" spans="1:8">
      <c r="A258"/>
      <c r="B258"/>
      <c r="C258"/>
      <c r="D258"/>
      <c r="E258"/>
      <c r="F258"/>
      <c r="G258"/>
    </row>
    <row r="259" spans="1:8">
      <c r="A259"/>
      <c r="B259"/>
      <c r="C259"/>
      <c r="D259"/>
      <c r="E259"/>
      <c r="F259"/>
      <c r="G259"/>
    </row>
    <row r="260" spans="1:8">
      <c r="A260"/>
      <c r="B260"/>
      <c r="C260"/>
      <c r="D260"/>
      <c r="E260"/>
      <c r="F260"/>
      <c r="G260"/>
    </row>
    <row r="261" spans="1:8">
      <c r="A261"/>
      <c r="B261"/>
      <c r="C261"/>
      <c r="D261"/>
      <c r="E261"/>
      <c r="F261"/>
      <c r="G261"/>
    </row>
    <row r="262" spans="1:8">
      <c r="A262"/>
      <c r="B262"/>
      <c r="C262"/>
      <c r="D262"/>
      <c r="E262"/>
      <c r="F262"/>
      <c r="G262"/>
    </row>
    <row r="264" spans="1:8">
      <c r="F264" s="117">
        <f>GETPIVOTDATA("Suma de Saldo",$A$4,"PRESTAMO","3494/CH-EC")-GETPIVOTDATA("Suma de MONTO SIN IVA (USD) FINANCIAMIENTO RECURSOS PROPIOS ",$A$4,"PRESTAMO","3494/CH-EC")</f>
        <v>128260.18000000028</v>
      </c>
      <c r="H264">
        <f>GETPIVOTDATA("Suma de Saldo",$A$4,"No. DE COMPONENTE","_C1","PRESTAMO","3494/OC-EC")-GETPIVOTDATA("Suma de MONTO SIN IVA (USD) FINANCIAMIENTO RECURSOS PROPIOS ",$A$4,"No. DE COMPONENTE","_C1","PRESTAMO","3494/OC-EC")</f>
        <v>483439.55999999994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29"/>
  <sheetViews>
    <sheetView workbookViewId="0">
      <selection activeCell="E31" sqref="E31"/>
    </sheetView>
  </sheetViews>
  <sheetFormatPr baseColWidth="10" defaultRowHeight="15"/>
  <cols>
    <col min="1" max="1" width="13.42578125" customWidth="1"/>
    <col min="2" max="2" width="17.42578125" customWidth="1"/>
    <col min="3" max="3" width="15.42578125" customWidth="1"/>
    <col min="4" max="17" width="20.7109375" customWidth="1"/>
  </cols>
  <sheetData>
    <row r="5" spans="1:6">
      <c r="A5" s="18" t="s">
        <v>1871</v>
      </c>
      <c r="B5" s="18" t="s">
        <v>1673</v>
      </c>
    </row>
    <row r="6" spans="1:6">
      <c r="A6" s="18" t="s">
        <v>1671</v>
      </c>
      <c r="B6" t="s">
        <v>349</v>
      </c>
      <c r="C6" t="s">
        <v>352</v>
      </c>
      <c r="D6" t="s">
        <v>358</v>
      </c>
      <c r="E6" t="s">
        <v>362</v>
      </c>
      <c r="F6" t="s">
        <v>1672</v>
      </c>
    </row>
    <row r="7" spans="1:6">
      <c r="A7" t="s">
        <v>26</v>
      </c>
      <c r="B7" s="116">
        <v>3945440.13</v>
      </c>
      <c r="C7" s="116">
        <v>161956.5</v>
      </c>
      <c r="D7" s="116">
        <v>6991.07</v>
      </c>
      <c r="E7" s="116"/>
      <c r="F7" s="116">
        <v>4114387.6999999997</v>
      </c>
    </row>
    <row r="8" spans="1:6">
      <c r="A8" t="s">
        <v>1039</v>
      </c>
      <c r="B8" s="116"/>
      <c r="C8" s="116">
        <v>8073900</v>
      </c>
      <c r="D8" s="116"/>
      <c r="E8" s="116"/>
      <c r="F8" s="116">
        <v>8073900</v>
      </c>
    </row>
    <row r="9" spans="1:6">
      <c r="A9" t="s">
        <v>0</v>
      </c>
      <c r="B9" s="116">
        <v>3441001.11</v>
      </c>
      <c r="C9" s="116">
        <v>294250</v>
      </c>
      <c r="D9" s="116">
        <v>6991.07</v>
      </c>
      <c r="E9" s="116"/>
      <c r="F9" s="116">
        <v>3742242.1799999997</v>
      </c>
    </row>
    <row r="10" spans="1:6">
      <c r="A10" t="s">
        <v>44</v>
      </c>
      <c r="B10" s="116">
        <v>3385054.3200000003</v>
      </c>
      <c r="C10" s="116">
        <v>245546.41999999998</v>
      </c>
      <c r="D10" s="116">
        <v>6991.07</v>
      </c>
      <c r="E10" s="116"/>
      <c r="F10" s="116">
        <v>3637591.81</v>
      </c>
    </row>
    <row r="11" spans="1:6">
      <c r="A11" t="s">
        <v>67</v>
      </c>
      <c r="B11" s="116">
        <v>4083627.1</v>
      </c>
      <c r="C11" s="116"/>
      <c r="D11" s="116">
        <v>13982.14</v>
      </c>
      <c r="E11" s="116"/>
      <c r="F11" s="116">
        <v>4097609.24</v>
      </c>
    </row>
    <row r="12" spans="1:6">
      <c r="A12" t="s">
        <v>56</v>
      </c>
      <c r="B12" s="116">
        <v>2702052.3099999996</v>
      </c>
      <c r="C12" s="116"/>
      <c r="D12" s="116">
        <v>2790.9</v>
      </c>
      <c r="E12" s="116"/>
      <c r="F12" s="116">
        <v>2704843.2099999995</v>
      </c>
    </row>
    <row r="13" spans="1:6">
      <c r="A13" t="s">
        <v>70</v>
      </c>
      <c r="B13" s="116">
        <v>1999483.9199999997</v>
      </c>
      <c r="C13" s="116">
        <v>250420</v>
      </c>
      <c r="D13" s="116">
        <v>6991.07</v>
      </c>
      <c r="E13" s="116"/>
      <c r="F13" s="116">
        <v>2256894.9899999998</v>
      </c>
    </row>
    <row r="14" spans="1:6">
      <c r="A14" t="s">
        <v>86</v>
      </c>
      <c r="B14" s="116">
        <v>3449550.1</v>
      </c>
      <c r="C14" s="116">
        <v>550449.89000000013</v>
      </c>
      <c r="D14" s="116">
        <v>6991.07</v>
      </c>
      <c r="E14" s="116"/>
      <c r="F14" s="116">
        <v>4006991.06</v>
      </c>
    </row>
    <row r="15" spans="1:6">
      <c r="A15" t="s">
        <v>95</v>
      </c>
      <c r="B15" s="116">
        <v>5670833.2300000004</v>
      </c>
      <c r="C15" s="116">
        <v>500000</v>
      </c>
      <c r="D15" s="116">
        <v>6991.07</v>
      </c>
      <c r="E15" s="116"/>
      <c r="F15" s="116">
        <v>6177824.3000000007</v>
      </c>
    </row>
    <row r="16" spans="1:6">
      <c r="A16" t="s">
        <v>5</v>
      </c>
      <c r="B16" s="116">
        <v>1127329.8399999999</v>
      </c>
      <c r="C16" s="116">
        <v>1308714.77</v>
      </c>
      <c r="D16" s="116">
        <v>6991.07</v>
      </c>
      <c r="E16" s="116"/>
      <c r="F16" s="116">
        <v>2443035.6799999997</v>
      </c>
    </row>
    <row r="17" spans="1:6">
      <c r="A17" t="s">
        <v>103</v>
      </c>
      <c r="B17" s="116">
        <v>3464398.3199999994</v>
      </c>
      <c r="C17" s="116">
        <v>500000</v>
      </c>
      <c r="D17" s="116">
        <v>6991.07</v>
      </c>
      <c r="E17" s="116"/>
      <c r="F17" s="116">
        <v>3971389.3899999992</v>
      </c>
    </row>
    <row r="18" spans="1:6">
      <c r="A18" t="s">
        <v>9</v>
      </c>
      <c r="B18" s="116">
        <v>3022339.38</v>
      </c>
      <c r="C18" s="116">
        <v>1000908.2999999999</v>
      </c>
      <c r="D18" s="116">
        <v>6991.07</v>
      </c>
      <c r="E18" s="116"/>
      <c r="F18" s="116">
        <v>4030238.7499999995</v>
      </c>
    </row>
    <row r="19" spans="1:6">
      <c r="A19" t="s">
        <v>138</v>
      </c>
      <c r="B19" s="116">
        <v>2300000</v>
      </c>
      <c r="C19" s="116">
        <v>339977.89</v>
      </c>
      <c r="D19" s="116">
        <v>6991.07</v>
      </c>
      <c r="E19" s="116"/>
      <c r="F19" s="116">
        <v>2646968.96</v>
      </c>
    </row>
    <row r="20" spans="1:6">
      <c r="A20" t="s">
        <v>16</v>
      </c>
      <c r="B20" s="116">
        <v>1295853.47</v>
      </c>
      <c r="C20" s="116">
        <v>11100</v>
      </c>
      <c r="D20" s="116">
        <v>6991.07</v>
      </c>
      <c r="E20" s="116"/>
      <c r="F20" s="116">
        <v>1313944.54</v>
      </c>
    </row>
    <row r="21" spans="1:6">
      <c r="A21" t="s">
        <v>23</v>
      </c>
      <c r="B21" s="116">
        <v>632055.79</v>
      </c>
      <c r="C21" s="116">
        <v>5079543.58</v>
      </c>
      <c r="D21" s="116">
        <v>567680</v>
      </c>
      <c r="E21" s="116"/>
      <c r="F21" s="116">
        <v>6279279.3700000001</v>
      </c>
    </row>
    <row r="22" spans="1:6">
      <c r="A22" t="s">
        <v>168</v>
      </c>
      <c r="B22" s="116">
        <v>103285.49</v>
      </c>
      <c r="C22" s="116">
        <v>721352.57000000007</v>
      </c>
      <c r="D22" s="116">
        <v>6991.07</v>
      </c>
      <c r="E22" s="116"/>
      <c r="F22" s="116">
        <v>831629.13</v>
      </c>
    </row>
    <row r="23" spans="1:6">
      <c r="A23" t="s">
        <v>175</v>
      </c>
      <c r="B23" s="116">
        <v>4079306.3099999996</v>
      </c>
      <c r="C23" s="116">
        <v>1860000</v>
      </c>
      <c r="D23" s="116">
        <v>1130680.8399999999</v>
      </c>
      <c r="E23" s="116"/>
      <c r="F23" s="116">
        <v>7069987.1499999994</v>
      </c>
    </row>
    <row r="24" spans="1:6">
      <c r="A24" t="s">
        <v>183</v>
      </c>
      <c r="B24" s="116">
        <v>1898315.1400000001</v>
      </c>
      <c r="C24" s="116">
        <v>205680.35</v>
      </c>
      <c r="D24" s="116">
        <v>36991.07</v>
      </c>
      <c r="E24" s="116"/>
      <c r="F24" s="116">
        <v>2140986.56</v>
      </c>
    </row>
    <row r="25" spans="1:6">
      <c r="A25" t="s">
        <v>188</v>
      </c>
      <c r="B25" s="116">
        <v>2642331.2000000002</v>
      </c>
      <c r="C25" s="116">
        <v>99306.35</v>
      </c>
      <c r="D25" s="116">
        <v>4200.24</v>
      </c>
      <c r="E25" s="116"/>
      <c r="F25" s="116">
        <v>2745837.7900000005</v>
      </c>
    </row>
    <row r="26" spans="1:6">
      <c r="A26" t="s">
        <v>19</v>
      </c>
      <c r="B26" s="116">
        <v>4839904.08</v>
      </c>
      <c r="C26" s="116">
        <v>566512.97</v>
      </c>
      <c r="D26" s="116">
        <v>2790.9</v>
      </c>
      <c r="E26" s="116"/>
      <c r="F26" s="116">
        <v>5409207.9500000002</v>
      </c>
    </row>
    <row r="27" spans="1:6">
      <c r="A27" t="s">
        <v>155</v>
      </c>
      <c r="B27" s="116">
        <v>1917838.76</v>
      </c>
      <c r="C27" s="116">
        <v>230380.41</v>
      </c>
      <c r="D27" s="116">
        <v>6991.07</v>
      </c>
      <c r="E27" s="116"/>
      <c r="F27" s="116">
        <v>2155210.2399999998</v>
      </c>
    </row>
    <row r="28" spans="1:6">
      <c r="A28" t="s">
        <v>1811</v>
      </c>
      <c r="B28" s="116"/>
      <c r="C28" s="116"/>
      <c r="D28" s="116"/>
      <c r="E28" s="116">
        <v>150000</v>
      </c>
      <c r="F28" s="116">
        <v>150000</v>
      </c>
    </row>
    <row r="29" spans="1:6">
      <c r="A29" t="s">
        <v>1672</v>
      </c>
      <c r="B29" s="116">
        <v>56000000</v>
      </c>
      <c r="C29" s="116">
        <v>22000000.000000004</v>
      </c>
      <c r="D29" s="116">
        <v>1849999.9999999998</v>
      </c>
      <c r="E29" s="116">
        <v>150000</v>
      </c>
      <c r="F29" s="116">
        <v>80000000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workbookViewId="0">
      <selection activeCell="A5" sqref="A5:D159"/>
    </sheetView>
  </sheetViews>
  <sheetFormatPr baseColWidth="10" defaultRowHeight="15"/>
  <cols>
    <col min="1" max="1" width="14" customWidth="1"/>
    <col min="2" max="2" width="13.28515625" customWidth="1"/>
    <col min="3" max="3" width="72.7109375" customWidth="1"/>
    <col min="4" max="4" width="14.140625" style="269" bestFit="1" customWidth="1"/>
  </cols>
  <sheetData>
    <row r="1" spans="1:4">
      <c r="A1" s="18" t="s">
        <v>1126</v>
      </c>
      <c r="B1" t="s">
        <v>1875</v>
      </c>
    </row>
    <row r="2" spans="1:4">
      <c r="A2" s="18" t="s">
        <v>1130</v>
      </c>
      <c r="B2" t="s">
        <v>375</v>
      </c>
    </row>
    <row r="3" spans="1:4">
      <c r="A3" s="18" t="s">
        <v>1124</v>
      </c>
      <c r="B3" t="s">
        <v>1875</v>
      </c>
    </row>
    <row r="5" spans="1:4">
      <c r="A5" s="18" t="s">
        <v>1671</v>
      </c>
      <c r="B5" s="18" t="s">
        <v>2055</v>
      </c>
      <c r="C5" s="18" t="s">
        <v>1128</v>
      </c>
      <c r="D5" s="270" t="s">
        <v>2036</v>
      </c>
    </row>
    <row r="6" spans="1:4">
      <c r="A6" s="19" t="s">
        <v>26</v>
      </c>
      <c r="B6" s="19">
        <v>1</v>
      </c>
      <c r="C6" s="19" t="s">
        <v>31</v>
      </c>
      <c r="D6" s="270">
        <v>58829.48</v>
      </c>
    </row>
    <row r="7" spans="1:4">
      <c r="A7" s="19" t="s">
        <v>26</v>
      </c>
      <c r="B7" s="19">
        <v>1</v>
      </c>
      <c r="C7" s="19" t="s">
        <v>43</v>
      </c>
      <c r="D7" s="270">
        <v>103127.02</v>
      </c>
    </row>
    <row r="8" spans="1:4">
      <c r="A8" s="19" t="s">
        <v>26</v>
      </c>
      <c r="B8" s="19">
        <v>1</v>
      </c>
      <c r="C8" s="19" t="s">
        <v>29</v>
      </c>
      <c r="D8" s="270">
        <v>3945440.13</v>
      </c>
    </row>
    <row r="9" spans="1:4">
      <c r="A9" s="19" t="s">
        <v>0</v>
      </c>
      <c r="B9" s="19">
        <v>1</v>
      </c>
      <c r="C9" s="19" t="s">
        <v>41</v>
      </c>
      <c r="D9" s="270">
        <v>164349.32</v>
      </c>
    </row>
    <row r="10" spans="1:4">
      <c r="A10" s="19" t="s">
        <v>0</v>
      </c>
      <c r="B10" s="19">
        <v>1</v>
      </c>
      <c r="C10" s="19" t="s">
        <v>39</v>
      </c>
      <c r="D10" s="270">
        <v>825010</v>
      </c>
    </row>
    <row r="11" spans="1:4">
      <c r="A11" s="19" t="s">
        <v>0</v>
      </c>
      <c r="B11" s="19">
        <v>1</v>
      </c>
      <c r="C11" s="19" t="s">
        <v>1888</v>
      </c>
      <c r="D11" s="270">
        <v>53826.38</v>
      </c>
    </row>
    <row r="12" spans="1:4">
      <c r="A12" s="19" t="s">
        <v>0</v>
      </c>
      <c r="B12" s="19">
        <v>1</v>
      </c>
      <c r="C12" s="19" t="s">
        <v>37</v>
      </c>
      <c r="D12" s="270">
        <v>294250</v>
      </c>
    </row>
    <row r="13" spans="1:4">
      <c r="A13" s="19" t="s">
        <v>0</v>
      </c>
      <c r="B13" s="19">
        <v>1</v>
      </c>
      <c r="C13" s="19" t="s">
        <v>35</v>
      </c>
      <c r="D13" s="270">
        <v>1343865.41</v>
      </c>
    </row>
    <row r="14" spans="1:4">
      <c r="A14" s="19" t="s">
        <v>0</v>
      </c>
      <c r="B14" s="19">
        <v>1</v>
      </c>
      <c r="C14" s="19" t="s">
        <v>33</v>
      </c>
      <c r="D14" s="270">
        <v>1053950</v>
      </c>
    </row>
    <row r="15" spans="1:4">
      <c r="A15" s="19" t="s">
        <v>44</v>
      </c>
      <c r="B15" s="19">
        <v>1</v>
      </c>
      <c r="C15" s="19" t="s">
        <v>46</v>
      </c>
      <c r="D15" s="270">
        <v>2788563.45</v>
      </c>
    </row>
    <row r="16" spans="1:4">
      <c r="A16" s="19" t="s">
        <v>44</v>
      </c>
      <c r="B16" s="19">
        <v>1</v>
      </c>
      <c r="C16" s="19" t="s">
        <v>48</v>
      </c>
      <c r="D16" s="270">
        <v>209341.8</v>
      </c>
    </row>
    <row r="17" spans="1:4">
      <c r="A17" s="19" t="s">
        <v>44</v>
      </c>
      <c r="B17" s="19">
        <v>1</v>
      </c>
      <c r="C17" s="19" t="s">
        <v>50</v>
      </c>
      <c r="D17" s="270">
        <v>194413.9</v>
      </c>
    </row>
    <row r="18" spans="1:4">
      <c r="A18" s="19" t="s">
        <v>44</v>
      </c>
      <c r="B18" s="19">
        <v>1</v>
      </c>
      <c r="C18" s="19" t="s">
        <v>52</v>
      </c>
      <c r="D18" s="270">
        <v>140273.32999999999</v>
      </c>
    </row>
    <row r="19" spans="1:4">
      <c r="A19" s="19" t="s">
        <v>44</v>
      </c>
      <c r="B19" s="19">
        <v>1</v>
      </c>
      <c r="C19" s="19" t="s">
        <v>54</v>
      </c>
      <c r="D19" s="270">
        <v>105273.09</v>
      </c>
    </row>
    <row r="20" spans="1:4">
      <c r="A20" s="19" t="s">
        <v>44</v>
      </c>
      <c r="B20" s="19">
        <v>1</v>
      </c>
      <c r="C20" s="19" t="s">
        <v>55</v>
      </c>
      <c r="D20" s="270">
        <v>192735.16999999998</v>
      </c>
    </row>
    <row r="21" spans="1:4">
      <c r="A21" s="19" t="s">
        <v>67</v>
      </c>
      <c r="B21" s="19">
        <v>0.84</v>
      </c>
      <c r="C21" s="19" t="s">
        <v>69</v>
      </c>
      <c r="D21" s="270">
        <v>29172</v>
      </c>
    </row>
    <row r="22" spans="1:4">
      <c r="A22" s="19" t="s">
        <v>67</v>
      </c>
      <c r="B22" s="19">
        <v>0.84009999999999996</v>
      </c>
      <c r="C22" s="19" t="s">
        <v>69</v>
      </c>
      <c r="D22" s="270">
        <v>4054455.1</v>
      </c>
    </row>
    <row r="23" spans="1:4">
      <c r="A23" s="19" t="s">
        <v>56</v>
      </c>
      <c r="B23" s="19">
        <v>0.7</v>
      </c>
      <c r="C23" s="19" t="s">
        <v>66</v>
      </c>
      <c r="D23" s="270">
        <v>251167.19</v>
      </c>
    </row>
    <row r="24" spans="1:4">
      <c r="A24" s="19" t="s">
        <v>56</v>
      </c>
      <c r="B24" s="19">
        <v>1</v>
      </c>
      <c r="C24" s="19" t="s">
        <v>65</v>
      </c>
      <c r="D24" s="270">
        <v>113907.52</v>
      </c>
    </row>
    <row r="25" spans="1:4">
      <c r="A25" s="19" t="s">
        <v>56</v>
      </c>
      <c r="B25" s="19">
        <v>1</v>
      </c>
      <c r="C25" s="19" t="s">
        <v>63</v>
      </c>
      <c r="D25" s="270">
        <v>246111.16</v>
      </c>
    </row>
    <row r="26" spans="1:4">
      <c r="A26" s="19" t="s">
        <v>56</v>
      </c>
      <c r="B26" s="19">
        <v>1</v>
      </c>
      <c r="C26" s="19" t="s">
        <v>421</v>
      </c>
      <c r="D26" s="270">
        <v>0</v>
      </c>
    </row>
    <row r="27" spans="1:4">
      <c r="A27" s="19" t="s">
        <v>56</v>
      </c>
      <c r="B27" s="19">
        <v>1</v>
      </c>
      <c r="C27" s="19" t="s">
        <v>419</v>
      </c>
      <c r="D27" s="270">
        <v>94822.57</v>
      </c>
    </row>
    <row r="28" spans="1:4">
      <c r="A28" s="19" t="s">
        <v>56</v>
      </c>
      <c r="B28" s="19">
        <v>1</v>
      </c>
      <c r="C28" s="19" t="s">
        <v>420</v>
      </c>
      <c r="D28" s="270">
        <v>0</v>
      </c>
    </row>
    <row r="29" spans="1:4">
      <c r="A29" s="19" t="s">
        <v>56</v>
      </c>
      <c r="B29" s="19">
        <v>1</v>
      </c>
      <c r="C29" s="19" t="s">
        <v>417</v>
      </c>
      <c r="D29" s="270">
        <v>496784.22</v>
      </c>
    </row>
    <row r="30" spans="1:4">
      <c r="A30" s="19" t="s">
        <v>56</v>
      </c>
      <c r="B30" s="19">
        <v>1</v>
      </c>
      <c r="C30" s="19" t="s">
        <v>415</v>
      </c>
      <c r="D30" s="270">
        <v>865666.62</v>
      </c>
    </row>
    <row r="31" spans="1:4">
      <c r="A31" s="19" t="s">
        <v>56</v>
      </c>
      <c r="B31" s="19">
        <v>1</v>
      </c>
      <c r="C31" s="19" t="s">
        <v>413</v>
      </c>
      <c r="D31" s="270">
        <v>633593.03</v>
      </c>
    </row>
    <row r="32" spans="1:4">
      <c r="A32" s="19" t="s">
        <v>56</v>
      </c>
      <c r="B32" s="19">
        <v>1</v>
      </c>
      <c r="C32" s="19" t="s">
        <v>418</v>
      </c>
      <c r="D32" s="270">
        <v>0</v>
      </c>
    </row>
    <row r="33" spans="1:4">
      <c r="A33" s="19" t="s">
        <v>56</v>
      </c>
      <c r="B33" s="19">
        <v>1</v>
      </c>
      <c r="C33" s="19" t="s">
        <v>414</v>
      </c>
      <c r="D33" s="270">
        <v>0</v>
      </c>
    </row>
    <row r="34" spans="1:4">
      <c r="A34" s="19" t="s">
        <v>56</v>
      </c>
      <c r="B34" s="19">
        <v>1</v>
      </c>
      <c r="C34" s="19" t="s">
        <v>416</v>
      </c>
      <c r="D34" s="270">
        <v>0</v>
      </c>
    </row>
    <row r="35" spans="1:4">
      <c r="A35" s="19" t="s">
        <v>70</v>
      </c>
      <c r="B35" s="19">
        <v>1</v>
      </c>
      <c r="C35" s="19" t="s">
        <v>77</v>
      </c>
      <c r="D35" s="270">
        <v>231466.84000000003</v>
      </c>
    </row>
    <row r="36" spans="1:4">
      <c r="A36" s="19" t="s">
        <v>70</v>
      </c>
      <c r="B36" s="19">
        <v>1</v>
      </c>
      <c r="C36" s="19" t="s">
        <v>855</v>
      </c>
      <c r="D36" s="270">
        <v>242065.82</v>
      </c>
    </row>
    <row r="37" spans="1:4">
      <c r="A37" s="19" t="s">
        <v>70</v>
      </c>
      <c r="B37" s="19">
        <v>1</v>
      </c>
      <c r="C37" s="19" t="s">
        <v>81</v>
      </c>
      <c r="D37" s="270">
        <v>198302.56</v>
      </c>
    </row>
    <row r="38" spans="1:4">
      <c r="A38" s="19" t="s">
        <v>70</v>
      </c>
      <c r="B38" s="19">
        <v>1</v>
      </c>
      <c r="C38" s="19" t="s">
        <v>864</v>
      </c>
      <c r="D38" s="270">
        <v>250420</v>
      </c>
    </row>
    <row r="39" spans="1:4">
      <c r="A39" s="19" t="s">
        <v>70</v>
      </c>
      <c r="B39" s="19">
        <v>1</v>
      </c>
      <c r="C39" s="19" t="s">
        <v>863</v>
      </c>
      <c r="D39" s="270">
        <v>369889.25</v>
      </c>
    </row>
    <row r="40" spans="1:4">
      <c r="A40" s="19" t="s">
        <v>70</v>
      </c>
      <c r="B40" s="19">
        <v>1</v>
      </c>
      <c r="C40" s="19" t="s">
        <v>861</v>
      </c>
      <c r="D40" s="270">
        <v>0</v>
      </c>
    </row>
    <row r="41" spans="1:4">
      <c r="A41" s="19" t="s">
        <v>70</v>
      </c>
      <c r="B41" s="19">
        <v>1</v>
      </c>
      <c r="C41" s="19" t="s">
        <v>859</v>
      </c>
      <c r="D41" s="270">
        <v>402359.22</v>
      </c>
    </row>
    <row r="42" spans="1:4">
      <c r="A42" s="19" t="s">
        <v>70</v>
      </c>
      <c r="B42" s="19">
        <v>1</v>
      </c>
      <c r="C42" s="19" t="s">
        <v>860</v>
      </c>
      <c r="D42" s="270">
        <v>0</v>
      </c>
    </row>
    <row r="43" spans="1:4">
      <c r="A43" s="19" t="s">
        <v>70</v>
      </c>
      <c r="B43" s="19">
        <v>1</v>
      </c>
      <c r="C43" s="19" t="s">
        <v>74</v>
      </c>
      <c r="D43" s="270">
        <v>424702.6</v>
      </c>
    </row>
    <row r="44" spans="1:4">
      <c r="A44" s="19" t="s">
        <v>70</v>
      </c>
      <c r="B44" s="19">
        <v>1</v>
      </c>
      <c r="C44" s="19" t="s">
        <v>79</v>
      </c>
      <c r="D44" s="270">
        <v>130697.63</v>
      </c>
    </row>
    <row r="45" spans="1:4">
      <c r="A45" s="19" t="s">
        <v>70</v>
      </c>
      <c r="B45" s="19">
        <v>1</v>
      </c>
      <c r="C45" s="19" t="s">
        <v>862</v>
      </c>
      <c r="D45" s="270">
        <v>0</v>
      </c>
    </row>
    <row r="46" spans="1:4">
      <c r="A46" s="19" t="s">
        <v>86</v>
      </c>
      <c r="B46" s="19">
        <v>1</v>
      </c>
      <c r="C46" s="19" t="s">
        <v>92</v>
      </c>
      <c r="D46" s="270">
        <v>219280.19</v>
      </c>
    </row>
    <row r="47" spans="1:4">
      <c r="A47" s="19" t="s">
        <v>86</v>
      </c>
      <c r="B47" s="19">
        <v>1</v>
      </c>
      <c r="C47" s="19" t="s">
        <v>976</v>
      </c>
      <c r="D47" s="270">
        <v>0</v>
      </c>
    </row>
    <row r="48" spans="1:4">
      <c r="A48" s="19" t="s">
        <v>86</v>
      </c>
      <c r="B48" s="19">
        <v>1</v>
      </c>
      <c r="C48" s="19" t="s">
        <v>977</v>
      </c>
      <c r="D48" s="270">
        <v>0</v>
      </c>
    </row>
    <row r="49" spans="1:4">
      <c r="A49" s="19" t="s">
        <v>86</v>
      </c>
      <c r="B49" s="19">
        <v>1</v>
      </c>
      <c r="C49" s="19" t="s">
        <v>975</v>
      </c>
      <c r="D49" s="270">
        <v>331169.7</v>
      </c>
    </row>
    <row r="50" spans="1:4">
      <c r="A50" s="19" t="s">
        <v>86</v>
      </c>
      <c r="B50" s="19">
        <v>1</v>
      </c>
      <c r="C50" s="19" t="s">
        <v>1038</v>
      </c>
      <c r="D50" s="270">
        <v>0</v>
      </c>
    </row>
    <row r="51" spans="1:4">
      <c r="A51" s="19" t="s">
        <v>86</v>
      </c>
      <c r="B51" s="19">
        <v>1</v>
      </c>
      <c r="C51" s="19" t="s">
        <v>972</v>
      </c>
      <c r="D51" s="270">
        <v>401296.39999999997</v>
      </c>
    </row>
    <row r="52" spans="1:4">
      <c r="A52" s="19" t="s">
        <v>86</v>
      </c>
      <c r="B52" s="19">
        <v>1</v>
      </c>
      <c r="C52" s="19" t="s">
        <v>973</v>
      </c>
      <c r="D52" s="270">
        <v>0</v>
      </c>
    </row>
    <row r="53" spans="1:4">
      <c r="A53" s="19" t="s">
        <v>86</v>
      </c>
      <c r="B53" s="19">
        <v>1</v>
      </c>
      <c r="C53" s="19" t="s">
        <v>974</v>
      </c>
      <c r="D53" s="270">
        <v>0</v>
      </c>
    </row>
    <row r="54" spans="1:4">
      <c r="A54" s="19" t="s">
        <v>86</v>
      </c>
      <c r="B54" s="19">
        <v>1</v>
      </c>
      <c r="C54" s="19" t="s">
        <v>88</v>
      </c>
      <c r="D54" s="270">
        <v>3048253.7</v>
      </c>
    </row>
    <row r="55" spans="1:4">
      <c r="A55" s="19" t="s">
        <v>95</v>
      </c>
      <c r="B55" s="19">
        <v>1</v>
      </c>
      <c r="C55" s="19" t="s">
        <v>100</v>
      </c>
      <c r="D55" s="270">
        <v>500000</v>
      </c>
    </row>
    <row r="56" spans="1:4">
      <c r="A56" s="19" t="s">
        <v>95</v>
      </c>
      <c r="B56" s="19">
        <v>1</v>
      </c>
      <c r="C56" s="19" t="s">
        <v>102</v>
      </c>
      <c r="D56" s="270">
        <v>295000</v>
      </c>
    </row>
    <row r="57" spans="1:4">
      <c r="A57" s="19" t="s">
        <v>95</v>
      </c>
      <c r="B57" s="19">
        <v>1</v>
      </c>
      <c r="C57" s="19" t="s">
        <v>422</v>
      </c>
      <c r="D57" s="270">
        <v>2377960.48</v>
      </c>
    </row>
    <row r="58" spans="1:4">
      <c r="A58" s="19" t="s">
        <v>95</v>
      </c>
      <c r="B58" s="19">
        <v>1</v>
      </c>
      <c r="C58" s="19" t="s">
        <v>98</v>
      </c>
      <c r="D58" s="270">
        <v>2997872.75</v>
      </c>
    </row>
    <row r="59" spans="1:4">
      <c r="A59" s="19" t="s">
        <v>5</v>
      </c>
      <c r="B59" s="19">
        <v>1</v>
      </c>
      <c r="C59" s="19" t="s">
        <v>7</v>
      </c>
      <c r="D59" s="270">
        <v>195000</v>
      </c>
    </row>
    <row r="60" spans="1:4">
      <c r="A60" s="19" t="s">
        <v>5</v>
      </c>
      <c r="B60" s="19">
        <v>1</v>
      </c>
      <c r="C60" s="19" t="s">
        <v>999</v>
      </c>
      <c r="D60" s="270">
        <v>254600</v>
      </c>
    </row>
    <row r="61" spans="1:4">
      <c r="A61" s="19" t="s">
        <v>5</v>
      </c>
      <c r="B61" s="19">
        <v>1</v>
      </c>
      <c r="C61" s="19" t="s">
        <v>128</v>
      </c>
      <c r="D61" s="270">
        <v>418359.88</v>
      </c>
    </row>
    <row r="62" spans="1:4">
      <c r="A62" s="19" t="s">
        <v>5</v>
      </c>
      <c r="B62" s="19">
        <v>1</v>
      </c>
      <c r="C62" s="19" t="s">
        <v>126</v>
      </c>
      <c r="D62" s="270">
        <v>185484.51</v>
      </c>
    </row>
    <row r="63" spans="1:4">
      <c r="A63" s="19" t="s">
        <v>5</v>
      </c>
      <c r="B63" s="19">
        <v>1</v>
      </c>
      <c r="C63" s="19" t="s">
        <v>124</v>
      </c>
      <c r="D63" s="270">
        <v>523485.45</v>
      </c>
    </row>
    <row r="64" spans="1:4">
      <c r="A64" s="19" t="s">
        <v>103</v>
      </c>
      <c r="B64" s="19">
        <v>1</v>
      </c>
      <c r="C64" s="19" t="s">
        <v>109</v>
      </c>
      <c r="D64" s="270">
        <v>554022.34</v>
      </c>
    </row>
    <row r="65" spans="1:4">
      <c r="A65" s="19" t="s">
        <v>103</v>
      </c>
      <c r="B65" s="19">
        <v>1</v>
      </c>
      <c r="C65" s="19" t="s">
        <v>107</v>
      </c>
      <c r="D65" s="270">
        <v>564000</v>
      </c>
    </row>
    <row r="66" spans="1:4">
      <c r="A66" s="19" t="s">
        <v>103</v>
      </c>
      <c r="B66" s="19">
        <v>1</v>
      </c>
      <c r="C66" s="19" t="s">
        <v>1000</v>
      </c>
      <c r="D66" s="270">
        <v>160000</v>
      </c>
    </row>
    <row r="67" spans="1:4">
      <c r="A67" s="19" t="s">
        <v>103</v>
      </c>
      <c r="B67" s="19">
        <v>1</v>
      </c>
      <c r="C67" s="19" t="s">
        <v>121</v>
      </c>
      <c r="D67" s="270">
        <v>340000</v>
      </c>
    </row>
    <row r="68" spans="1:4">
      <c r="A68" s="19" t="s">
        <v>103</v>
      </c>
      <c r="B68" s="19">
        <v>1</v>
      </c>
      <c r="C68" s="19" t="s">
        <v>111</v>
      </c>
      <c r="D68" s="270">
        <v>188558.62</v>
      </c>
    </row>
    <row r="69" spans="1:4">
      <c r="A69" s="19" t="s">
        <v>103</v>
      </c>
      <c r="B69" s="19">
        <v>1</v>
      </c>
      <c r="C69" s="19" t="s">
        <v>113</v>
      </c>
      <c r="D69" s="270">
        <v>731068.8</v>
      </c>
    </row>
    <row r="70" spans="1:4">
      <c r="A70" s="19" t="s">
        <v>103</v>
      </c>
      <c r="B70" s="19">
        <v>1</v>
      </c>
      <c r="C70" s="19" t="s">
        <v>117</v>
      </c>
      <c r="D70" s="270">
        <v>279855.48</v>
      </c>
    </row>
    <row r="71" spans="1:4">
      <c r="A71" s="19" t="s">
        <v>103</v>
      </c>
      <c r="B71" s="19">
        <v>1</v>
      </c>
      <c r="C71" s="19" t="s">
        <v>105</v>
      </c>
      <c r="D71" s="270">
        <v>796000</v>
      </c>
    </row>
    <row r="72" spans="1:4">
      <c r="A72" s="19" t="s">
        <v>103</v>
      </c>
      <c r="B72" s="19">
        <v>1</v>
      </c>
      <c r="C72" s="19" t="s">
        <v>115</v>
      </c>
      <c r="D72" s="270">
        <v>350893.08</v>
      </c>
    </row>
    <row r="73" spans="1:4">
      <c r="A73" s="19" t="s">
        <v>9</v>
      </c>
      <c r="B73" s="19">
        <v>1</v>
      </c>
      <c r="C73" s="19" t="s">
        <v>10</v>
      </c>
      <c r="D73" s="270">
        <v>496600</v>
      </c>
    </row>
    <row r="74" spans="1:4">
      <c r="A74" s="19" t="s">
        <v>9</v>
      </c>
      <c r="B74" s="19">
        <v>1</v>
      </c>
      <c r="C74" s="19" t="s">
        <v>979</v>
      </c>
      <c r="D74" s="270">
        <v>900000</v>
      </c>
    </row>
    <row r="75" spans="1:4">
      <c r="A75" s="19" t="s">
        <v>9</v>
      </c>
      <c r="B75" s="19">
        <v>1</v>
      </c>
      <c r="C75" s="19" t="s">
        <v>368</v>
      </c>
      <c r="D75" s="270">
        <v>470271.42</v>
      </c>
    </row>
    <row r="76" spans="1:4">
      <c r="A76" s="19" t="s">
        <v>9</v>
      </c>
      <c r="B76" s="19">
        <v>1</v>
      </c>
      <c r="C76" s="19" t="s">
        <v>438</v>
      </c>
      <c r="D76" s="270">
        <v>130437.68000000001</v>
      </c>
    </row>
    <row r="77" spans="1:4">
      <c r="A77" s="19" t="s">
        <v>9</v>
      </c>
      <c r="B77" s="19">
        <v>1</v>
      </c>
      <c r="C77" s="19" t="s">
        <v>440</v>
      </c>
      <c r="D77" s="270">
        <v>34554</v>
      </c>
    </row>
    <row r="78" spans="1:4">
      <c r="A78" s="19" t="s">
        <v>9</v>
      </c>
      <c r="B78" s="19">
        <v>1</v>
      </c>
      <c r="C78" s="19" t="s">
        <v>439</v>
      </c>
      <c r="D78" s="270">
        <v>31915.200000000001</v>
      </c>
    </row>
    <row r="79" spans="1:4">
      <c r="A79" s="19" t="s">
        <v>9</v>
      </c>
      <c r="B79" s="19">
        <v>1</v>
      </c>
      <c r="C79" s="19" t="s">
        <v>441</v>
      </c>
      <c r="D79" s="270">
        <v>27607.27</v>
      </c>
    </row>
    <row r="80" spans="1:4">
      <c r="A80" s="19" t="s">
        <v>9</v>
      </c>
      <c r="B80" s="19">
        <v>1</v>
      </c>
      <c r="C80" s="19" t="s">
        <v>137</v>
      </c>
      <c r="D80" s="270">
        <v>104515.86</v>
      </c>
    </row>
    <row r="81" spans="1:4">
      <c r="A81" s="19" t="s">
        <v>9</v>
      </c>
      <c r="B81" s="19">
        <v>1</v>
      </c>
      <c r="C81" s="19" t="s">
        <v>133</v>
      </c>
      <c r="D81" s="270">
        <v>372758.98</v>
      </c>
    </row>
    <row r="82" spans="1:4">
      <c r="A82" s="19" t="s">
        <v>9</v>
      </c>
      <c r="B82" s="19">
        <v>1</v>
      </c>
      <c r="C82" s="19" t="s">
        <v>131</v>
      </c>
      <c r="D82" s="270">
        <v>296116.34000000003</v>
      </c>
    </row>
    <row r="83" spans="1:4">
      <c r="A83" s="19" t="s">
        <v>9</v>
      </c>
      <c r="B83" s="19">
        <v>1</v>
      </c>
      <c r="C83" s="19" t="s">
        <v>135</v>
      </c>
      <c r="D83" s="270">
        <v>485432.85</v>
      </c>
    </row>
    <row r="84" spans="1:4">
      <c r="A84" s="19" t="s">
        <v>9</v>
      </c>
      <c r="B84" s="19">
        <v>1</v>
      </c>
      <c r="C84" s="19" t="s">
        <v>129</v>
      </c>
      <c r="D84" s="270">
        <v>659423.32999999996</v>
      </c>
    </row>
    <row r="85" spans="1:4">
      <c r="A85" s="19" t="s">
        <v>9</v>
      </c>
      <c r="B85" s="19">
        <v>1</v>
      </c>
      <c r="C85" s="19" t="s">
        <v>1874</v>
      </c>
      <c r="D85" s="270">
        <v>13614.75</v>
      </c>
    </row>
    <row r="86" spans="1:4">
      <c r="A86" s="19" t="s">
        <v>138</v>
      </c>
      <c r="B86" s="19">
        <v>1</v>
      </c>
      <c r="C86" s="19" t="s">
        <v>140</v>
      </c>
      <c r="D86" s="270">
        <v>2300000</v>
      </c>
    </row>
    <row r="87" spans="1:4">
      <c r="A87" s="19" t="s">
        <v>138</v>
      </c>
      <c r="B87" s="19">
        <v>1</v>
      </c>
      <c r="C87" s="19" t="s">
        <v>373</v>
      </c>
      <c r="D87" s="270">
        <v>312569</v>
      </c>
    </row>
    <row r="88" spans="1:4">
      <c r="A88" s="19" t="s">
        <v>16</v>
      </c>
      <c r="B88" s="19">
        <v>0.85</v>
      </c>
      <c r="C88" s="19" t="s">
        <v>142</v>
      </c>
      <c r="D88" s="270">
        <v>797980.79</v>
      </c>
    </row>
    <row r="89" spans="1:4">
      <c r="A89" s="19" t="s">
        <v>16</v>
      </c>
      <c r="B89" s="19">
        <v>1</v>
      </c>
      <c r="C89" s="19" t="s">
        <v>144</v>
      </c>
      <c r="D89" s="270">
        <v>245760.44</v>
      </c>
    </row>
    <row r="90" spans="1:4">
      <c r="A90" s="19" t="s">
        <v>16</v>
      </c>
      <c r="B90" s="19">
        <v>1</v>
      </c>
      <c r="C90" s="19" t="s">
        <v>18</v>
      </c>
      <c r="D90" s="270">
        <v>252112.24</v>
      </c>
    </row>
    <row r="91" spans="1:4">
      <c r="A91" s="19" t="s">
        <v>16</v>
      </c>
      <c r="B91" s="19">
        <v>1</v>
      </c>
      <c r="C91" s="19" t="s">
        <v>1874</v>
      </c>
      <c r="D91" s="270">
        <v>0</v>
      </c>
    </row>
    <row r="92" spans="1:4">
      <c r="A92" s="19" t="s">
        <v>23</v>
      </c>
      <c r="B92" s="19">
        <v>1</v>
      </c>
      <c r="C92" s="19" t="s">
        <v>823</v>
      </c>
      <c r="D92" s="270">
        <v>314363.8</v>
      </c>
    </row>
    <row r="93" spans="1:4">
      <c r="A93" s="19" t="s">
        <v>23</v>
      </c>
      <c r="B93" s="19">
        <v>1</v>
      </c>
      <c r="C93" s="19" t="s">
        <v>164</v>
      </c>
      <c r="D93" s="270">
        <v>137700</v>
      </c>
    </row>
    <row r="94" spans="1:4">
      <c r="A94" s="19" t="s">
        <v>23</v>
      </c>
      <c r="B94" s="19">
        <v>1</v>
      </c>
      <c r="C94" s="19" t="s">
        <v>162</v>
      </c>
      <c r="D94" s="270">
        <v>975000</v>
      </c>
    </row>
    <row r="95" spans="1:4">
      <c r="A95" s="19" t="s">
        <v>23</v>
      </c>
      <c r="B95" s="19">
        <v>1</v>
      </c>
      <c r="C95" s="19" t="s">
        <v>425</v>
      </c>
      <c r="D95" s="270">
        <v>333937.99</v>
      </c>
    </row>
    <row r="96" spans="1:4">
      <c r="A96" s="19" t="s">
        <v>23</v>
      </c>
      <c r="B96" s="19">
        <v>1</v>
      </c>
      <c r="C96" s="19" t="s">
        <v>771</v>
      </c>
      <c r="D96" s="270">
        <v>0</v>
      </c>
    </row>
    <row r="97" spans="1:4">
      <c r="A97" s="19" t="s">
        <v>23</v>
      </c>
      <c r="B97" s="19">
        <v>1</v>
      </c>
      <c r="C97" s="19" t="s">
        <v>980</v>
      </c>
      <c r="D97" s="270">
        <v>298117.8</v>
      </c>
    </row>
    <row r="98" spans="1:4">
      <c r="A98" s="19" t="s">
        <v>23</v>
      </c>
      <c r="B98" s="19">
        <v>1</v>
      </c>
      <c r="C98" s="19" t="s">
        <v>981</v>
      </c>
      <c r="D98" s="270">
        <v>0</v>
      </c>
    </row>
    <row r="99" spans="1:4">
      <c r="A99" s="19" t="s">
        <v>23</v>
      </c>
      <c r="B99" s="19">
        <v>1</v>
      </c>
      <c r="C99" s="19" t="s">
        <v>1874</v>
      </c>
      <c r="D99" s="270">
        <v>68066.2</v>
      </c>
    </row>
    <row r="100" spans="1:4">
      <c r="A100" s="19" t="s">
        <v>168</v>
      </c>
      <c r="B100" s="19">
        <v>1</v>
      </c>
      <c r="C100" s="19" t="s">
        <v>169</v>
      </c>
      <c r="D100" s="270">
        <v>250000</v>
      </c>
    </row>
    <row r="101" spans="1:4">
      <c r="A101" s="19" t="s">
        <v>168</v>
      </c>
      <c r="B101" s="19">
        <v>1</v>
      </c>
      <c r="C101" s="19" t="s">
        <v>170</v>
      </c>
      <c r="D101" s="270">
        <v>446428.57</v>
      </c>
    </row>
    <row r="102" spans="1:4">
      <c r="A102" s="19" t="s">
        <v>168</v>
      </c>
      <c r="B102" s="19">
        <v>1</v>
      </c>
      <c r="C102" s="19" t="s">
        <v>174</v>
      </c>
      <c r="D102" s="270">
        <v>60162.83</v>
      </c>
    </row>
    <row r="103" spans="1:4">
      <c r="A103" s="19" t="s">
        <v>168</v>
      </c>
      <c r="B103" s="19">
        <v>1</v>
      </c>
      <c r="C103" s="19" t="s">
        <v>172</v>
      </c>
      <c r="D103" s="270">
        <v>43122.66</v>
      </c>
    </row>
    <row r="104" spans="1:4">
      <c r="A104" s="19" t="s">
        <v>175</v>
      </c>
      <c r="B104" s="19">
        <v>0.99529999999999996</v>
      </c>
      <c r="C104" s="19" t="s">
        <v>341</v>
      </c>
      <c r="D104" s="270">
        <v>0</v>
      </c>
    </row>
    <row r="105" spans="1:4">
      <c r="A105" s="19" t="s">
        <v>175</v>
      </c>
      <c r="B105" s="19">
        <v>1</v>
      </c>
      <c r="C105" s="19" t="s">
        <v>929</v>
      </c>
      <c r="D105" s="270">
        <v>412228.88999999996</v>
      </c>
    </row>
    <row r="106" spans="1:4">
      <c r="A106" s="19" t="s">
        <v>175</v>
      </c>
      <c r="B106" s="19">
        <v>1</v>
      </c>
      <c r="C106" s="19" t="s">
        <v>930</v>
      </c>
      <c r="D106" s="270">
        <v>15253.26</v>
      </c>
    </row>
    <row r="107" spans="1:4">
      <c r="A107" s="19" t="s">
        <v>175</v>
      </c>
      <c r="B107" s="19">
        <v>1</v>
      </c>
      <c r="C107" s="19" t="s">
        <v>177</v>
      </c>
      <c r="D107" s="270">
        <v>351904.77</v>
      </c>
    </row>
    <row r="108" spans="1:4">
      <c r="A108" s="19" t="s">
        <v>175</v>
      </c>
      <c r="B108" s="19">
        <v>1</v>
      </c>
      <c r="C108" s="19" t="s">
        <v>179</v>
      </c>
      <c r="D108" s="270">
        <v>701933.74</v>
      </c>
    </row>
    <row r="109" spans="1:4">
      <c r="A109" s="19" t="s">
        <v>175</v>
      </c>
      <c r="B109" s="19">
        <v>1</v>
      </c>
      <c r="C109" s="19" t="s">
        <v>340</v>
      </c>
      <c r="D109" s="270">
        <v>313808.08</v>
      </c>
    </row>
    <row r="110" spans="1:4">
      <c r="A110" s="19" t="s">
        <v>175</v>
      </c>
      <c r="B110" s="19">
        <v>1</v>
      </c>
      <c r="C110" s="19" t="s">
        <v>341</v>
      </c>
      <c r="D110" s="270">
        <v>165554.66</v>
      </c>
    </row>
    <row r="111" spans="1:4">
      <c r="A111" s="19" t="s">
        <v>175</v>
      </c>
      <c r="B111" s="19">
        <v>1</v>
      </c>
      <c r="C111" s="19" t="s">
        <v>928</v>
      </c>
      <c r="D111" s="270">
        <v>18559.71</v>
      </c>
    </row>
    <row r="112" spans="1:4">
      <c r="A112" s="19" t="s">
        <v>175</v>
      </c>
      <c r="B112" s="19">
        <v>1</v>
      </c>
      <c r="C112" s="19" t="s">
        <v>343</v>
      </c>
      <c r="D112" s="270">
        <v>335582.67</v>
      </c>
    </row>
    <row r="113" spans="1:4">
      <c r="A113" s="19" t="s">
        <v>175</v>
      </c>
      <c r="B113" s="19">
        <v>1</v>
      </c>
      <c r="C113" s="19" t="s">
        <v>1874</v>
      </c>
      <c r="D113" s="270">
        <v>1764480.53</v>
      </c>
    </row>
    <row r="114" spans="1:4">
      <c r="A114" s="19" t="s">
        <v>183</v>
      </c>
      <c r="B114" s="19">
        <v>0</v>
      </c>
      <c r="C114" s="19" t="s">
        <v>1815</v>
      </c>
      <c r="D114" s="270">
        <v>42857.140000000014</v>
      </c>
    </row>
    <row r="115" spans="1:4">
      <c r="A115" s="19" t="s">
        <v>183</v>
      </c>
      <c r="B115" s="19">
        <v>0</v>
      </c>
      <c r="C115" s="19" t="s">
        <v>1816</v>
      </c>
      <c r="D115" s="270">
        <v>133340.13</v>
      </c>
    </row>
    <row r="116" spans="1:4">
      <c r="A116" s="19" t="s">
        <v>183</v>
      </c>
      <c r="B116" s="19">
        <v>0</v>
      </c>
      <c r="C116" s="19" t="s">
        <v>1819</v>
      </c>
      <c r="D116" s="270">
        <v>167857.35</v>
      </c>
    </row>
    <row r="117" spans="1:4">
      <c r="A117" s="19" t="s">
        <v>183</v>
      </c>
      <c r="B117" s="19">
        <v>0</v>
      </c>
      <c r="C117" s="19" t="s">
        <v>1818</v>
      </c>
      <c r="D117" s="270">
        <v>125446.35</v>
      </c>
    </row>
    <row r="118" spans="1:4">
      <c r="A118" s="19" t="s">
        <v>183</v>
      </c>
      <c r="B118" s="19">
        <v>0</v>
      </c>
      <c r="C118" s="19" t="s">
        <v>1817</v>
      </c>
      <c r="D118" s="270">
        <v>83870.17</v>
      </c>
    </row>
    <row r="119" spans="1:4">
      <c r="A119" s="19" t="s">
        <v>183</v>
      </c>
      <c r="B119" s="19">
        <v>1</v>
      </c>
      <c r="C119" s="19" t="s">
        <v>185</v>
      </c>
      <c r="D119" s="270">
        <v>1109544</v>
      </c>
    </row>
    <row r="120" spans="1:4">
      <c r="A120" s="19" t="s">
        <v>183</v>
      </c>
      <c r="B120" s="19">
        <v>1</v>
      </c>
      <c r="C120" s="19" t="s">
        <v>187</v>
      </c>
      <c r="D120" s="270">
        <v>235400</v>
      </c>
    </row>
    <row r="121" spans="1:4">
      <c r="A121" s="19" t="s">
        <v>188</v>
      </c>
      <c r="B121" s="19">
        <v>1</v>
      </c>
      <c r="C121" s="19" t="s">
        <v>192</v>
      </c>
      <c r="D121" s="270">
        <v>208547.6</v>
      </c>
    </row>
    <row r="122" spans="1:4">
      <c r="A122" s="19" t="s">
        <v>188</v>
      </c>
      <c r="B122" s="19">
        <v>1</v>
      </c>
      <c r="C122" s="19" t="s">
        <v>982</v>
      </c>
      <c r="D122" s="270">
        <v>563783.6</v>
      </c>
    </row>
    <row r="123" spans="1:4">
      <c r="A123" s="19" t="s">
        <v>188</v>
      </c>
      <c r="B123" s="19">
        <v>1</v>
      </c>
      <c r="C123" s="19" t="s">
        <v>322</v>
      </c>
      <c r="D123" s="270">
        <v>170000</v>
      </c>
    </row>
    <row r="124" spans="1:4">
      <c r="A124" s="19" t="s">
        <v>188</v>
      </c>
      <c r="B124" s="19">
        <v>1</v>
      </c>
      <c r="C124" s="19" t="s">
        <v>190</v>
      </c>
      <c r="D124" s="270">
        <v>200000</v>
      </c>
    </row>
    <row r="125" spans="1:4">
      <c r="A125" s="19" t="s">
        <v>188</v>
      </c>
      <c r="B125" s="19">
        <v>1</v>
      </c>
      <c r="C125" s="19" t="s">
        <v>195</v>
      </c>
      <c r="D125" s="270">
        <v>1000000</v>
      </c>
    </row>
    <row r="126" spans="1:4">
      <c r="A126" s="19" t="s">
        <v>188</v>
      </c>
      <c r="B126" s="19">
        <v>1</v>
      </c>
      <c r="C126" s="19" t="s">
        <v>197</v>
      </c>
      <c r="D126" s="270">
        <v>500000</v>
      </c>
    </row>
    <row r="127" spans="1:4">
      <c r="A127" s="19" t="s">
        <v>19</v>
      </c>
      <c r="B127" s="19">
        <v>0</v>
      </c>
      <c r="C127" s="19" t="s">
        <v>147</v>
      </c>
      <c r="D127" s="270">
        <v>173854.77</v>
      </c>
    </row>
    <row r="128" spans="1:4">
      <c r="A128" s="19" t="s">
        <v>19</v>
      </c>
      <c r="B128" s="19">
        <v>0</v>
      </c>
      <c r="C128" s="19" t="s">
        <v>1824</v>
      </c>
      <c r="D128" s="270">
        <v>19750</v>
      </c>
    </row>
    <row r="129" spans="1:4">
      <c r="A129" s="19" t="s">
        <v>19</v>
      </c>
      <c r="B129" s="19">
        <v>0</v>
      </c>
      <c r="C129" s="19" t="s">
        <v>1507</v>
      </c>
      <c r="D129" s="270">
        <v>315476.61000000004</v>
      </c>
    </row>
    <row r="130" spans="1:4">
      <c r="A130" s="19" t="s">
        <v>19</v>
      </c>
      <c r="B130" s="19">
        <v>1</v>
      </c>
      <c r="C130" s="19" t="s">
        <v>22</v>
      </c>
      <c r="D130" s="270">
        <v>832000</v>
      </c>
    </row>
    <row r="131" spans="1:4">
      <c r="A131" s="19" t="s">
        <v>19</v>
      </c>
      <c r="B131" s="19">
        <v>1</v>
      </c>
      <c r="C131" s="19" t="s">
        <v>992</v>
      </c>
      <c r="D131" s="270">
        <v>0</v>
      </c>
    </row>
    <row r="132" spans="1:4">
      <c r="A132" s="19" t="s">
        <v>19</v>
      </c>
      <c r="B132" s="19">
        <v>1</v>
      </c>
      <c r="C132" s="19" t="s">
        <v>987</v>
      </c>
      <c r="D132" s="270">
        <v>0</v>
      </c>
    </row>
    <row r="133" spans="1:4">
      <c r="A133" s="19" t="s">
        <v>19</v>
      </c>
      <c r="B133" s="19">
        <v>1</v>
      </c>
      <c r="C133" s="19" t="s">
        <v>995</v>
      </c>
      <c r="D133" s="270">
        <v>1574528.37</v>
      </c>
    </row>
    <row r="134" spans="1:4">
      <c r="A134" s="19" t="s">
        <v>19</v>
      </c>
      <c r="B134" s="19">
        <v>1</v>
      </c>
      <c r="C134" s="19" t="s">
        <v>988</v>
      </c>
      <c r="D134" s="270">
        <v>120343.48</v>
      </c>
    </row>
    <row r="135" spans="1:4">
      <c r="A135" s="19" t="s">
        <v>19</v>
      </c>
      <c r="B135" s="19">
        <v>1</v>
      </c>
      <c r="C135" s="19" t="s">
        <v>986</v>
      </c>
      <c r="D135" s="270">
        <v>0</v>
      </c>
    </row>
    <row r="136" spans="1:4">
      <c r="A136" s="19" t="s">
        <v>19</v>
      </c>
      <c r="B136" s="19">
        <v>1</v>
      </c>
      <c r="C136" s="19" t="s">
        <v>991</v>
      </c>
      <c r="D136" s="270">
        <v>132763.31</v>
      </c>
    </row>
    <row r="137" spans="1:4">
      <c r="A137" s="19" t="s">
        <v>19</v>
      </c>
      <c r="B137" s="19">
        <v>1</v>
      </c>
      <c r="C137" s="19" t="s">
        <v>21</v>
      </c>
      <c r="D137" s="270">
        <v>306943.45</v>
      </c>
    </row>
    <row r="138" spans="1:4">
      <c r="A138" s="19" t="s">
        <v>19</v>
      </c>
      <c r="B138" s="19">
        <v>1</v>
      </c>
      <c r="C138" s="19" t="s">
        <v>984</v>
      </c>
      <c r="D138" s="270">
        <v>84000</v>
      </c>
    </row>
    <row r="139" spans="1:4">
      <c r="A139" s="19" t="s">
        <v>19</v>
      </c>
      <c r="B139" s="19">
        <v>1</v>
      </c>
      <c r="C139" s="19" t="s">
        <v>993</v>
      </c>
      <c r="D139" s="270">
        <v>0</v>
      </c>
    </row>
    <row r="140" spans="1:4">
      <c r="A140" s="19" t="s">
        <v>19</v>
      </c>
      <c r="B140" s="19">
        <v>1</v>
      </c>
      <c r="C140" s="19" t="s">
        <v>990</v>
      </c>
      <c r="D140" s="270">
        <v>0</v>
      </c>
    </row>
    <row r="141" spans="1:4">
      <c r="A141" s="19" t="s">
        <v>19</v>
      </c>
      <c r="B141" s="19">
        <v>1</v>
      </c>
      <c r="C141" s="19" t="s">
        <v>989</v>
      </c>
      <c r="D141" s="270">
        <v>0</v>
      </c>
    </row>
    <row r="142" spans="1:4">
      <c r="A142" s="19" t="s">
        <v>19</v>
      </c>
      <c r="B142" s="19">
        <v>1</v>
      </c>
      <c r="C142" s="19" t="s">
        <v>985</v>
      </c>
      <c r="D142" s="270">
        <v>145051.79999999999</v>
      </c>
    </row>
    <row r="143" spans="1:4">
      <c r="A143" s="19" t="s">
        <v>19</v>
      </c>
      <c r="B143" s="19">
        <v>1</v>
      </c>
      <c r="C143" s="19" t="s">
        <v>2012</v>
      </c>
      <c r="D143" s="270">
        <v>93969.600000000006</v>
      </c>
    </row>
    <row r="144" spans="1:4">
      <c r="A144" s="19" t="s">
        <v>19</v>
      </c>
      <c r="B144" s="19">
        <v>1</v>
      </c>
      <c r="C144" s="19" t="s">
        <v>146</v>
      </c>
      <c r="D144" s="270">
        <v>1191735.45</v>
      </c>
    </row>
    <row r="145" spans="1:4">
      <c r="A145" s="19" t="s">
        <v>19</v>
      </c>
      <c r="B145" s="19">
        <v>1</v>
      </c>
      <c r="C145" s="19" t="s">
        <v>550</v>
      </c>
      <c r="D145" s="270">
        <v>23342.01</v>
      </c>
    </row>
    <row r="146" spans="1:4">
      <c r="A146" s="19" t="s">
        <v>19</v>
      </c>
      <c r="B146" s="19" t="s">
        <v>1874</v>
      </c>
      <c r="C146" s="19" t="s">
        <v>994</v>
      </c>
      <c r="D146" s="270">
        <v>0</v>
      </c>
    </row>
    <row r="147" spans="1:4">
      <c r="A147" s="19" t="s">
        <v>19</v>
      </c>
      <c r="B147" s="19" t="s">
        <v>1874</v>
      </c>
      <c r="C147" s="19" t="s">
        <v>1991</v>
      </c>
      <c r="D147" s="270"/>
    </row>
    <row r="148" spans="1:4">
      <c r="A148" s="19" t="s">
        <v>19</v>
      </c>
      <c r="B148" s="19" t="s">
        <v>1874</v>
      </c>
      <c r="C148" s="19" t="s">
        <v>1997</v>
      </c>
      <c r="D148" s="270"/>
    </row>
    <row r="149" spans="1:4">
      <c r="A149" s="19" t="s">
        <v>19</v>
      </c>
      <c r="B149" s="19" t="s">
        <v>1874</v>
      </c>
      <c r="C149" s="19" t="s">
        <v>1995</v>
      </c>
      <c r="D149" s="270"/>
    </row>
    <row r="150" spans="1:4">
      <c r="A150" s="19" t="s">
        <v>19</v>
      </c>
      <c r="B150" s="19" t="s">
        <v>1874</v>
      </c>
      <c r="C150" s="19" t="s">
        <v>1993</v>
      </c>
      <c r="D150" s="270"/>
    </row>
    <row r="151" spans="1:4">
      <c r="A151" s="19" t="s">
        <v>19</v>
      </c>
      <c r="B151" s="19" t="s">
        <v>1874</v>
      </c>
      <c r="C151" s="19" t="s">
        <v>1992</v>
      </c>
      <c r="D151" s="270"/>
    </row>
    <row r="152" spans="1:4">
      <c r="A152" s="19" t="s">
        <v>19</v>
      </c>
      <c r="B152" s="19" t="s">
        <v>1874</v>
      </c>
      <c r="C152" s="19" t="s">
        <v>1996</v>
      </c>
      <c r="D152" s="270"/>
    </row>
    <row r="153" spans="1:4">
      <c r="A153" s="19" t="s">
        <v>19</v>
      </c>
      <c r="B153" s="19" t="s">
        <v>1874</v>
      </c>
      <c r="C153" s="19" t="s">
        <v>1990</v>
      </c>
      <c r="D153" s="270"/>
    </row>
    <row r="154" spans="1:4">
      <c r="A154" s="19" t="s">
        <v>155</v>
      </c>
      <c r="B154" s="19">
        <v>1</v>
      </c>
      <c r="C154" s="19" t="s">
        <v>321</v>
      </c>
      <c r="D154" s="270">
        <v>189591.55</v>
      </c>
    </row>
    <row r="155" spans="1:4">
      <c r="A155" s="19" t="s">
        <v>155</v>
      </c>
      <c r="B155" s="19">
        <v>1</v>
      </c>
      <c r="C155" s="19" t="s">
        <v>158</v>
      </c>
      <c r="D155" s="270">
        <v>318843.32</v>
      </c>
    </row>
    <row r="156" spans="1:4">
      <c r="A156" s="19" t="s">
        <v>155</v>
      </c>
      <c r="B156" s="19">
        <v>1</v>
      </c>
      <c r="C156" s="19" t="s">
        <v>160</v>
      </c>
      <c r="D156" s="270">
        <v>1052665.24</v>
      </c>
    </row>
    <row r="157" spans="1:4">
      <c r="A157" s="19" t="s">
        <v>155</v>
      </c>
      <c r="B157" s="19">
        <v>1</v>
      </c>
      <c r="C157" s="19" t="s">
        <v>1370</v>
      </c>
      <c r="D157" s="270">
        <v>314892.75</v>
      </c>
    </row>
    <row r="158" spans="1:4">
      <c r="A158" s="19" t="s">
        <v>155</v>
      </c>
      <c r="B158" s="19">
        <v>1</v>
      </c>
      <c r="C158" s="19" t="s">
        <v>1526</v>
      </c>
      <c r="D158" s="270">
        <v>41845.9</v>
      </c>
    </row>
    <row r="159" spans="1:4">
      <c r="A159" s="19" t="s">
        <v>1672</v>
      </c>
      <c r="D159" s="270">
        <v>62631113.450000003</v>
      </c>
    </row>
    <row r="160" spans="1:4">
      <c r="D16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51"/>
  <sheetViews>
    <sheetView topLeftCell="A22" workbookViewId="0">
      <selection activeCell="D44" sqref="D44"/>
    </sheetView>
  </sheetViews>
  <sheetFormatPr baseColWidth="10" defaultRowHeight="15"/>
  <cols>
    <col min="1" max="1" width="17.5703125" bestFit="1" customWidth="1"/>
    <col min="2" max="2" width="14.42578125" customWidth="1"/>
    <col min="3" max="3" width="19.42578125" bestFit="1" customWidth="1"/>
  </cols>
  <sheetData>
    <row r="3" spans="1:3">
      <c r="A3" s="18" t="s">
        <v>1671</v>
      </c>
      <c r="B3" t="s">
        <v>2038</v>
      </c>
      <c r="C3" t="s">
        <v>2039</v>
      </c>
    </row>
    <row r="4" spans="1:3">
      <c r="A4" s="19" t="s">
        <v>26</v>
      </c>
      <c r="B4" s="118">
        <v>4107396.63</v>
      </c>
      <c r="C4" s="118">
        <v>4107396.63</v>
      </c>
    </row>
    <row r="5" spans="1:3">
      <c r="A5" s="19" t="s">
        <v>0</v>
      </c>
      <c r="B5" s="118">
        <v>3735251.1100000003</v>
      </c>
      <c r="C5" s="118">
        <v>3735251.1100000003</v>
      </c>
    </row>
    <row r="6" spans="1:3">
      <c r="A6" s="19" t="s">
        <v>44</v>
      </c>
      <c r="B6" s="118">
        <v>3630600.7399999998</v>
      </c>
      <c r="C6" s="118">
        <v>3630600.7399999998</v>
      </c>
    </row>
    <row r="7" spans="1:3">
      <c r="A7" s="19" t="s">
        <v>67</v>
      </c>
      <c r="B7" s="118">
        <v>4083627.1</v>
      </c>
      <c r="C7" s="118">
        <v>3430652.20951</v>
      </c>
    </row>
    <row r="8" spans="1:3">
      <c r="A8" s="19" t="s">
        <v>56</v>
      </c>
      <c r="B8" s="118">
        <v>2702052.3099999996</v>
      </c>
      <c r="C8" s="118">
        <v>2626702.1529999999</v>
      </c>
    </row>
    <row r="9" spans="1:3">
      <c r="A9" s="19" t="s">
        <v>70</v>
      </c>
      <c r="B9" s="118">
        <v>2249903.92</v>
      </c>
      <c r="C9" s="118">
        <v>2249903.92</v>
      </c>
    </row>
    <row r="10" spans="1:3">
      <c r="A10" s="19" t="s">
        <v>86</v>
      </c>
      <c r="B10" s="118">
        <v>3999999.99</v>
      </c>
      <c r="C10" s="118">
        <v>3999999.99</v>
      </c>
    </row>
    <row r="11" spans="1:3">
      <c r="A11" s="19" t="s">
        <v>95</v>
      </c>
      <c r="B11" s="118">
        <v>6170833.2300000004</v>
      </c>
      <c r="C11" s="118">
        <v>6170833.2300000004</v>
      </c>
    </row>
    <row r="12" spans="1:3">
      <c r="A12" s="19" t="s">
        <v>5</v>
      </c>
      <c r="B12" s="118">
        <v>1576929.84</v>
      </c>
      <c r="C12" s="118">
        <v>1576929.84</v>
      </c>
    </row>
    <row r="13" spans="1:3">
      <c r="A13" s="19" t="s">
        <v>103</v>
      </c>
      <c r="B13" s="118">
        <v>3964398.32</v>
      </c>
      <c r="C13" s="118">
        <v>3964398.32</v>
      </c>
    </row>
    <row r="14" spans="1:3">
      <c r="A14" s="19" t="s">
        <v>9</v>
      </c>
      <c r="B14" s="118">
        <v>4023247.6799999997</v>
      </c>
      <c r="C14" s="118">
        <v>4023247.6799999997</v>
      </c>
    </row>
    <row r="15" spans="1:3">
      <c r="A15" s="19" t="s">
        <v>138</v>
      </c>
      <c r="B15" s="118">
        <v>2612569</v>
      </c>
      <c r="C15" s="118">
        <v>2612569</v>
      </c>
    </row>
    <row r="16" spans="1:3">
      <c r="A16" s="19" t="s">
        <v>16</v>
      </c>
      <c r="B16" s="118">
        <v>1295853.47</v>
      </c>
      <c r="C16" s="118">
        <v>1136257.3120000002</v>
      </c>
    </row>
    <row r="17" spans="1:4">
      <c r="A17" s="19" t="s">
        <v>23</v>
      </c>
      <c r="B17" s="118">
        <v>2127185.79</v>
      </c>
      <c r="C17" s="118">
        <v>2127185.79</v>
      </c>
    </row>
    <row r="18" spans="1:4">
      <c r="A18" s="19" t="s">
        <v>168</v>
      </c>
      <c r="B18" s="118">
        <v>799714.06</v>
      </c>
      <c r="C18" s="118">
        <v>799714.06</v>
      </c>
    </row>
    <row r="19" spans="1:4">
      <c r="A19" s="19" t="s">
        <v>175</v>
      </c>
      <c r="B19" s="118">
        <v>4079306.3099999996</v>
      </c>
      <c r="C19" s="118">
        <v>4079306.3099999996</v>
      </c>
    </row>
    <row r="20" spans="1:4">
      <c r="A20" s="19" t="s">
        <v>183</v>
      </c>
      <c r="B20" s="118">
        <v>1898315.1400000001</v>
      </c>
      <c r="C20" s="118">
        <v>1344944</v>
      </c>
    </row>
    <row r="21" spans="1:4">
      <c r="A21" s="19" t="s">
        <v>188</v>
      </c>
      <c r="B21" s="118">
        <v>2642331.2000000002</v>
      </c>
      <c r="C21" s="118">
        <v>2642331.2000000002</v>
      </c>
    </row>
    <row r="22" spans="1:4">
      <c r="A22" s="19" t="s">
        <v>19</v>
      </c>
      <c r="B22" s="118">
        <v>5013758.8499999996</v>
      </c>
      <c r="C22" s="118">
        <v>4504677.47</v>
      </c>
    </row>
    <row r="23" spans="1:4">
      <c r="A23" s="19" t="s">
        <v>155</v>
      </c>
      <c r="B23" s="118">
        <v>1917838.7599999998</v>
      </c>
      <c r="C23" s="118">
        <v>1917838.7599999998</v>
      </c>
    </row>
    <row r="24" spans="1:4">
      <c r="A24" s="19" t="s">
        <v>1672</v>
      </c>
      <c r="B24" s="118">
        <v>62631113.45000001</v>
      </c>
      <c r="C24" s="118">
        <v>60680739.724510007</v>
      </c>
    </row>
    <row r="26" spans="1:4" ht="15.75" thickBot="1"/>
    <row r="27" spans="1:4">
      <c r="A27" s="277" t="s">
        <v>2040</v>
      </c>
      <c r="B27" s="278" t="s">
        <v>2046</v>
      </c>
      <c r="C27" s="278" t="s">
        <v>2047</v>
      </c>
      <c r="D27" s="279" t="s">
        <v>2048</v>
      </c>
    </row>
    <row r="28" spans="1:4">
      <c r="A28" s="275" t="s">
        <v>26</v>
      </c>
      <c r="B28" s="274">
        <v>4107396.63</v>
      </c>
      <c r="C28" s="274">
        <v>4107396.63</v>
      </c>
      <c r="D28" s="276">
        <f t="shared" ref="D28:D43" si="0">C28/B28</f>
        <v>1</v>
      </c>
    </row>
    <row r="29" spans="1:4">
      <c r="A29" s="275" t="s">
        <v>0</v>
      </c>
      <c r="B29" s="274">
        <v>3735251.1100000003</v>
      </c>
      <c r="C29" s="274">
        <v>3735251.1100000003</v>
      </c>
      <c r="D29" s="276">
        <f t="shared" si="0"/>
        <v>1</v>
      </c>
    </row>
    <row r="30" spans="1:4">
      <c r="A30" s="275" t="s">
        <v>44</v>
      </c>
      <c r="B30" s="274">
        <v>3630600.7399999998</v>
      </c>
      <c r="C30" s="274">
        <v>3630600.7399999998</v>
      </c>
      <c r="D30" s="276">
        <f t="shared" si="0"/>
        <v>1</v>
      </c>
    </row>
    <row r="31" spans="1:4">
      <c r="A31" s="275" t="s">
        <v>70</v>
      </c>
      <c r="B31" s="274">
        <v>2249903.92</v>
      </c>
      <c r="C31" s="274">
        <v>2249903.92</v>
      </c>
      <c r="D31" s="276">
        <f t="shared" si="0"/>
        <v>1</v>
      </c>
    </row>
    <row r="32" spans="1:4">
      <c r="A32" s="275" t="s">
        <v>86</v>
      </c>
      <c r="B32" s="274">
        <v>3999999.99</v>
      </c>
      <c r="C32" s="274">
        <v>3999999.99</v>
      </c>
      <c r="D32" s="276">
        <f t="shared" si="0"/>
        <v>1</v>
      </c>
    </row>
    <row r="33" spans="1:8">
      <c r="A33" s="275" t="s">
        <v>95</v>
      </c>
      <c r="B33" s="274">
        <v>6170833.2300000004</v>
      </c>
      <c r="C33" s="274">
        <v>6170833.2300000004</v>
      </c>
      <c r="D33" s="276">
        <f t="shared" si="0"/>
        <v>1</v>
      </c>
    </row>
    <row r="34" spans="1:8">
      <c r="A34" s="275" t="s">
        <v>5</v>
      </c>
      <c r="B34" s="274">
        <v>1576929.84</v>
      </c>
      <c r="C34" s="274">
        <v>1576929.84</v>
      </c>
      <c r="D34" s="276">
        <f t="shared" si="0"/>
        <v>1</v>
      </c>
    </row>
    <row r="35" spans="1:8">
      <c r="A35" s="275" t="s">
        <v>103</v>
      </c>
      <c r="B35" s="274">
        <v>3964398.32</v>
      </c>
      <c r="C35" s="274">
        <v>3964398.32</v>
      </c>
      <c r="D35" s="276">
        <f t="shared" si="0"/>
        <v>1</v>
      </c>
    </row>
    <row r="36" spans="1:8">
      <c r="A36" s="275" t="s">
        <v>9</v>
      </c>
      <c r="B36" s="274">
        <v>4023247.6799999997</v>
      </c>
      <c r="C36" s="274">
        <v>4023247.6799999997</v>
      </c>
      <c r="D36" s="276">
        <f t="shared" si="0"/>
        <v>1</v>
      </c>
      <c r="G36" s="287" t="s">
        <v>2052</v>
      </c>
      <c r="H36" s="287">
        <v>0.98260000000000003</v>
      </c>
    </row>
    <row r="37" spans="1:8">
      <c r="A37" s="275" t="s">
        <v>138</v>
      </c>
      <c r="B37" s="274">
        <v>2612569</v>
      </c>
      <c r="C37" s="274">
        <v>2612569</v>
      </c>
      <c r="D37" s="276">
        <f t="shared" si="0"/>
        <v>1</v>
      </c>
      <c r="G37" s="287" t="s">
        <v>138</v>
      </c>
      <c r="H37" s="287">
        <v>1</v>
      </c>
    </row>
    <row r="38" spans="1:8">
      <c r="A38" s="275" t="s">
        <v>23</v>
      </c>
      <c r="B38" s="274">
        <v>2127185.79</v>
      </c>
      <c r="C38" s="274">
        <v>2127185.79</v>
      </c>
      <c r="D38" s="276">
        <f t="shared" si="0"/>
        <v>1</v>
      </c>
      <c r="G38" s="287" t="s">
        <v>23</v>
      </c>
      <c r="H38" s="287">
        <v>1</v>
      </c>
    </row>
    <row r="39" spans="1:8">
      <c r="A39" s="275" t="s">
        <v>168</v>
      </c>
      <c r="B39" s="274">
        <v>799714.06</v>
      </c>
      <c r="C39" s="274">
        <v>799714.06</v>
      </c>
      <c r="D39" s="276">
        <f t="shared" si="0"/>
        <v>1</v>
      </c>
      <c r="G39" s="287" t="s">
        <v>168</v>
      </c>
      <c r="H39" s="287">
        <v>1</v>
      </c>
    </row>
    <row r="40" spans="1:8">
      <c r="A40" s="275" t="s">
        <v>175</v>
      </c>
      <c r="B40" s="274">
        <v>4079306.3099999996</v>
      </c>
      <c r="C40" s="274">
        <v>4079306.3099999996</v>
      </c>
      <c r="D40" s="276">
        <f t="shared" si="0"/>
        <v>1</v>
      </c>
      <c r="G40" s="287" t="s">
        <v>175</v>
      </c>
      <c r="H40" s="287">
        <v>1</v>
      </c>
    </row>
    <row r="41" spans="1:8">
      <c r="A41" s="275" t="s">
        <v>188</v>
      </c>
      <c r="B41" s="274">
        <v>2642331.2000000002</v>
      </c>
      <c r="C41" s="274">
        <v>2642331.2000000002</v>
      </c>
      <c r="D41" s="276">
        <f t="shared" si="0"/>
        <v>1</v>
      </c>
      <c r="G41" s="287" t="s">
        <v>188</v>
      </c>
      <c r="H41" s="287">
        <v>1</v>
      </c>
    </row>
    <row r="42" spans="1:8">
      <c r="A42" s="275" t="s">
        <v>155</v>
      </c>
      <c r="B42" s="274">
        <v>1917838.7599999998</v>
      </c>
      <c r="C42" s="274">
        <v>1917838.7599999998</v>
      </c>
      <c r="D42" s="276">
        <f t="shared" si="0"/>
        <v>1</v>
      </c>
      <c r="G42" s="287" t="s">
        <v>155</v>
      </c>
      <c r="H42" s="287">
        <v>1</v>
      </c>
    </row>
    <row r="43" spans="1:8">
      <c r="A43" s="275" t="s">
        <v>56</v>
      </c>
      <c r="B43" s="274">
        <v>2702052.3099999996</v>
      </c>
      <c r="C43" s="274">
        <v>2626702.1529999999</v>
      </c>
      <c r="D43" s="276">
        <f t="shared" si="0"/>
        <v>0.97211373121048139</v>
      </c>
      <c r="G43" s="287" t="s">
        <v>56</v>
      </c>
      <c r="H43" s="287">
        <v>0.97211373121048139</v>
      </c>
    </row>
    <row r="44" spans="1:8">
      <c r="A44" s="275" t="s">
        <v>19</v>
      </c>
      <c r="B44" s="274">
        <v>5013758.8499999996</v>
      </c>
      <c r="C44" s="274">
        <v>4504677.47</v>
      </c>
      <c r="D44" s="276">
        <v>0.91</v>
      </c>
      <c r="G44" s="287" t="s">
        <v>19</v>
      </c>
      <c r="H44" s="287">
        <v>0.91</v>
      </c>
    </row>
    <row r="45" spans="1:8">
      <c r="A45" s="275" t="s">
        <v>16</v>
      </c>
      <c r="B45" s="274">
        <v>1295853.47</v>
      </c>
      <c r="C45" s="274">
        <v>1136257.3120000002</v>
      </c>
      <c r="D45" s="276">
        <f>C45/B45</f>
        <v>0.87684089158629963</v>
      </c>
      <c r="G45" s="287" t="s">
        <v>16</v>
      </c>
      <c r="H45" s="287">
        <v>0.87684089158629963</v>
      </c>
    </row>
    <row r="46" spans="1:8">
      <c r="A46" s="275" t="s">
        <v>67</v>
      </c>
      <c r="B46" s="274">
        <v>4083627.1</v>
      </c>
      <c r="C46" s="274">
        <v>3430652.20951</v>
      </c>
      <c r="D46" s="276">
        <f>C46/B46</f>
        <v>0.84009928563506686</v>
      </c>
      <c r="G46" s="287" t="s">
        <v>183</v>
      </c>
      <c r="H46" s="287">
        <v>0.70849353284934546</v>
      </c>
    </row>
    <row r="47" spans="1:8" ht="15.75" thickBot="1">
      <c r="A47" s="280" t="s">
        <v>183</v>
      </c>
      <c r="B47" s="281">
        <v>1898315.1400000001</v>
      </c>
      <c r="C47" s="281">
        <v>1344944</v>
      </c>
      <c r="D47" s="282">
        <f>C47/B47</f>
        <v>0.70849353284934546</v>
      </c>
      <c r="G47" s="287" t="s">
        <v>1672</v>
      </c>
      <c r="H47" s="287">
        <v>0.96885934772583859</v>
      </c>
    </row>
    <row r="48" spans="1:8" ht="15.75" thickBot="1">
      <c r="A48" s="283" t="s">
        <v>1672</v>
      </c>
      <c r="B48" s="284">
        <v>62631113.45000001</v>
      </c>
      <c r="C48" s="284">
        <v>60680739.724510007</v>
      </c>
      <c r="D48" s="286">
        <f t="shared" ref="D48" si="1">C48/B48</f>
        <v>0.96885934772583859</v>
      </c>
    </row>
    <row r="51" spans="2:4">
      <c r="B51">
        <f>SUM(B28:B36)+B46</f>
        <v>37542188.560000002</v>
      </c>
      <c r="C51">
        <f>SUM(C28:C36)+C46</f>
        <v>36889213.669509999</v>
      </c>
      <c r="D51" s="285">
        <f t="shared" ref="D51" si="2">C51/B51</f>
        <v>0.98260690397826922</v>
      </c>
    </row>
  </sheetData>
  <sortState ref="A28:D47">
    <sortCondition descending="1" ref="D28:D47"/>
  </sortState>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8"/>
  <sheetViews>
    <sheetView workbookViewId="0">
      <selection activeCell="F38" sqref="F38"/>
    </sheetView>
  </sheetViews>
  <sheetFormatPr baseColWidth="10" defaultRowHeight="15"/>
  <cols>
    <col min="1" max="1" width="17.5703125" bestFit="1" customWidth="1"/>
    <col min="2" max="2" width="27.140625" bestFit="1" customWidth="1"/>
    <col min="3" max="3" width="19.42578125" bestFit="1" customWidth="1"/>
  </cols>
  <sheetData>
    <row r="3" spans="1:3">
      <c r="A3" s="18" t="s">
        <v>1671</v>
      </c>
      <c r="B3" t="s">
        <v>2038</v>
      </c>
      <c r="C3" t="s">
        <v>2039</v>
      </c>
    </row>
    <row r="4" spans="1:3">
      <c r="A4" s="19" t="s">
        <v>26</v>
      </c>
      <c r="B4" s="118">
        <v>4107396.63</v>
      </c>
      <c r="C4" s="118">
        <v>4107396.63</v>
      </c>
    </row>
    <row r="5" spans="1:3">
      <c r="A5" s="19" t="s">
        <v>0</v>
      </c>
      <c r="B5" s="118">
        <v>3735251.1100000003</v>
      </c>
      <c r="C5" s="118">
        <v>3735251.1100000003</v>
      </c>
    </row>
    <row r="6" spans="1:3">
      <c r="A6" s="19" t="s">
        <v>44</v>
      </c>
      <c r="B6" s="118">
        <v>3630600.7399999998</v>
      </c>
      <c r="C6" s="118">
        <v>3630600.7399999998</v>
      </c>
    </row>
    <row r="7" spans="1:3">
      <c r="A7" s="19" t="s">
        <v>67</v>
      </c>
      <c r="B7" s="118">
        <v>4083627.1</v>
      </c>
      <c r="C7" s="118">
        <v>3430652.20951</v>
      </c>
    </row>
    <row r="8" spans="1:3">
      <c r="A8" s="19" t="s">
        <v>56</v>
      </c>
      <c r="B8" s="118">
        <v>2702052.3099999996</v>
      </c>
      <c r="C8" s="118">
        <v>2626702.1529999999</v>
      </c>
    </row>
    <row r="9" spans="1:3">
      <c r="A9" s="19" t="s">
        <v>70</v>
      </c>
      <c r="B9" s="118">
        <v>2249903.92</v>
      </c>
      <c r="C9" s="118">
        <v>2249903.92</v>
      </c>
    </row>
    <row r="10" spans="1:3">
      <c r="A10" s="19" t="s">
        <v>86</v>
      </c>
      <c r="B10" s="118">
        <v>3999999.99</v>
      </c>
      <c r="C10" s="118">
        <v>3999999.99</v>
      </c>
    </row>
    <row r="11" spans="1:3">
      <c r="A11" s="19" t="s">
        <v>95</v>
      </c>
      <c r="B11" s="118">
        <v>6170833.2300000004</v>
      </c>
      <c r="C11" s="118">
        <v>6170833.2300000004</v>
      </c>
    </row>
    <row r="12" spans="1:3">
      <c r="A12" s="19" t="s">
        <v>5</v>
      </c>
      <c r="B12" s="118">
        <v>1576929.84</v>
      </c>
      <c r="C12" s="118">
        <v>1576929.84</v>
      </c>
    </row>
    <row r="13" spans="1:3">
      <c r="A13" s="19" t="s">
        <v>103</v>
      </c>
      <c r="B13" s="118">
        <v>3964398.32</v>
      </c>
      <c r="C13" s="118">
        <v>3964398.32</v>
      </c>
    </row>
    <row r="14" spans="1:3">
      <c r="A14" s="19" t="s">
        <v>9</v>
      </c>
      <c r="B14" s="118">
        <v>4023247.6799999997</v>
      </c>
      <c r="C14" s="118">
        <v>4023247.6799999997</v>
      </c>
    </row>
    <row r="15" spans="1:3">
      <c r="A15" s="19" t="s">
        <v>138</v>
      </c>
      <c r="B15" s="118">
        <v>2612569</v>
      </c>
      <c r="C15" s="118">
        <v>2612569</v>
      </c>
    </row>
    <row r="16" spans="1:3">
      <c r="A16" s="19" t="s">
        <v>16</v>
      </c>
      <c r="B16" s="118">
        <v>1295853.47</v>
      </c>
      <c r="C16" s="118">
        <v>1176156.3515000001</v>
      </c>
    </row>
    <row r="17" spans="1:4">
      <c r="A17" s="19" t="s">
        <v>23</v>
      </c>
      <c r="B17" s="118">
        <v>2127185.79</v>
      </c>
      <c r="C17" s="118">
        <v>2127185.79</v>
      </c>
    </row>
    <row r="18" spans="1:4">
      <c r="A18" s="19" t="s">
        <v>168</v>
      </c>
      <c r="B18" s="118">
        <v>799714.06</v>
      </c>
      <c r="C18" s="118">
        <v>799714.06</v>
      </c>
    </row>
    <row r="19" spans="1:4">
      <c r="A19" s="19" t="s">
        <v>175</v>
      </c>
      <c r="B19" s="118">
        <v>4079306.3099999996</v>
      </c>
      <c r="C19" s="118">
        <v>4079306.3099999996</v>
      </c>
    </row>
    <row r="20" spans="1:4">
      <c r="A20" s="19" t="s">
        <v>183</v>
      </c>
      <c r="B20" s="118">
        <v>1898315.1400000001</v>
      </c>
      <c r="C20" s="118">
        <v>1344944</v>
      </c>
    </row>
    <row r="21" spans="1:4">
      <c r="A21" s="19" t="s">
        <v>188</v>
      </c>
      <c r="B21" s="118">
        <v>2642331.2000000002</v>
      </c>
      <c r="C21" s="118">
        <v>2642331.2000000002</v>
      </c>
    </row>
    <row r="22" spans="1:4">
      <c r="A22" s="19" t="s">
        <v>19</v>
      </c>
      <c r="B22" s="118">
        <v>5013758.8499999996</v>
      </c>
      <c r="C22" s="118">
        <v>4504677.47</v>
      </c>
    </row>
    <row r="23" spans="1:4">
      <c r="A23" s="19" t="s">
        <v>155</v>
      </c>
      <c r="B23" s="118">
        <v>1917838.7599999998</v>
      </c>
      <c r="C23" s="118">
        <v>1917838.7599999998</v>
      </c>
    </row>
    <row r="24" spans="1:4">
      <c r="A24" s="19" t="s">
        <v>1672</v>
      </c>
      <c r="B24" s="118">
        <v>62631113.45000001</v>
      </c>
      <c r="C24" s="118">
        <v>60720638.764010005</v>
      </c>
    </row>
    <row r="26" spans="1:4" ht="15.75" thickBot="1"/>
    <row r="27" spans="1:4">
      <c r="A27" s="289" t="s">
        <v>2040</v>
      </c>
      <c r="B27" s="290" t="s">
        <v>2038</v>
      </c>
      <c r="C27" s="290" t="s">
        <v>2039</v>
      </c>
      <c r="D27" s="291" t="s">
        <v>2048</v>
      </c>
    </row>
    <row r="28" spans="1:4">
      <c r="A28" s="275" t="s">
        <v>26</v>
      </c>
      <c r="B28" s="274">
        <v>4107396.63</v>
      </c>
      <c r="C28" s="274">
        <v>4107396.63</v>
      </c>
      <c r="D28" s="276">
        <f t="shared" ref="D28:D43" si="0">C28/B28</f>
        <v>1</v>
      </c>
    </row>
    <row r="29" spans="1:4">
      <c r="A29" s="275" t="s">
        <v>0</v>
      </c>
      <c r="B29" s="274">
        <v>3735251.1100000003</v>
      </c>
      <c r="C29" s="274">
        <v>3735251.1100000003</v>
      </c>
      <c r="D29" s="276">
        <f t="shared" si="0"/>
        <v>1</v>
      </c>
    </row>
    <row r="30" spans="1:4">
      <c r="A30" s="275" t="s">
        <v>44</v>
      </c>
      <c r="B30" s="274">
        <v>3630600.7399999998</v>
      </c>
      <c r="C30" s="274">
        <v>3630600.7399999998</v>
      </c>
      <c r="D30" s="276">
        <f t="shared" si="0"/>
        <v>1</v>
      </c>
    </row>
    <row r="31" spans="1:4">
      <c r="A31" s="275" t="s">
        <v>70</v>
      </c>
      <c r="B31" s="274">
        <v>2249903.92</v>
      </c>
      <c r="C31" s="274">
        <v>2249903.92</v>
      </c>
      <c r="D31" s="276">
        <f t="shared" si="0"/>
        <v>1</v>
      </c>
    </row>
    <row r="32" spans="1:4">
      <c r="A32" s="275" t="s">
        <v>86</v>
      </c>
      <c r="B32" s="274">
        <v>3999999.99</v>
      </c>
      <c r="C32" s="274">
        <v>3999999.99</v>
      </c>
      <c r="D32" s="276">
        <f t="shared" si="0"/>
        <v>1</v>
      </c>
    </row>
    <row r="33" spans="1:8">
      <c r="A33" s="275" t="s">
        <v>95</v>
      </c>
      <c r="B33" s="274">
        <v>6170833.2300000004</v>
      </c>
      <c r="C33" s="274">
        <v>6170833.2300000004</v>
      </c>
      <c r="D33" s="276">
        <f t="shared" si="0"/>
        <v>1</v>
      </c>
    </row>
    <row r="34" spans="1:8">
      <c r="A34" s="275" t="s">
        <v>5</v>
      </c>
      <c r="B34" s="274">
        <v>1576929.84</v>
      </c>
      <c r="C34" s="274">
        <v>1576929.84</v>
      </c>
      <c r="D34" s="276">
        <f t="shared" si="0"/>
        <v>1</v>
      </c>
    </row>
    <row r="35" spans="1:8" ht="15.75" thickBot="1">
      <c r="A35" s="275" t="s">
        <v>103</v>
      </c>
      <c r="B35" s="274">
        <v>3964398.32</v>
      </c>
      <c r="C35" s="274">
        <v>3964398.32</v>
      </c>
      <c r="D35" s="276">
        <f t="shared" si="0"/>
        <v>1</v>
      </c>
    </row>
    <row r="36" spans="1:8" ht="15.75" thickBot="1">
      <c r="A36" s="275" t="s">
        <v>9</v>
      </c>
      <c r="B36" s="274">
        <v>4023247.6799999997</v>
      </c>
      <c r="C36" s="274">
        <v>4023247.6799999997</v>
      </c>
      <c r="D36" s="276">
        <f t="shared" si="0"/>
        <v>1</v>
      </c>
      <c r="E36" s="292" t="s">
        <v>2052</v>
      </c>
      <c r="F36" s="293">
        <f>SUM(B28:B36)+B43+B46</f>
        <v>40244240.870000005</v>
      </c>
      <c r="G36" s="293">
        <f>SUM(C28:C36)+C43+C46</f>
        <v>39515915.822509997</v>
      </c>
      <c r="H36" s="294">
        <f>G36/F36</f>
        <v>0.9819023782845675</v>
      </c>
    </row>
    <row r="37" spans="1:8">
      <c r="A37" s="275" t="s">
        <v>138</v>
      </c>
      <c r="B37" s="274">
        <v>2612569</v>
      </c>
      <c r="C37" s="274">
        <v>2612569</v>
      </c>
      <c r="D37" s="276">
        <f t="shared" si="0"/>
        <v>1</v>
      </c>
    </row>
    <row r="38" spans="1:8">
      <c r="A38" s="275" t="s">
        <v>23</v>
      </c>
      <c r="B38" s="274">
        <v>2127185.79</v>
      </c>
      <c r="C38" s="274">
        <v>2127185.79</v>
      </c>
      <c r="D38" s="276">
        <f t="shared" si="0"/>
        <v>1</v>
      </c>
    </row>
    <row r="39" spans="1:8">
      <c r="A39" s="275" t="s">
        <v>168</v>
      </c>
      <c r="B39" s="274">
        <v>799714.06</v>
      </c>
      <c r="C39" s="274">
        <v>799714.06</v>
      </c>
      <c r="D39" s="276">
        <f t="shared" si="0"/>
        <v>1</v>
      </c>
    </row>
    <row r="40" spans="1:8">
      <c r="A40" s="275" t="s">
        <v>175</v>
      </c>
      <c r="B40" s="274">
        <v>4079306.3099999996</v>
      </c>
      <c r="C40" s="274">
        <v>4079306.3099999996</v>
      </c>
      <c r="D40" s="276">
        <f t="shared" si="0"/>
        <v>1</v>
      </c>
    </row>
    <row r="41" spans="1:8">
      <c r="A41" s="275" t="s">
        <v>188</v>
      </c>
      <c r="B41" s="274">
        <v>2642331.2000000002</v>
      </c>
      <c r="C41" s="274">
        <v>2642331.2000000002</v>
      </c>
      <c r="D41" s="276">
        <f t="shared" si="0"/>
        <v>1</v>
      </c>
    </row>
    <row r="42" spans="1:8">
      <c r="A42" s="275" t="s">
        <v>155</v>
      </c>
      <c r="B42" s="274">
        <v>1917838.7599999998</v>
      </c>
      <c r="C42" s="274">
        <v>1917838.7599999998</v>
      </c>
      <c r="D42" s="276">
        <f t="shared" si="0"/>
        <v>1</v>
      </c>
    </row>
    <row r="43" spans="1:8">
      <c r="A43" s="275" t="s">
        <v>56</v>
      </c>
      <c r="B43" s="274">
        <v>2702052.3099999996</v>
      </c>
      <c r="C43" s="274">
        <v>2626702.1529999999</v>
      </c>
      <c r="D43" s="276">
        <f t="shared" si="0"/>
        <v>0.97211373121048139</v>
      </c>
    </row>
    <row r="44" spans="1:8">
      <c r="A44" s="275" t="s">
        <v>19</v>
      </c>
      <c r="B44" s="274">
        <v>5013758.8499999996</v>
      </c>
      <c r="C44" s="274">
        <v>4504677.47</v>
      </c>
      <c r="D44" s="276">
        <v>0.91</v>
      </c>
    </row>
    <row r="45" spans="1:8">
      <c r="A45" s="275" t="s">
        <v>16</v>
      </c>
      <c r="B45" s="274">
        <v>1295853.47</v>
      </c>
      <c r="C45" s="274">
        <v>1176156.3515000001</v>
      </c>
      <c r="D45" s="276">
        <f>C45/B45</f>
        <v>0.90763066868972475</v>
      </c>
    </row>
    <row r="46" spans="1:8">
      <c r="A46" s="275" t="s">
        <v>67</v>
      </c>
      <c r="B46" s="274">
        <v>4083627.1</v>
      </c>
      <c r="C46" s="274">
        <v>3430652.20951</v>
      </c>
      <c r="D46" s="276">
        <f>C46/B46</f>
        <v>0.84009928563506686</v>
      </c>
    </row>
    <row r="47" spans="1:8">
      <c r="A47" s="275" t="s">
        <v>183</v>
      </c>
      <c r="B47" s="274">
        <v>1898315.1400000001</v>
      </c>
      <c r="C47" s="274">
        <v>1344944</v>
      </c>
      <c r="D47" s="276">
        <f>C47/B47</f>
        <v>0.70849353284934546</v>
      </c>
    </row>
    <row r="48" spans="1:8" ht="15.75" thickBot="1">
      <c r="A48" s="288" t="s">
        <v>1672</v>
      </c>
      <c r="B48" s="296">
        <v>62631113.45000001</v>
      </c>
      <c r="C48" s="296">
        <v>60720638.764010005</v>
      </c>
      <c r="D48" s="295">
        <f t="shared" ref="D48" si="1">C48/B48</f>
        <v>0.96949639594839421</v>
      </c>
    </row>
  </sheetData>
  <sortState ref="A28:D47">
    <sortCondition descending="1" ref="D28:D47"/>
  </sortState>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5"/>
  <sheetViews>
    <sheetView topLeftCell="A2" workbookViewId="0">
      <selection activeCell="I13" sqref="I13"/>
    </sheetView>
  </sheetViews>
  <sheetFormatPr baseColWidth="10" defaultRowHeight="15"/>
  <cols>
    <col min="4" max="4" width="49.5703125" customWidth="1"/>
  </cols>
  <sheetData>
    <row r="2" spans="2:6">
      <c r="B2" s="266" t="s">
        <v>2040</v>
      </c>
      <c r="C2" s="266" t="s">
        <v>2055</v>
      </c>
      <c r="D2" s="266" t="s">
        <v>1128</v>
      </c>
      <c r="E2" s="271" t="s">
        <v>2036</v>
      </c>
      <c r="F2" s="272" t="s">
        <v>2037</v>
      </c>
    </row>
    <row r="3" spans="2:6">
      <c r="B3" s="267" t="s">
        <v>26</v>
      </c>
      <c r="C3" s="267">
        <v>1</v>
      </c>
      <c r="D3" s="19" t="s">
        <v>31</v>
      </c>
      <c r="E3" s="270">
        <v>58829.48</v>
      </c>
      <c r="F3" s="270">
        <f>C3*E3</f>
        <v>58829.48</v>
      </c>
    </row>
    <row r="4" spans="2:6">
      <c r="B4" s="267" t="s">
        <v>26</v>
      </c>
      <c r="C4" s="267">
        <v>1</v>
      </c>
      <c r="D4" s="19" t="s">
        <v>43</v>
      </c>
      <c r="E4" s="270">
        <v>103127.02</v>
      </c>
      <c r="F4" s="270">
        <f t="shared" ref="F4:F54" si="0">C4*E4</f>
        <v>103127.02</v>
      </c>
    </row>
    <row r="5" spans="2:6">
      <c r="B5" s="265" t="s">
        <v>26</v>
      </c>
      <c r="C5" s="267">
        <v>1</v>
      </c>
      <c r="D5" s="19" t="s">
        <v>29</v>
      </c>
      <c r="E5" s="270">
        <v>3945440.13</v>
      </c>
      <c r="F5" s="270">
        <f t="shared" si="0"/>
        <v>3945440.13</v>
      </c>
    </row>
    <row r="6" spans="2:6">
      <c r="B6" s="267" t="s">
        <v>0</v>
      </c>
      <c r="C6" s="267">
        <v>1</v>
      </c>
      <c r="D6" s="19" t="s">
        <v>41</v>
      </c>
      <c r="E6" s="270">
        <v>164349.32</v>
      </c>
      <c r="F6" s="270">
        <f t="shared" si="0"/>
        <v>164349.32</v>
      </c>
    </row>
    <row r="7" spans="2:6">
      <c r="B7" s="267" t="s">
        <v>0</v>
      </c>
      <c r="C7" s="267">
        <v>1</v>
      </c>
      <c r="D7" s="19" t="s">
        <v>39</v>
      </c>
      <c r="E7" s="270">
        <v>825010</v>
      </c>
      <c r="F7" s="270">
        <f t="shared" si="0"/>
        <v>825010</v>
      </c>
    </row>
    <row r="8" spans="2:6">
      <c r="B8" s="267" t="s">
        <v>0</v>
      </c>
      <c r="C8" s="267">
        <v>1</v>
      </c>
      <c r="D8" s="19" t="s">
        <v>1888</v>
      </c>
      <c r="E8" s="270">
        <v>53826.38</v>
      </c>
      <c r="F8" s="270">
        <f t="shared" si="0"/>
        <v>53826.38</v>
      </c>
    </row>
    <row r="9" spans="2:6">
      <c r="B9" s="267" t="s">
        <v>0</v>
      </c>
      <c r="C9" s="267">
        <v>1</v>
      </c>
      <c r="D9" s="19" t="s">
        <v>37</v>
      </c>
      <c r="E9" s="270">
        <v>294250</v>
      </c>
      <c r="F9" s="270">
        <f t="shared" si="0"/>
        <v>294250</v>
      </c>
    </row>
    <row r="10" spans="2:6">
      <c r="B10" s="267" t="s">
        <v>0</v>
      </c>
      <c r="C10" s="267">
        <v>1</v>
      </c>
      <c r="D10" s="19" t="s">
        <v>35</v>
      </c>
      <c r="E10" s="270">
        <v>1343865.41</v>
      </c>
      <c r="F10" s="270">
        <f t="shared" si="0"/>
        <v>1343865.41</v>
      </c>
    </row>
    <row r="11" spans="2:6">
      <c r="B11" s="265" t="s">
        <v>0</v>
      </c>
      <c r="C11" s="267">
        <v>1</v>
      </c>
      <c r="D11" s="19" t="s">
        <v>33</v>
      </c>
      <c r="E11" s="270">
        <v>1053950</v>
      </c>
      <c r="F11" s="270">
        <f t="shared" si="0"/>
        <v>1053950</v>
      </c>
    </row>
    <row r="12" spans="2:6">
      <c r="B12" s="267" t="s">
        <v>44</v>
      </c>
      <c r="C12" s="267">
        <v>1</v>
      </c>
      <c r="D12" s="19" t="s">
        <v>46</v>
      </c>
      <c r="E12" s="270">
        <v>2788563.45</v>
      </c>
      <c r="F12" s="270">
        <f t="shared" si="0"/>
        <v>2788563.45</v>
      </c>
    </row>
    <row r="13" spans="2:6">
      <c r="B13" s="267" t="s">
        <v>44</v>
      </c>
      <c r="C13" s="267">
        <v>1</v>
      </c>
      <c r="D13" s="19" t="s">
        <v>48</v>
      </c>
      <c r="E13" s="270">
        <v>209341.8</v>
      </c>
      <c r="F13" s="270">
        <f t="shared" si="0"/>
        <v>209341.8</v>
      </c>
    </row>
    <row r="14" spans="2:6">
      <c r="B14" s="267" t="s">
        <v>44</v>
      </c>
      <c r="C14" s="267">
        <v>1</v>
      </c>
      <c r="D14" s="19" t="s">
        <v>50</v>
      </c>
      <c r="E14" s="270">
        <v>194413.9</v>
      </c>
      <c r="F14" s="270">
        <f t="shared" si="0"/>
        <v>194413.9</v>
      </c>
    </row>
    <row r="15" spans="2:6">
      <c r="B15" s="267" t="s">
        <v>44</v>
      </c>
      <c r="C15" s="267">
        <v>1</v>
      </c>
      <c r="D15" s="19" t="s">
        <v>52</v>
      </c>
      <c r="E15" s="270">
        <v>140273.32999999999</v>
      </c>
      <c r="F15" s="270">
        <f t="shared" si="0"/>
        <v>140273.32999999999</v>
      </c>
    </row>
    <row r="16" spans="2:6">
      <c r="B16" s="267" t="s">
        <v>44</v>
      </c>
      <c r="C16" s="267">
        <v>1</v>
      </c>
      <c r="D16" s="19" t="s">
        <v>54</v>
      </c>
      <c r="E16" s="270">
        <v>105273.09</v>
      </c>
      <c r="F16" s="270">
        <f t="shared" si="0"/>
        <v>105273.09</v>
      </c>
    </row>
    <row r="17" spans="2:6">
      <c r="B17" s="265" t="s">
        <v>44</v>
      </c>
      <c r="C17" s="267">
        <v>1</v>
      </c>
      <c r="D17" s="19" t="s">
        <v>55</v>
      </c>
      <c r="E17" s="270">
        <v>192735.16999999998</v>
      </c>
      <c r="F17" s="270">
        <f t="shared" si="0"/>
        <v>192735.16999999998</v>
      </c>
    </row>
    <row r="18" spans="2:6">
      <c r="B18" s="265" t="s">
        <v>67</v>
      </c>
      <c r="C18" s="267">
        <v>0.84</v>
      </c>
      <c r="D18" s="19" t="s">
        <v>69</v>
      </c>
      <c r="E18" s="270">
        <v>29172</v>
      </c>
      <c r="F18" s="270">
        <f t="shared" si="0"/>
        <v>24504.48</v>
      </c>
    </row>
    <row r="19" spans="2:6">
      <c r="B19" s="268" t="s">
        <v>67</v>
      </c>
      <c r="C19" s="267">
        <v>0.84009999999999996</v>
      </c>
      <c r="D19" s="19" t="s">
        <v>69</v>
      </c>
      <c r="E19" s="270">
        <v>4054455.1</v>
      </c>
      <c r="F19" s="270">
        <f t="shared" si="0"/>
        <v>3406147.72951</v>
      </c>
    </row>
    <row r="20" spans="2:6">
      <c r="B20" s="268" t="s">
        <v>56</v>
      </c>
      <c r="C20" s="267">
        <v>0.7</v>
      </c>
      <c r="D20" s="19" t="s">
        <v>66</v>
      </c>
      <c r="E20" s="270">
        <v>251167.19</v>
      </c>
      <c r="F20" s="270">
        <f t="shared" si="0"/>
        <v>175817.033</v>
      </c>
    </row>
    <row r="21" spans="2:6">
      <c r="B21" s="268" t="s">
        <v>56</v>
      </c>
      <c r="C21" s="267">
        <v>1</v>
      </c>
      <c r="D21" s="19" t="s">
        <v>65</v>
      </c>
      <c r="E21" s="270">
        <v>113907.52</v>
      </c>
      <c r="F21" s="270">
        <f t="shared" si="0"/>
        <v>113907.52</v>
      </c>
    </row>
    <row r="22" spans="2:6">
      <c r="B22" s="268" t="s">
        <v>56</v>
      </c>
      <c r="C22" s="267">
        <v>1</v>
      </c>
      <c r="D22" s="19" t="s">
        <v>63</v>
      </c>
      <c r="E22" s="270">
        <v>246111.16</v>
      </c>
      <c r="F22" s="270">
        <f t="shared" si="0"/>
        <v>246111.16</v>
      </c>
    </row>
    <row r="23" spans="2:6">
      <c r="B23" s="268" t="s">
        <v>56</v>
      </c>
      <c r="C23" s="267">
        <v>1</v>
      </c>
      <c r="D23" s="19" t="s">
        <v>419</v>
      </c>
      <c r="E23" s="270">
        <v>94822.57</v>
      </c>
      <c r="F23" s="270">
        <f t="shared" si="0"/>
        <v>94822.57</v>
      </c>
    </row>
    <row r="24" spans="2:6">
      <c r="B24" s="268" t="s">
        <v>56</v>
      </c>
      <c r="C24" s="267">
        <v>1</v>
      </c>
      <c r="D24" s="19" t="s">
        <v>417</v>
      </c>
      <c r="E24" s="270">
        <v>496784.22</v>
      </c>
      <c r="F24" s="270">
        <f t="shared" si="0"/>
        <v>496784.22</v>
      </c>
    </row>
    <row r="25" spans="2:6">
      <c r="B25" s="268" t="s">
        <v>56</v>
      </c>
      <c r="C25" s="267">
        <v>1</v>
      </c>
      <c r="D25" s="19" t="s">
        <v>415</v>
      </c>
      <c r="E25" s="270">
        <v>865666.62</v>
      </c>
      <c r="F25" s="270">
        <f t="shared" si="0"/>
        <v>865666.62</v>
      </c>
    </row>
    <row r="26" spans="2:6">
      <c r="B26" s="268" t="s">
        <v>56</v>
      </c>
      <c r="C26" s="267">
        <v>1</v>
      </c>
      <c r="D26" s="19" t="s">
        <v>413</v>
      </c>
      <c r="E26" s="270">
        <v>633593.03</v>
      </c>
      <c r="F26" s="270">
        <f t="shared" si="0"/>
        <v>633593.03</v>
      </c>
    </row>
    <row r="27" spans="2:6">
      <c r="B27" s="268" t="s">
        <v>70</v>
      </c>
      <c r="C27" s="267">
        <v>1</v>
      </c>
      <c r="D27" s="19" t="s">
        <v>77</v>
      </c>
      <c r="E27" s="270">
        <v>231466.84000000003</v>
      </c>
      <c r="F27" s="270">
        <f t="shared" si="0"/>
        <v>231466.84000000003</v>
      </c>
    </row>
    <row r="28" spans="2:6">
      <c r="B28" s="268" t="s">
        <v>70</v>
      </c>
      <c r="C28" s="267">
        <v>1</v>
      </c>
      <c r="D28" s="19" t="s">
        <v>855</v>
      </c>
      <c r="E28" s="270">
        <v>242065.82</v>
      </c>
      <c r="F28" s="270">
        <f t="shared" si="0"/>
        <v>242065.82</v>
      </c>
    </row>
    <row r="29" spans="2:6">
      <c r="B29" s="265" t="s">
        <v>70</v>
      </c>
      <c r="C29" s="267">
        <v>1</v>
      </c>
      <c r="D29" s="19" t="s">
        <v>81</v>
      </c>
      <c r="E29" s="270">
        <v>198302.56</v>
      </c>
      <c r="F29" s="270">
        <f t="shared" si="0"/>
        <v>198302.56</v>
      </c>
    </row>
    <row r="30" spans="2:6">
      <c r="B30" s="268" t="s">
        <v>70</v>
      </c>
      <c r="C30" s="267">
        <v>1</v>
      </c>
      <c r="D30" s="19" t="s">
        <v>864</v>
      </c>
      <c r="E30" s="270">
        <v>250420</v>
      </c>
      <c r="F30" s="270">
        <f t="shared" si="0"/>
        <v>250420</v>
      </c>
    </row>
    <row r="31" spans="2:6">
      <c r="B31" s="265" t="s">
        <v>70</v>
      </c>
      <c r="C31" s="267">
        <v>1</v>
      </c>
      <c r="D31" s="19" t="s">
        <v>863</v>
      </c>
      <c r="E31" s="270">
        <v>369889.25</v>
      </c>
      <c r="F31" s="270">
        <f t="shared" si="0"/>
        <v>369889.25</v>
      </c>
    </row>
    <row r="32" spans="2:6">
      <c r="B32" s="268" t="s">
        <v>70</v>
      </c>
      <c r="C32" s="267">
        <v>1</v>
      </c>
      <c r="D32" s="19" t="s">
        <v>859</v>
      </c>
      <c r="E32" s="270">
        <v>402359.22</v>
      </c>
      <c r="F32" s="270">
        <f t="shared" si="0"/>
        <v>402359.22</v>
      </c>
    </row>
    <row r="33" spans="2:6">
      <c r="B33" s="268" t="s">
        <v>70</v>
      </c>
      <c r="C33" s="267">
        <v>1</v>
      </c>
      <c r="D33" s="19" t="s">
        <v>74</v>
      </c>
      <c r="E33" s="270">
        <v>424702.6</v>
      </c>
      <c r="F33" s="270">
        <f t="shared" si="0"/>
        <v>424702.6</v>
      </c>
    </row>
    <row r="34" spans="2:6">
      <c r="B34" s="268" t="s">
        <v>70</v>
      </c>
      <c r="C34" s="267">
        <v>1</v>
      </c>
      <c r="D34" s="19" t="s">
        <v>79</v>
      </c>
      <c r="E34" s="270">
        <v>130697.63</v>
      </c>
      <c r="F34" s="270">
        <f t="shared" si="0"/>
        <v>130697.63</v>
      </c>
    </row>
    <row r="35" spans="2:6">
      <c r="B35" s="268" t="s">
        <v>86</v>
      </c>
      <c r="C35" s="267">
        <v>1</v>
      </c>
      <c r="D35" s="19" t="s">
        <v>92</v>
      </c>
      <c r="E35" s="270">
        <v>219280.19</v>
      </c>
      <c r="F35" s="270">
        <f t="shared" si="0"/>
        <v>219280.19</v>
      </c>
    </row>
    <row r="36" spans="2:6">
      <c r="B36" s="268" t="s">
        <v>86</v>
      </c>
      <c r="C36" s="267">
        <v>1</v>
      </c>
      <c r="D36" s="19" t="s">
        <v>975</v>
      </c>
      <c r="E36" s="270">
        <v>331169.7</v>
      </c>
      <c r="F36" s="270">
        <f t="shared" si="0"/>
        <v>331169.7</v>
      </c>
    </row>
    <row r="37" spans="2:6">
      <c r="B37" s="268" t="s">
        <v>86</v>
      </c>
      <c r="C37" s="267">
        <v>1</v>
      </c>
      <c r="D37" s="19" t="s">
        <v>972</v>
      </c>
      <c r="E37" s="270">
        <v>401296.39999999997</v>
      </c>
      <c r="F37" s="270">
        <f t="shared" si="0"/>
        <v>401296.39999999997</v>
      </c>
    </row>
    <row r="38" spans="2:6">
      <c r="B38" s="268" t="s">
        <v>86</v>
      </c>
      <c r="C38" s="267">
        <v>1</v>
      </c>
      <c r="D38" s="19" t="s">
        <v>88</v>
      </c>
      <c r="E38" s="270">
        <v>3048253.7</v>
      </c>
      <c r="F38" s="270">
        <f t="shared" si="0"/>
        <v>3048253.7</v>
      </c>
    </row>
    <row r="39" spans="2:6">
      <c r="B39" s="268" t="s">
        <v>95</v>
      </c>
      <c r="C39" s="267">
        <v>1</v>
      </c>
      <c r="D39" s="19" t="s">
        <v>100</v>
      </c>
      <c r="E39" s="270">
        <v>500000</v>
      </c>
      <c r="F39" s="270">
        <f t="shared" si="0"/>
        <v>500000</v>
      </c>
    </row>
    <row r="40" spans="2:6">
      <c r="B40" s="268" t="s">
        <v>95</v>
      </c>
      <c r="C40" s="267">
        <v>1</v>
      </c>
      <c r="D40" s="19" t="s">
        <v>102</v>
      </c>
      <c r="E40" s="270">
        <v>295000</v>
      </c>
      <c r="F40" s="270">
        <f t="shared" si="0"/>
        <v>295000</v>
      </c>
    </row>
    <row r="41" spans="2:6">
      <c r="B41" s="268" t="s">
        <v>95</v>
      </c>
      <c r="C41" s="267">
        <v>1</v>
      </c>
      <c r="D41" s="19" t="s">
        <v>422</v>
      </c>
      <c r="E41" s="270">
        <v>2377960.48</v>
      </c>
      <c r="F41" s="270">
        <f t="shared" si="0"/>
        <v>2377960.48</v>
      </c>
    </row>
    <row r="42" spans="2:6">
      <c r="B42" s="265" t="s">
        <v>95</v>
      </c>
      <c r="C42" s="267">
        <v>1</v>
      </c>
      <c r="D42" s="19" t="s">
        <v>98</v>
      </c>
      <c r="E42" s="270">
        <v>2997872.75</v>
      </c>
      <c r="F42" s="270">
        <f t="shared" si="0"/>
        <v>2997872.75</v>
      </c>
    </row>
    <row r="43" spans="2:6">
      <c r="B43" s="268" t="s">
        <v>5</v>
      </c>
      <c r="C43" s="267">
        <v>1</v>
      </c>
      <c r="D43" s="19" t="s">
        <v>7</v>
      </c>
      <c r="E43" s="270">
        <v>195000</v>
      </c>
      <c r="F43" s="270">
        <f t="shared" si="0"/>
        <v>195000</v>
      </c>
    </row>
    <row r="44" spans="2:6">
      <c r="B44" s="265" t="s">
        <v>5</v>
      </c>
      <c r="C44" s="267">
        <v>1</v>
      </c>
      <c r="D44" s="19" t="s">
        <v>999</v>
      </c>
      <c r="E44" s="270">
        <v>254600</v>
      </c>
      <c r="F44" s="270">
        <f t="shared" si="0"/>
        <v>254600</v>
      </c>
    </row>
    <row r="45" spans="2:6">
      <c r="B45" s="268" t="s">
        <v>5</v>
      </c>
      <c r="C45" s="267">
        <v>1</v>
      </c>
      <c r="D45" s="19" t="s">
        <v>128</v>
      </c>
      <c r="E45" s="270">
        <v>418359.88</v>
      </c>
      <c r="F45" s="270">
        <f t="shared" si="0"/>
        <v>418359.88</v>
      </c>
    </row>
    <row r="46" spans="2:6">
      <c r="B46" s="268" t="s">
        <v>5</v>
      </c>
      <c r="C46" s="267">
        <v>1</v>
      </c>
      <c r="D46" s="19" t="s">
        <v>126</v>
      </c>
      <c r="E46" s="270">
        <v>185484.51</v>
      </c>
      <c r="F46" s="270">
        <f t="shared" si="0"/>
        <v>185484.51</v>
      </c>
    </row>
    <row r="47" spans="2:6">
      <c r="B47" s="268" t="s">
        <v>5</v>
      </c>
      <c r="C47" s="267">
        <v>1</v>
      </c>
      <c r="D47" s="19" t="s">
        <v>124</v>
      </c>
      <c r="E47" s="270">
        <v>523485.45</v>
      </c>
      <c r="F47" s="270">
        <f t="shared" si="0"/>
        <v>523485.45</v>
      </c>
    </row>
    <row r="48" spans="2:6">
      <c r="B48" s="268" t="s">
        <v>103</v>
      </c>
      <c r="C48" s="267">
        <v>1</v>
      </c>
      <c r="D48" s="19" t="s">
        <v>109</v>
      </c>
      <c r="E48" s="270">
        <v>554022.34</v>
      </c>
      <c r="F48" s="270">
        <f t="shared" si="0"/>
        <v>554022.34</v>
      </c>
    </row>
    <row r="49" spans="2:8">
      <c r="B49" s="268" t="s">
        <v>103</v>
      </c>
      <c r="C49" s="267">
        <v>1</v>
      </c>
      <c r="D49" s="19" t="s">
        <v>107</v>
      </c>
      <c r="E49" s="270">
        <v>564000</v>
      </c>
      <c r="F49" s="270">
        <f t="shared" si="0"/>
        <v>564000</v>
      </c>
    </row>
    <row r="50" spans="2:8">
      <c r="B50" s="268" t="s">
        <v>103</v>
      </c>
      <c r="C50" s="267">
        <v>1</v>
      </c>
      <c r="D50" s="19" t="s">
        <v>1000</v>
      </c>
      <c r="E50" s="270">
        <v>160000</v>
      </c>
      <c r="F50" s="270">
        <f t="shared" si="0"/>
        <v>160000</v>
      </c>
    </row>
    <row r="51" spans="2:8">
      <c r="B51" s="268" t="s">
        <v>103</v>
      </c>
      <c r="C51" s="267">
        <v>1</v>
      </c>
      <c r="D51" s="19" t="s">
        <v>121</v>
      </c>
      <c r="E51" s="270">
        <v>340000</v>
      </c>
      <c r="F51" s="270">
        <f t="shared" si="0"/>
        <v>340000</v>
      </c>
    </row>
    <row r="52" spans="2:8">
      <c r="B52" s="268" t="s">
        <v>103</v>
      </c>
      <c r="C52" s="267">
        <v>1</v>
      </c>
      <c r="D52" s="19" t="s">
        <v>111</v>
      </c>
      <c r="E52" s="270">
        <v>188558.62</v>
      </c>
      <c r="F52" s="270">
        <f t="shared" si="0"/>
        <v>188558.62</v>
      </c>
    </row>
    <row r="53" spans="2:8">
      <c r="B53" s="265" t="s">
        <v>103</v>
      </c>
      <c r="C53" s="267">
        <v>1</v>
      </c>
      <c r="D53" s="19" t="s">
        <v>113</v>
      </c>
      <c r="E53" s="270">
        <v>731068.8</v>
      </c>
      <c r="F53" s="270">
        <f t="shared" si="0"/>
        <v>731068.8</v>
      </c>
    </row>
    <row r="54" spans="2:8">
      <c r="B54" s="268" t="s">
        <v>103</v>
      </c>
      <c r="C54" s="267">
        <v>1</v>
      </c>
      <c r="D54" s="19" t="s">
        <v>117</v>
      </c>
      <c r="E54" s="270">
        <v>279855.48</v>
      </c>
      <c r="F54" s="270">
        <f t="shared" si="0"/>
        <v>279855.48</v>
      </c>
    </row>
    <row r="55" spans="2:8">
      <c r="B55" s="268" t="s">
        <v>103</v>
      </c>
      <c r="C55" s="267">
        <v>1</v>
      </c>
      <c r="D55" s="19" t="s">
        <v>105</v>
      </c>
      <c r="E55" s="270">
        <v>796000</v>
      </c>
      <c r="F55" s="270">
        <f t="shared" ref="F55:F112" si="1">C55*E55</f>
        <v>796000</v>
      </c>
    </row>
    <row r="56" spans="2:8">
      <c r="B56" s="268" t="s">
        <v>103</v>
      </c>
      <c r="C56" s="267">
        <v>1</v>
      </c>
      <c r="D56" s="19" t="s">
        <v>115</v>
      </c>
      <c r="E56" s="270">
        <v>350893.08</v>
      </c>
      <c r="F56" s="270">
        <f t="shared" si="1"/>
        <v>350893.08</v>
      </c>
      <c r="G56" s="270"/>
      <c r="H56" s="273"/>
    </row>
    <row r="57" spans="2:8">
      <c r="B57" s="265" t="s">
        <v>9</v>
      </c>
      <c r="C57" s="267">
        <v>1</v>
      </c>
      <c r="D57" s="19" t="s">
        <v>10</v>
      </c>
      <c r="E57" s="270">
        <v>496600</v>
      </c>
      <c r="F57" s="270">
        <f t="shared" si="1"/>
        <v>496600</v>
      </c>
    </row>
    <row r="58" spans="2:8">
      <c r="B58" s="268" t="s">
        <v>9</v>
      </c>
      <c r="C58" s="267">
        <v>1</v>
      </c>
      <c r="D58" s="19" t="s">
        <v>979</v>
      </c>
      <c r="E58" s="270">
        <v>900000</v>
      </c>
      <c r="F58" s="270">
        <f t="shared" si="1"/>
        <v>900000</v>
      </c>
    </row>
    <row r="59" spans="2:8">
      <c r="B59" s="268" t="s">
        <v>9</v>
      </c>
      <c r="C59" s="267">
        <v>1</v>
      </c>
      <c r="D59" s="19" t="s">
        <v>368</v>
      </c>
      <c r="E59" s="270">
        <v>470271.42</v>
      </c>
      <c r="F59" s="270">
        <f t="shared" si="1"/>
        <v>470271.42</v>
      </c>
    </row>
    <row r="60" spans="2:8">
      <c r="B60" s="268" t="s">
        <v>9</v>
      </c>
      <c r="C60" s="267">
        <v>1</v>
      </c>
      <c r="D60" s="19" t="s">
        <v>438</v>
      </c>
      <c r="E60" s="270">
        <v>130437.68000000001</v>
      </c>
      <c r="F60" s="270">
        <f t="shared" si="1"/>
        <v>130437.68000000001</v>
      </c>
    </row>
    <row r="61" spans="2:8">
      <c r="B61" s="268" t="s">
        <v>9</v>
      </c>
      <c r="C61" s="267">
        <v>1</v>
      </c>
      <c r="D61" s="19" t="s">
        <v>440</v>
      </c>
      <c r="E61" s="270">
        <v>34554</v>
      </c>
      <c r="F61" s="270">
        <f t="shared" si="1"/>
        <v>34554</v>
      </c>
    </row>
    <row r="62" spans="2:8">
      <c r="B62" s="268" t="s">
        <v>9</v>
      </c>
      <c r="C62" s="267">
        <v>1</v>
      </c>
      <c r="D62" s="19" t="s">
        <v>439</v>
      </c>
      <c r="E62" s="270">
        <v>31915.200000000001</v>
      </c>
      <c r="F62" s="270">
        <f t="shared" si="1"/>
        <v>31915.200000000001</v>
      </c>
    </row>
    <row r="63" spans="2:8">
      <c r="B63" s="268" t="s">
        <v>9</v>
      </c>
      <c r="C63" s="267">
        <v>1</v>
      </c>
      <c r="D63" s="19" t="s">
        <v>441</v>
      </c>
      <c r="E63" s="270">
        <v>27607.27</v>
      </c>
      <c r="F63" s="270">
        <f t="shared" si="1"/>
        <v>27607.27</v>
      </c>
    </row>
    <row r="64" spans="2:8">
      <c r="B64" s="268" t="s">
        <v>9</v>
      </c>
      <c r="C64" s="267">
        <v>1</v>
      </c>
      <c r="D64" s="19" t="s">
        <v>137</v>
      </c>
      <c r="E64" s="270">
        <v>104515.86</v>
      </c>
      <c r="F64" s="270">
        <f t="shared" si="1"/>
        <v>104515.86</v>
      </c>
    </row>
    <row r="65" spans="2:6">
      <c r="B65" s="265" t="s">
        <v>9</v>
      </c>
      <c r="C65" s="267">
        <v>1</v>
      </c>
      <c r="D65" s="19" t="s">
        <v>133</v>
      </c>
      <c r="E65" s="270">
        <v>372758.98</v>
      </c>
      <c r="F65" s="270">
        <f t="shared" si="1"/>
        <v>372758.98</v>
      </c>
    </row>
    <row r="66" spans="2:6">
      <c r="B66" s="268" t="s">
        <v>9</v>
      </c>
      <c r="C66" s="267">
        <v>1</v>
      </c>
      <c r="D66" s="19" t="s">
        <v>131</v>
      </c>
      <c r="E66" s="270">
        <v>296116.34000000003</v>
      </c>
      <c r="F66" s="270">
        <f t="shared" si="1"/>
        <v>296116.34000000003</v>
      </c>
    </row>
    <row r="67" spans="2:6">
      <c r="B67" s="268" t="s">
        <v>9</v>
      </c>
      <c r="C67" s="267">
        <v>1</v>
      </c>
      <c r="D67" s="19" t="s">
        <v>135</v>
      </c>
      <c r="E67" s="270">
        <v>485432.85</v>
      </c>
      <c r="F67" s="270">
        <f t="shared" si="1"/>
        <v>485432.85</v>
      </c>
    </row>
    <row r="68" spans="2:6">
      <c r="B68" s="268" t="s">
        <v>9</v>
      </c>
      <c r="C68" s="267">
        <v>1</v>
      </c>
      <c r="D68" s="19" t="s">
        <v>129</v>
      </c>
      <c r="E68" s="270">
        <v>659423.32999999996</v>
      </c>
      <c r="F68" s="270">
        <f t="shared" si="1"/>
        <v>659423.32999999996</v>
      </c>
    </row>
    <row r="69" spans="2:6">
      <c r="B69" s="268" t="s">
        <v>9</v>
      </c>
      <c r="C69" s="267">
        <v>1</v>
      </c>
      <c r="D69" s="19" t="s">
        <v>1874</v>
      </c>
      <c r="E69" s="270">
        <v>13614.75</v>
      </c>
      <c r="F69" s="270">
        <f t="shared" si="1"/>
        <v>13614.75</v>
      </c>
    </row>
    <row r="70" spans="2:6">
      <c r="B70" s="265" t="s">
        <v>138</v>
      </c>
      <c r="C70" s="267">
        <v>1</v>
      </c>
      <c r="D70" s="19" t="s">
        <v>140</v>
      </c>
      <c r="E70" s="270">
        <v>2300000</v>
      </c>
      <c r="F70" s="270">
        <f t="shared" si="1"/>
        <v>2300000</v>
      </c>
    </row>
    <row r="71" spans="2:6">
      <c r="B71" s="268" t="s">
        <v>138</v>
      </c>
      <c r="C71" s="267">
        <v>1</v>
      </c>
      <c r="D71" s="19" t="s">
        <v>373</v>
      </c>
      <c r="E71" s="270">
        <v>312569</v>
      </c>
      <c r="F71" s="270">
        <f t="shared" si="1"/>
        <v>312569</v>
      </c>
    </row>
    <row r="72" spans="2:6">
      <c r="B72" s="268" t="s">
        <v>16</v>
      </c>
      <c r="C72" s="267">
        <v>0.85</v>
      </c>
      <c r="D72" s="19" t="s">
        <v>142</v>
      </c>
      <c r="E72" s="270">
        <v>797980.79</v>
      </c>
      <c r="F72" s="270">
        <f t="shared" si="1"/>
        <v>678283.67150000005</v>
      </c>
    </row>
    <row r="73" spans="2:6">
      <c r="B73" s="268" t="s">
        <v>16</v>
      </c>
      <c r="C73" s="267">
        <v>1</v>
      </c>
      <c r="D73" s="19" t="s">
        <v>144</v>
      </c>
      <c r="E73" s="270">
        <v>245760.44</v>
      </c>
      <c r="F73" s="270">
        <f t="shared" si="1"/>
        <v>245760.44</v>
      </c>
    </row>
    <row r="74" spans="2:6">
      <c r="B74" s="268" t="s">
        <v>16</v>
      </c>
      <c r="C74" s="267">
        <v>1</v>
      </c>
      <c r="D74" s="19" t="s">
        <v>18</v>
      </c>
      <c r="E74" s="270">
        <v>252112.24</v>
      </c>
      <c r="F74" s="270">
        <f t="shared" si="1"/>
        <v>252112.24</v>
      </c>
    </row>
    <row r="75" spans="2:6">
      <c r="B75" s="268" t="s">
        <v>23</v>
      </c>
      <c r="C75" s="267">
        <v>1</v>
      </c>
      <c r="D75" s="19" t="s">
        <v>823</v>
      </c>
      <c r="E75" s="270">
        <v>314363.8</v>
      </c>
      <c r="F75" s="270">
        <f t="shared" si="1"/>
        <v>314363.8</v>
      </c>
    </row>
    <row r="76" spans="2:6">
      <c r="B76" s="268" t="s">
        <v>23</v>
      </c>
      <c r="C76" s="267">
        <v>1</v>
      </c>
      <c r="D76" s="19" t="s">
        <v>164</v>
      </c>
      <c r="E76" s="270">
        <v>137700</v>
      </c>
      <c r="F76" s="270">
        <f t="shared" si="1"/>
        <v>137700</v>
      </c>
    </row>
    <row r="77" spans="2:6">
      <c r="B77" s="268" t="s">
        <v>23</v>
      </c>
      <c r="C77" s="267">
        <v>1</v>
      </c>
      <c r="D77" s="19" t="s">
        <v>162</v>
      </c>
      <c r="E77" s="270">
        <v>975000</v>
      </c>
      <c r="F77" s="270">
        <f t="shared" si="1"/>
        <v>975000</v>
      </c>
    </row>
    <row r="78" spans="2:6">
      <c r="B78" s="268" t="s">
        <v>23</v>
      </c>
      <c r="C78" s="267">
        <v>1</v>
      </c>
      <c r="D78" s="19" t="s">
        <v>425</v>
      </c>
      <c r="E78" s="270">
        <v>333937.99</v>
      </c>
      <c r="F78" s="270">
        <f t="shared" si="1"/>
        <v>333937.99</v>
      </c>
    </row>
    <row r="79" spans="2:6">
      <c r="B79" s="268" t="s">
        <v>23</v>
      </c>
      <c r="C79" s="267">
        <v>1</v>
      </c>
      <c r="D79" s="19" t="s">
        <v>980</v>
      </c>
      <c r="E79" s="270">
        <v>298117.8</v>
      </c>
      <c r="F79" s="270">
        <f t="shared" si="1"/>
        <v>298117.8</v>
      </c>
    </row>
    <row r="80" spans="2:6">
      <c r="B80" s="268" t="s">
        <v>23</v>
      </c>
      <c r="C80" s="267">
        <v>1</v>
      </c>
      <c r="D80" s="19" t="s">
        <v>1874</v>
      </c>
      <c r="E80" s="270">
        <v>68066.2</v>
      </c>
      <c r="F80" s="270">
        <f t="shared" si="1"/>
        <v>68066.2</v>
      </c>
    </row>
    <row r="81" spans="2:6">
      <c r="B81" s="268" t="s">
        <v>168</v>
      </c>
      <c r="C81" s="267">
        <v>1</v>
      </c>
      <c r="D81" s="19" t="s">
        <v>169</v>
      </c>
      <c r="E81" s="270">
        <v>250000</v>
      </c>
      <c r="F81" s="270">
        <f t="shared" si="1"/>
        <v>250000</v>
      </c>
    </row>
    <row r="82" spans="2:6">
      <c r="B82" s="268" t="s">
        <v>168</v>
      </c>
      <c r="C82" s="267">
        <v>1</v>
      </c>
      <c r="D82" s="19" t="s">
        <v>170</v>
      </c>
      <c r="E82" s="270">
        <v>446428.57</v>
      </c>
      <c r="F82" s="270">
        <f t="shared" si="1"/>
        <v>446428.57</v>
      </c>
    </row>
    <row r="83" spans="2:6">
      <c r="B83" s="268" t="s">
        <v>168</v>
      </c>
      <c r="C83" s="267">
        <v>1</v>
      </c>
      <c r="D83" s="19" t="s">
        <v>174</v>
      </c>
      <c r="E83" s="270">
        <v>60162.83</v>
      </c>
      <c r="F83" s="270">
        <f t="shared" si="1"/>
        <v>60162.83</v>
      </c>
    </row>
    <row r="84" spans="2:6">
      <c r="B84" s="268" t="s">
        <v>168</v>
      </c>
      <c r="C84" s="267">
        <v>1</v>
      </c>
      <c r="D84" s="19" t="s">
        <v>172</v>
      </c>
      <c r="E84" s="270">
        <v>43122.66</v>
      </c>
      <c r="F84" s="270">
        <f t="shared" si="1"/>
        <v>43122.66</v>
      </c>
    </row>
    <row r="85" spans="2:6">
      <c r="B85" s="268" t="s">
        <v>175</v>
      </c>
      <c r="C85" s="267">
        <v>1</v>
      </c>
      <c r="D85" s="19" t="s">
        <v>929</v>
      </c>
      <c r="E85" s="270">
        <v>412228.88999999996</v>
      </c>
      <c r="F85" s="270">
        <f t="shared" si="1"/>
        <v>412228.88999999996</v>
      </c>
    </row>
    <row r="86" spans="2:6">
      <c r="B86" s="268" t="s">
        <v>175</v>
      </c>
      <c r="C86" s="267">
        <v>1</v>
      </c>
      <c r="D86" s="19" t="s">
        <v>930</v>
      </c>
      <c r="E86" s="270">
        <v>15253.26</v>
      </c>
      <c r="F86" s="270">
        <f t="shared" si="1"/>
        <v>15253.26</v>
      </c>
    </row>
    <row r="87" spans="2:6">
      <c r="B87" s="268" t="s">
        <v>175</v>
      </c>
      <c r="C87" s="267">
        <v>1</v>
      </c>
      <c r="D87" s="19" t="s">
        <v>177</v>
      </c>
      <c r="E87" s="270">
        <v>351904.77</v>
      </c>
      <c r="F87" s="270">
        <f t="shared" si="1"/>
        <v>351904.77</v>
      </c>
    </row>
    <row r="88" spans="2:6">
      <c r="B88" s="268" t="s">
        <v>175</v>
      </c>
      <c r="C88" s="267">
        <v>1</v>
      </c>
      <c r="D88" s="19" t="s">
        <v>179</v>
      </c>
      <c r="E88" s="270">
        <v>701933.74</v>
      </c>
      <c r="F88" s="270">
        <f t="shared" si="1"/>
        <v>701933.74</v>
      </c>
    </row>
    <row r="89" spans="2:6">
      <c r="B89" s="265" t="s">
        <v>175</v>
      </c>
      <c r="C89" s="267">
        <v>1</v>
      </c>
      <c r="D89" s="19" t="s">
        <v>340</v>
      </c>
      <c r="E89" s="270">
        <v>313808.08</v>
      </c>
      <c r="F89" s="270">
        <f t="shared" si="1"/>
        <v>313808.08</v>
      </c>
    </row>
    <row r="90" spans="2:6">
      <c r="B90" t="s">
        <v>175</v>
      </c>
      <c r="C90">
        <v>1</v>
      </c>
      <c r="D90" t="s">
        <v>341</v>
      </c>
      <c r="E90" s="270">
        <v>165554.66</v>
      </c>
      <c r="F90" s="270">
        <f t="shared" si="1"/>
        <v>165554.66</v>
      </c>
    </row>
    <row r="91" spans="2:6">
      <c r="B91" t="s">
        <v>175</v>
      </c>
      <c r="C91">
        <v>1</v>
      </c>
      <c r="D91" t="s">
        <v>928</v>
      </c>
      <c r="E91">
        <v>18559.71</v>
      </c>
      <c r="F91" s="270">
        <f t="shared" si="1"/>
        <v>18559.71</v>
      </c>
    </row>
    <row r="92" spans="2:6">
      <c r="B92" t="s">
        <v>175</v>
      </c>
      <c r="C92">
        <v>1</v>
      </c>
      <c r="D92" t="s">
        <v>343</v>
      </c>
      <c r="E92">
        <v>335582.67</v>
      </c>
      <c r="F92" s="270">
        <f t="shared" si="1"/>
        <v>335582.67</v>
      </c>
    </row>
    <row r="93" spans="2:6">
      <c r="B93" t="s">
        <v>175</v>
      </c>
      <c r="C93">
        <v>1</v>
      </c>
      <c r="D93" t="s">
        <v>1874</v>
      </c>
      <c r="E93">
        <v>1764480.53</v>
      </c>
      <c r="F93" s="270">
        <f t="shared" si="1"/>
        <v>1764480.53</v>
      </c>
    </row>
    <row r="94" spans="2:6">
      <c r="B94" t="s">
        <v>183</v>
      </c>
      <c r="C94">
        <v>0</v>
      </c>
      <c r="D94" t="s">
        <v>1815</v>
      </c>
      <c r="E94">
        <v>42857.140000000014</v>
      </c>
      <c r="F94" s="270">
        <f t="shared" si="1"/>
        <v>0</v>
      </c>
    </row>
    <row r="95" spans="2:6">
      <c r="B95" t="s">
        <v>183</v>
      </c>
      <c r="C95">
        <v>0</v>
      </c>
      <c r="D95" t="s">
        <v>1816</v>
      </c>
      <c r="E95">
        <v>133340.13</v>
      </c>
      <c r="F95" s="270">
        <f t="shared" si="1"/>
        <v>0</v>
      </c>
    </row>
    <row r="96" spans="2:6">
      <c r="B96" t="s">
        <v>183</v>
      </c>
      <c r="C96">
        <v>0</v>
      </c>
      <c r="D96" t="s">
        <v>1819</v>
      </c>
      <c r="E96">
        <v>167857.35</v>
      </c>
      <c r="F96" s="270">
        <f t="shared" si="1"/>
        <v>0</v>
      </c>
    </row>
    <row r="97" spans="2:6">
      <c r="B97" t="s">
        <v>183</v>
      </c>
      <c r="C97">
        <v>0</v>
      </c>
      <c r="D97" t="s">
        <v>1818</v>
      </c>
      <c r="E97">
        <v>125446.35</v>
      </c>
      <c r="F97" s="270">
        <f t="shared" si="1"/>
        <v>0</v>
      </c>
    </row>
    <row r="98" spans="2:6">
      <c r="B98" t="s">
        <v>183</v>
      </c>
      <c r="C98">
        <v>0</v>
      </c>
      <c r="D98" t="s">
        <v>1817</v>
      </c>
      <c r="E98">
        <v>83870.17</v>
      </c>
      <c r="F98" s="270">
        <f t="shared" si="1"/>
        <v>0</v>
      </c>
    </row>
    <row r="99" spans="2:6">
      <c r="B99" t="s">
        <v>183</v>
      </c>
      <c r="C99">
        <v>1</v>
      </c>
      <c r="D99" t="s">
        <v>185</v>
      </c>
      <c r="E99">
        <v>1109544</v>
      </c>
      <c r="F99" s="270">
        <f t="shared" si="1"/>
        <v>1109544</v>
      </c>
    </row>
    <row r="100" spans="2:6">
      <c r="B100" t="s">
        <v>183</v>
      </c>
      <c r="C100">
        <v>1</v>
      </c>
      <c r="D100" t="s">
        <v>187</v>
      </c>
      <c r="E100">
        <v>235400</v>
      </c>
      <c r="F100" s="270">
        <f t="shared" si="1"/>
        <v>235400</v>
      </c>
    </row>
    <row r="101" spans="2:6">
      <c r="B101" t="s">
        <v>188</v>
      </c>
      <c r="C101">
        <v>1</v>
      </c>
      <c r="D101" t="s">
        <v>192</v>
      </c>
      <c r="E101">
        <v>208547.6</v>
      </c>
      <c r="F101" s="270">
        <f t="shared" si="1"/>
        <v>208547.6</v>
      </c>
    </row>
    <row r="102" spans="2:6">
      <c r="B102" t="s">
        <v>188</v>
      </c>
      <c r="C102">
        <v>1</v>
      </c>
      <c r="D102" t="s">
        <v>982</v>
      </c>
      <c r="E102">
        <v>563783.6</v>
      </c>
      <c r="F102" s="270">
        <f t="shared" si="1"/>
        <v>563783.6</v>
      </c>
    </row>
    <row r="103" spans="2:6">
      <c r="B103" t="s">
        <v>188</v>
      </c>
      <c r="C103">
        <v>1</v>
      </c>
      <c r="D103" t="s">
        <v>322</v>
      </c>
      <c r="E103">
        <v>170000</v>
      </c>
      <c r="F103" s="270">
        <f t="shared" si="1"/>
        <v>170000</v>
      </c>
    </row>
    <row r="104" spans="2:6">
      <c r="B104" t="s">
        <v>188</v>
      </c>
      <c r="C104">
        <v>1</v>
      </c>
      <c r="D104" t="s">
        <v>190</v>
      </c>
      <c r="E104">
        <v>200000</v>
      </c>
      <c r="F104" s="270">
        <f t="shared" si="1"/>
        <v>200000</v>
      </c>
    </row>
    <row r="105" spans="2:6">
      <c r="B105" t="s">
        <v>188</v>
      </c>
      <c r="C105">
        <v>1</v>
      </c>
      <c r="D105" t="s">
        <v>195</v>
      </c>
      <c r="E105">
        <v>1000000</v>
      </c>
      <c r="F105" s="270">
        <f t="shared" si="1"/>
        <v>1000000</v>
      </c>
    </row>
    <row r="106" spans="2:6">
      <c r="B106" t="s">
        <v>188</v>
      </c>
      <c r="C106">
        <v>1</v>
      </c>
      <c r="D106" t="s">
        <v>197</v>
      </c>
      <c r="E106">
        <v>500000</v>
      </c>
      <c r="F106" s="270">
        <f t="shared" si="1"/>
        <v>500000</v>
      </c>
    </row>
    <row r="107" spans="2:6">
      <c r="B107" t="s">
        <v>19</v>
      </c>
      <c r="C107">
        <v>0</v>
      </c>
      <c r="D107" t="s">
        <v>147</v>
      </c>
      <c r="E107">
        <v>173854.77</v>
      </c>
      <c r="F107" s="270">
        <f t="shared" si="1"/>
        <v>0</v>
      </c>
    </row>
    <row r="108" spans="2:6">
      <c r="B108" t="s">
        <v>19</v>
      </c>
      <c r="C108">
        <v>0</v>
      </c>
      <c r="D108" t="s">
        <v>1824</v>
      </c>
      <c r="E108">
        <v>19750</v>
      </c>
      <c r="F108" s="270">
        <f t="shared" si="1"/>
        <v>0</v>
      </c>
    </row>
    <row r="109" spans="2:6">
      <c r="B109" t="s">
        <v>19</v>
      </c>
      <c r="C109">
        <v>0</v>
      </c>
      <c r="D109" t="s">
        <v>1507</v>
      </c>
      <c r="E109">
        <v>315476.61000000004</v>
      </c>
      <c r="F109" s="270">
        <f t="shared" si="1"/>
        <v>0</v>
      </c>
    </row>
    <row r="110" spans="2:6">
      <c r="B110" t="s">
        <v>19</v>
      </c>
      <c r="C110">
        <v>1</v>
      </c>
      <c r="D110" t="s">
        <v>22</v>
      </c>
      <c r="E110">
        <v>832000</v>
      </c>
      <c r="F110" s="270">
        <f t="shared" si="1"/>
        <v>832000</v>
      </c>
    </row>
    <row r="111" spans="2:6">
      <c r="B111" t="s">
        <v>19</v>
      </c>
      <c r="C111">
        <v>1</v>
      </c>
      <c r="D111" t="s">
        <v>995</v>
      </c>
      <c r="E111">
        <v>1574528.37</v>
      </c>
      <c r="F111" s="270">
        <f t="shared" si="1"/>
        <v>1574528.37</v>
      </c>
    </row>
    <row r="112" spans="2:6">
      <c r="B112" t="s">
        <v>19</v>
      </c>
      <c r="C112">
        <v>1</v>
      </c>
      <c r="D112" t="s">
        <v>988</v>
      </c>
      <c r="E112" s="270">
        <v>120343.48</v>
      </c>
      <c r="F112" s="270">
        <f t="shared" si="1"/>
        <v>120343.48</v>
      </c>
    </row>
    <row r="113" spans="2:6">
      <c r="B113" t="s">
        <v>19</v>
      </c>
      <c r="C113">
        <v>1</v>
      </c>
      <c r="D113" t="s">
        <v>991</v>
      </c>
      <c r="E113">
        <v>132763.31</v>
      </c>
      <c r="F113" s="270">
        <f t="shared" ref="F113:F124" si="2">C113*E113</f>
        <v>132763.31</v>
      </c>
    </row>
    <row r="114" spans="2:6">
      <c r="B114" t="s">
        <v>19</v>
      </c>
      <c r="C114">
        <v>1</v>
      </c>
      <c r="D114" t="s">
        <v>21</v>
      </c>
      <c r="E114">
        <v>306943.45</v>
      </c>
      <c r="F114" s="270">
        <f t="shared" si="2"/>
        <v>306943.45</v>
      </c>
    </row>
    <row r="115" spans="2:6">
      <c r="B115" t="s">
        <v>19</v>
      </c>
      <c r="C115">
        <v>1</v>
      </c>
      <c r="D115" t="s">
        <v>984</v>
      </c>
      <c r="E115">
        <v>84000</v>
      </c>
      <c r="F115" s="270">
        <f t="shared" si="2"/>
        <v>84000</v>
      </c>
    </row>
    <row r="116" spans="2:6">
      <c r="B116" t="s">
        <v>19</v>
      </c>
      <c r="C116">
        <v>1</v>
      </c>
      <c r="D116" t="s">
        <v>985</v>
      </c>
      <c r="E116">
        <v>145051.79999999999</v>
      </c>
      <c r="F116" s="270">
        <f t="shared" si="2"/>
        <v>145051.79999999999</v>
      </c>
    </row>
    <row r="117" spans="2:6">
      <c r="B117" t="s">
        <v>19</v>
      </c>
      <c r="C117">
        <v>1</v>
      </c>
      <c r="D117" t="s">
        <v>2012</v>
      </c>
      <c r="E117">
        <v>93969.600000000006</v>
      </c>
      <c r="F117" s="270">
        <f t="shared" si="2"/>
        <v>93969.600000000006</v>
      </c>
    </row>
    <row r="118" spans="2:6">
      <c r="B118" t="s">
        <v>19</v>
      </c>
      <c r="C118">
        <v>1</v>
      </c>
      <c r="D118" t="s">
        <v>146</v>
      </c>
      <c r="E118">
        <v>1191735.45</v>
      </c>
      <c r="F118" s="270">
        <f t="shared" si="2"/>
        <v>1191735.45</v>
      </c>
    </row>
    <row r="119" spans="2:6">
      <c r="B119" t="s">
        <v>19</v>
      </c>
      <c r="C119">
        <v>1</v>
      </c>
      <c r="D119" t="s">
        <v>550</v>
      </c>
      <c r="E119">
        <v>23342.01</v>
      </c>
      <c r="F119" s="270">
        <f t="shared" si="2"/>
        <v>23342.01</v>
      </c>
    </row>
    <row r="120" spans="2:6">
      <c r="B120" t="s">
        <v>155</v>
      </c>
      <c r="C120">
        <v>1</v>
      </c>
      <c r="D120" t="s">
        <v>321</v>
      </c>
      <c r="E120">
        <v>189591.55</v>
      </c>
      <c r="F120" s="270">
        <f t="shared" si="2"/>
        <v>189591.55</v>
      </c>
    </row>
    <row r="121" spans="2:6">
      <c r="B121" t="s">
        <v>155</v>
      </c>
      <c r="C121">
        <v>1</v>
      </c>
      <c r="D121" t="s">
        <v>158</v>
      </c>
      <c r="E121">
        <v>318843.32</v>
      </c>
      <c r="F121" s="270">
        <f t="shared" si="2"/>
        <v>318843.32</v>
      </c>
    </row>
    <row r="122" spans="2:6">
      <c r="B122" t="s">
        <v>155</v>
      </c>
      <c r="C122">
        <v>1</v>
      </c>
      <c r="D122" t="s">
        <v>160</v>
      </c>
      <c r="E122">
        <v>1052665.24</v>
      </c>
      <c r="F122" s="270">
        <f t="shared" si="2"/>
        <v>1052665.24</v>
      </c>
    </row>
    <row r="123" spans="2:6">
      <c r="B123" t="s">
        <v>155</v>
      </c>
      <c r="C123">
        <v>1</v>
      </c>
      <c r="D123" t="s">
        <v>1370</v>
      </c>
      <c r="E123">
        <v>314892.75</v>
      </c>
      <c r="F123" s="270">
        <f t="shared" si="2"/>
        <v>314892.75</v>
      </c>
    </row>
    <row r="124" spans="2:6">
      <c r="B124" t="s">
        <v>155</v>
      </c>
      <c r="C124">
        <v>1</v>
      </c>
      <c r="D124" t="s">
        <v>1526</v>
      </c>
      <c r="E124">
        <v>41845.9</v>
      </c>
      <c r="F124" s="270">
        <f t="shared" si="2"/>
        <v>41845.9</v>
      </c>
    </row>
    <row r="125" spans="2:6">
      <c r="B125" t="s">
        <v>1672</v>
      </c>
      <c r="E125" s="270">
        <f>SUM(E3:E124)</f>
        <v>62631113.450000003</v>
      </c>
      <c r="F125" s="270">
        <f>SUM(F3:F124)</f>
        <v>60720638.764009997</v>
      </c>
    </row>
  </sheetData>
  <autoFilter ref="B2:F125"/>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9" tint="0.39997558519241921"/>
    <pageSetUpPr fitToPage="1"/>
  </sheetPr>
  <dimension ref="A1:OU503"/>
  <sheetViews>
    <sheetView tabSelected="1" showRuler="0" zoomScale="90" zoomScaleNormal="90" workbookViewId="0">
      <pane xSplit="10" ySplit="1" topLeftCell="L234" activePane="bottomRight" state="frozen"/>
      <selection pane="topRight" activeCell="K1" sqref="K1"/>
      <selection pane="bottomLeft" activeCell="A2" sqref="A2"/>
      <selection pane="bottomRight" activeCell="M375" sqref="M375"/>
    </sheetView>
  </sheetViews>
  <sheetFormatPr baseColWidth="10" defaultColWidth="11.42578125" defaultRowHeight="12.75"/>
  <cols>
    <col min="1" max="1" width="14.28515625" style="1" customWidth="1"/>
    <col min="2" max="2" width="21.85546875" style="1" customWidth="1"/>
    <col min="3" max="3" width="10.42578125" style="1" hidden="1" customWidth="1"/>
    <col min="4" max="4" width="23.7109375" style="1" hidden="1" customWidth="1"/>
    <col min="5" max="5" width="19.5703125" style="2" hidden="1" customWidth="1"/>
    <col min="6" max="6" width="21.42578125" style="1" hidden="1" customWidth="1"/>
    <col min="7" max="7" width="12.85546875" style="1" hidden="1" customWidth="1"/>
    <col min="8" max="8" width="22.7109375" style="1" hidden="1" customWidth="1"/>
    <col min="9" max="9" width="32.85546875" style="124" hidden="1" customWidth="1"/>
    <col min="10" max="11" width="19.28515625" style="1" hidden="1" customWidth="1"/>
    <col min="12" max="12" width="30.28515625" style="3" customWidth="1"/>
    <col min="13" max="13" width="45.85546875" style="203" customWidth="1"/>
    <col min="14" max="14" width="15" style="2" customWidth="1"/>
    <col min="15" max="15" width="17.5703125" style="3" customWidth="1"/>
    <col min="16" max="16" width="9.7109375" style="3" customWidth="1"/>
    <col min="17" max="17" width="22.42578125" style="1" customWidth="1"/>
    <col min="18" max="18" width="21.140625" style="1" hidden="1" customWidth="1"/>
    <col min="19" max="19" width="25.28515625" style="1" hidden="1" customWidth="1"/>
    <col min="20" max="20" width="35" style="1" hidden="1" customWidth="1"/>
    <col min="21" max="21" width="29.42578125" style="1" hidden="1" customWidth="1"/>
    <col min="22" max="26" width="27.140625" style="1" hidden="1" customWidth="1"/>
    <col min="27" max="27" width="15" style="4" hidden="1" customWidth="1"/>
    <col min="28" max="28" width="18" style="8" customWidth="1"/>
    <col min="29" max="29" width="17.28515625" style="4" customWidth="1"/>
    <col min="30" max="30" width="19.85546875" style="4" customWidth="1"/>
    <col min="31" max="31" width="23.28515625" style="4" customWidth="1"/>
    <col min="32" max="32" width="16.140625" style="4" customWidth="1"/>
    <col min="33" max="33" width="15.85546875" style="4" customWidth="1"/>
    <col min="34" max="35" width="15" style="4" customWidth="1"/>
    <col min="36" max="36" width="24" style="4" customWidth="1"/>
    <col min="37" max="37" width="20.5703125" style="4" customWidth="1"/>
    <col min="38" max="38" width="15.140625" style="4" customWidth="1"/>
    <col min="39" max="39" width="15.140625" style="4" hidden="1" customWidth="1"/>
    <col min="40" max="40" width="24" style="4" hidden="1" customWidth="1"/>
    <col min="41" max="41" width="16" style="4" hidden="1" customWidth="1"/>
    <col min="42" max="42" width="19.85546875" style="4" hidden="1" customWidth="1"/>
    <col min="43" max="43" width="15.85546875" style="4" hidden="1" customWidth="1"/>
    <col min="44" max="44" width="20.28515625" style="4" hidden="1" customWidth="1"/>
    <col min="45" max="45" width="18.42578125" style="4" hidden="1" customWidth="1"/>
    <col min="46" max="46" width="20" style="4" hidden="1" customWidth="1"/>
    <col min="47" max="57" width="26.7109375" style="4" hidden="1" customWidth="1"/>
    <col min="58" max="59" width="24.140625" style="4" hidden="1" customWidth="1"/>
    <col min="60" max="60" width="27.140625" style="4" hidden="1" customWidth="1"/>
    <col min="61" max="61" width="21.85546875" style="4" hidden="1" customWidth="1"/>
    <col min="62" max="65" width="19.5703125" style="4" hidden="1" customWidth="1"/>
    <col min="66" max="69" width="18.140625" style="3" hidden="1" customWidth="1"/>
    <col min="70" max="70" width="26.5703125" style="3" hidden="1" customWidth="1"/>
    <col min="71" max="73" width="18.140625" style="3" hidden="1" customWidth="1"/>
    <col min="74" max="75" width="20.42578125" style="3" hidden="1" customWidth="1"/>
    <col min="76" max="76" width="21.140625" style="3" hidden="1" customWidth="1"/>
    <col min="77" max="80" width="18.140625" style="3" hidden="1" customWidth="1"/>
    <col min="81" max="82" width="18.140625" style="11" hidden="1" customWidth="1"/>
    <col min="83" max="91" width="18.140625" style="3" hidden="1" customWidth="1"/>
    <col min="92" max="92" width="21" style="3" hidden="1" customWidth="1"/>
    <col min="93" max="94" width="20.28515625" style="3" hidden="1" customWidth="1"/>
    <col min="95" max="96" width="21.42578125" style="3" hidden="1" customWidth="1"/>
    <col min="97" max="97" width="20.7109375" style="3" hidden="1" customWidth="1"/>
    <col min="98" max="98" width="26.7109375" style="4" hidden="1" customWidth="1"/>
    <col min="99" max="99" width="26.7109375" style="7" hidden="1" customWidth="1"/>
    <col min="100" max="125" width="18.140625" style="3" hidden="1" customWidth="1"/>
    <col min="126" max="126" width="18.140625" style="11" hidden="1" customWidth="1"/>
    <col min="127" max="128" width="18.140625" style="3" hidden="1" customWidth="1"/>
    <col min="129" max="129" width="23.7109375" style="3" hidden="1" customWidth="1"/>
    <col min="130" max="136" width="18.140625" style="3" hidden="1" customWidth="1"/>
    <col min="137" max="137" width="15.5703125" style="3" hidden="1" customWidth="1"/>
    <col min="138" max="138" width="24.5703125" style="3" hidden="1" customWidth="1"/>
    <col min="139" max="139" width="14.7109375" style="3" hidden="1" customWidth="1"/>
    <col min="140" max="140" width="14.85546875" style="3" hidden="1" customWidth="1"/>
    <col min="141" max="143" width="18.140625" style="3" hidden="1" customWidth="1"/>
    <col min="144" max="152" width="18.140625" style="11" hidden="1" customWidth="1"/>
    <col min="153" max="154" width="18.140625" style="3" hidden="1" customWidth="1"/>
    <col min="155" max="160" width="18.140625" style="11" hidden="1" customWidth="1"/>
    <col min="161" max="161" width="18.140625" style="105" hidden="1" customWidth="1"/>
    <col min="162" max="162" width="23.7109375" style="3" hidden="1" customWidth="1"/>
    <col min="163" max="163" width="23.42578125" style="3" hidden="1" customWidth="1"/>
    <col min="164" max="180" width="23.42578125" style="12" hidden="1" customWidth="1"/>
    <col min="181" max="197" width="20.7109375" style="12" hidden="1" customWidth="1"/>
    <col min="198" max="201" width="19.28515625" style="12" hidden="1" customWidth="1"/>
    <col min="202" max="203" width="19.28515625" style="12" customWidth="1"/>
    <col min="204" max="205" width="10.85546875" style="12" hidden="1" customWidth="1"/>
    <col min="206" max="206" width="16.42578125" style="12" hidden="1" customWidth="1"/>
    <col min="207" max="214" width="12.5703125" style="12" hidden="1" customWidth="1"/>
    <col min="215" max="216" width="12.5703125" style="12" customWidth="1"/>
    <col min="217" max="217" width="33.7109375" style="12" hidden="1" customWidth="1"/>
    <col min="218" max="219" width="39.7109375" style="12" hidden="1" customWidth="1"/>
    <col min="220" max="220" width="26.85546875" style="12" hidden="1" customWidth="1"/>
    <col min="221" max="221" width="40.42578125" style="12" hidden="1" customWidth="1"/>
    <col min="222" max="222" width="51" style="12" hidden="1" customWidth="1"/>
    <col min="223" max="224" width="33.5703125" style="12" hidden="1" customWidth="1"/>
    <col min="225" max="226" width="34.42578125" style="12" hidden="1" customWidth="1"/>
    <col min="227" max="227" width="32" style="12" customWidth="1"/>
    <col min="228" max="228" width="27.140625" style="12" customWidth="1"/>
    <col min="229" max="229" width="73" style="3" customWidth="1"/>
    <col min="230" max="230" width="51.42578125" style="3" customWidth="1"/>
    <col min="231" max="231" width="37.140625" style="1" customWidth="1"/>
    <col min="232" max="232" width="27.140625" style="3" customWidth="1"/>
    <col min="233" max="234" width="11.42578125" style="3" customWidth="1"/>
    <col min="235" max="235" width="11.42578125" style="11" customWidth="1"/>
    <col min="236" max="239" width="11.42578125" style="3" customWidth="1"/>
    <col min="240" max="240" width="17.28515625" style="3" hidden="1" customWidth="1"/>
    <col min="241" max="241" width="20.140625" style="3" hidden="1" customWidth="1"/>
    <col min="242" max="242" width="22.28515625" style="3" customWidth="1"/>
    <col min="243" max="251" width="11.42578125" style="3" customWidth="1"/>
    <col min="252" max="252" width="14.5703125" style="3" customWidth="1"/>
    <col min="253" max="258" width="11.42578125" style="3" customWidth="1"/>
    <col min="259" max="263" width="11.42578125" style="3" hidden="1" customWidth="1"/>
    <col min="264" max="264" width="13.7109375" style="3" customWidth="1"/>
    <col min="265" max="265" width="11.42578125" style="3" customWidth="1"/>
    <col min="266" max="450" width="11.42578125" style="3"/>
    <col min="451" max="451" width="7.28515625" style="3" customWidth="1"/>
    <col min="452" max="452" width="18.5703125" style="3" customWidth="1"/>
    <col min="453" max="453" width="26" style="3" customWidth="1"/>
    <col min="454" max="454" width="33.85546875" style="3" customWidth="1"/>
    <col min="455" max="455" width="58.5703125" style="3" customWidth="1"/>
    <col min="456" max="456" width="48.5703125" style="3" customWidth="1"/>
    <col min="457" max="457" width="23" style="3" customWidth="1"/>
    <col min="458" max="458" width="20.7109375" style="3" customWidth="1"/>
    <col min="459" max="459" width="15" style="3" customWidth="1"/>
    <col min="460" max="460" width="13.85546875" style="3" customWidth="1"/>
    <col min="461" max="461" width="13.5703125" style="3" customWidth="1"/>
    <col min="462" max="462" width="9.85546875" style="3" customWidth="1"/>
    <col min="463" max="463" width="14.85546875" style="3" customWidth="1"/>
    <col min="464" max="464" width="17.5703125" style="3" customWidth="1"/>
    <col min="465" max="465" width="18" style="3" customWidth="1"/>
    <col min="466" max="466" width="11.7109375" style="3" customWidth="1"/>
    <col min="467" max="467" width="40" style="3" customWidth="1"/>
    <col min="468" max="468" width="40.28515625" style="3" customWidth="1"/>
    <col min="469" max="469" width="44.7109375" style="3" customWidth="1"/>
    <col min="470" max="706" width="11.42578125" style="3"/>
    <col min="707" max="707" width="7.28515625" style="3" customWidth="1"/>
    <col min="708" max="708" width="18.5703125" style="3" customWidth="1"/>
    <col min="709" max="709" width="26" style="3" customWidth="1"/>
    <col min="710" max="710" width="33.85546875" style="3" customWidth="1"/>
    <col min="711" max="711" width="58.5703125" style="3" customWidth="1"/>
    <col min="712" max="712" width="48.5703125" style="3" customWidth="1"/>
    <col min="713" max="713" width="23" style="3" customWidth="1"/>
    <col min="714" max="714" width="20.7109375" style="3" customWidth="1"/>
    <col min="715" max="715" width="15" style="3" customWidth="1"/>
    <col min="716" max="716" width="13.85546875" style="3" customWidth="1"/>
    <col min="717" max="717" width="13.5703125" style="3" customWidth="1"/>
    <col min="718" max="718" width="9.85546875" style="3" customWidth="1"/>
    <col min="719" max="719" width="14.85546875" style="3" customWidth="1"/>
    <col min="720" max="720" width="17.5703125" style="3" customWidth="1"/>
    <col min="721" max="721" width="18" style="3" customWidth="1"/>
    <col min="722" max="722" width="11.7109375" style="3" customWidth="1"/>
    <col min="723" max="723" width="40" style="3" customWidth="1"/>
    <col min="724" max="724" width="40.28515625" style="3" customWidth="1"/>
    <col min="725" max="725" width="44.7109375" style="3" customWidth="1"/>
    <col min="726" max="962" width="11.42578125" style="3"/>
    <col min="963" max="963" width="7.28515625" style="3" customWidth="1"/>
    <col min="964" max="964" width="18.5703125" style="3" customWidth="1"/>
    <col min="965" max="965" width="26" style="3" customWidth="1"/>
    <col min="966" max="966" width="33.85546875" style="3" customWidth="1"/>
    <col min="967" max="967" width="58.5703125" style="3" customWidth="1"/>
    <col min="968" max="968" width="48.5703125" style="3" customWidth="1"/>
    <col min="969" max="969" width="23" style="3" customWidth="1"/>
    <col min="970" max="970" width="20.7109375" style="3" customWidth="1"/>
    <col min="971" max="971" width="15" style="3" customWidth="1"/>
    <col min="972" max="972" width="13.85546875" style="3" customWidth="1"/>
    <col min="973" max="973" width="13.5703125" style="3" customWidth="1"/>
    <col min="974" max="974" width="9.85546875" style="3" customWidth="1"/>
    <col min="975" max="975" width="14.85546875" style="3" customWidth="1"/>
    <col min="976" max="976" width="17.5703125" style="3" customWidth="1"/>
    <col min="977" max="977" width="18" style="3" customWidth="1"/>
    <col min="978" max="978" width="11.7109375" style="3" customWidth="1"/>
    <col min="979" max="979" width="40" style="3" customWidth="1"/>
    <col min="980" max="980" width="40.28515625" style="3" customWidth="1"/>
    <col min="981" max="981" width="44.7109375" style="3" customWidth="1"/>
    <col min="982" max="1218" width="11.42578125" style="3"/>
    <col min="1219" max="1219" width="7.28515625" style="3" customWidth="1"/>
    <col min="1220" max="1220" width="18.5703125" style="3" customWidth="1"/>
    <col min="1221" max="1221" width="26" style="3" customWidth="1"/>
    <col min="1222" max="1222" width="33.85546875" style="3" customWidth="1"/>
    <col min="1223" max="1223" width="58.5703125" style="3" customWidth="1"/>
    <col min="1224" max="1224" width="48.5703125" style="3" customWidth="1"/>
    <col min="1225" max="1225" width="23" style="3" customWidth="1"/>
    <col min="1226" max="1226" width="20.7109375" style="3" customWidth="1"/>
    <col min="1227" max="1227" width="15" style="3" customWidth="1"/>
    <col min="1228" max="1228" width="13.85546875" style="3" customWidth="1"/>
    <col min="1229" max="1229" width="13.5703125" style="3" customWidth="1"/>
    <col min="1230" max="1230" width="9.85546875" style="3" customWidth="1"/>
    <col min="1231" max="1231" width="14.85546875" style="3" customWidth="1"/>
    <col min="1232" max="1232" width="17.5703125" style="3" customWidth="1"/>
    <col min="1233" max="1233" width="18" style="3" customWidth="1"/>
    <col min="1234" max="1234" width="11.7109375" style="3" customWidth="1"/>
    <col min="1235" max="1235" width="40" style="3" customWidth="1"/>
    <col min="1236" max="1236" width="40.28515625" style="3" customWidth="1"/>
    <col min="1237" max="1237" width="44.7109375" style="3" customWidth="1"/>
    <col min="1238" max="1474" width="11.42578125" style="3"/>
    <col min="1475" max="1475" width="7.28515625" style="3" customWidth="1"/>
    <col min="1476" max="1476" width="18.5703125" style="3" customWidth="1"/>
    <col min="1477" max="1477" width="26" style="3" customWidth="1"/>
    <col min="1478" max="1478" width="33.85546875" style="3" customWidth="1"/>
    <col min="1479" max="1479" width="58.5703125" style="3" customWidth="1"/>
    <col min="1480" max="1480" width="48.5703125" style="3" customWidth="1"/>
    <col min="1481" max="1481" width="23" style="3" customWidth="1"/>
    <col min="1482" max="1482" width="20.7109375" style="3" customWidth="1"/>
    <col min="1483" max="1483" width="15" style="3" customWidth="1"/>
    <col min="1484" max="1484" width="13.85546875" style="3" customWidth="1"/>
    <col min="1485" max="1485" width="13.5703125" style="3" customWidth="1"/>
    <col min="1486" max="1486" width="9.85546875" style="3" customWidth="1"/>
    <col min="1487" max="1487" width="14.85546875" style="3" customWidth="1"/>
    <col min="1488" max="1488" width="17.5703125" style="3" customWidth="1"/>
    <col min="1489" max="1489" width="18" style="3" customWidth="1"/>
    <col min="1490" max="1490" width="11.7109375" style="3" customWidth="1"/>
    <col min="1491" max="1491" width="40" style="3" customWidth="1"/>
    <col min="1492" max="1492" width="40.28515625" style="3" customWidth="1"/>
    <col min="1493" max="1493" width="44.7109375" style="3" customWidth="1"/>
    <col min="1494" max="1730" width="11.42578125" style="3"/>
    <col min="1731" max="1731" width="7.28515625" style="3" customWidth="1"/>
    <col min="1732" max="1732" width="18.5703125" style="3" customWidth="1"/>
    <col min="1733" max="1733" width="26" style="3" customWidth="1"/>
    <col min="1734" max="1734" width="33.85546875" style="3" customWidth="1"/>
    <col min="1735" max="1735" width="58.5703125" style="3" customWidth="1"/>
    <col min="1736" max="1736" width="48.5703125" style="3" customWidth="1"/>
    <col min="1737" max="1737" width="23" style="3" customWidth="1"/>
    <col min="1738" max="1738" width="20.7109375" style="3" customWidth="1"/>
    <col min="1739" max="1739" width="15" style="3" customWidth="1"/>
    <col min="1740" max="1740" width="13.85546875" style="3" customWidth="1"/>
    <col min="1741" max="1741" width="13.5703125" style="3" customWidth="1"/>
    <col min="1742" max="1742" width="9.85546875" style="3" customWidth="1"/>
    <col min="1743" max="1743" width="14.85546875" style="3" customWidth="1"/>
    <col min="1744" max="1744" width="17.5703125" style="3" customWidth="1"/>
    <col min="1745" max="1745" width="18" style="3" customWidth="1"/>
    <col min="1746" max="1746" width="11.7109375" style="3" customWidth="1"/>
    <col min="1747" max="1747" width="40" style="3" customWidth="1"/>
    <col min="1748" max="1748" width="40.28515625" style="3" customWidth="1"/>
    <col min="1749" max="1749" width="44.7109375" style="3" customWidth="1"/>
    <col min="1750" max="1986" width="11.42578125" style="3"/>
    <col min="1987" max="1987" width="7.28515625" style="3" customWidth="1"/>
    <col min="1988" max="1988" width="18.5703125" style="3" customWidth="1"/>
    <col min="1989" max="1989" width="26" style="3" customWidth="1"/>
    <col min="1990" max="1990" width="33.85546875" style="3" customWidth="1"/>
    <col min="1991" max="1991" width="58.5703125" style="3" customWidth="1"/>
    <col min="1992" max="1992" width="48.5703125" style="3" customWidth="1"/>
    <col min="1993" max="1993" width="23" style="3" customWidth="1"/>
    <col min="1994" max="1994" width="20.7109375" style="3" customWidth="1"/>
    <col min="1995" max="1995" width="15" style="3" customWidth="1"/>
    <col min="1996" max="1996" width="13.85546875" style="3" customWidth="1"/>
    <col min="1997" max="1997" width="13.5703125" style="3" customWidth="1"/>
    <col min="1998" max="1998" width="9.85546875" style="3" customWidth="1"/>
    <col min="1999" max="1999" width="14.85546875" style="3" customWidth="1"/>
    <col min="2000" max="2000" width="17.5703125" style="3" customWidth="1"/>
    <col min="2001" max="2001" width="18" style="3" customWidth="1"/>
    <col min="2002" max="2002" width="11.7109375" style="3" customWidth="1"/>
    <col min="2003" max="2003" width="40" style="3" customWidth="1"/>
    <col min="2004" max="2004" width="40.28515625" style="3" customWidth="1"/>
    <col min="2005" max="2005" width="44.7109375" style="3" customWidth="1"/>
    <col min="2006" max="2242" width="11.42578125" style="3"/>
    <col min="2243" max="2243" width="7.28515625" style="3" customWidth="1"/>
    <col min="2244" max="2244" width="18.5703125" style="3" customWidth="1"/>
    <col min="2245" max="2245" width="26" style="3" customWidth="1"/>
    <col min="2246" max="2246" width="33.85546875" style="3" customWidth="1"/>
    <col min="2247" max="2247" width="58.5703125" style="3" customWidth="1"/>
    <col min="2248" max="2248" width="48.5703125" style="3" customWidth="1"/>
    <col min="2249" max="2249" width="23" style="3" customWidth="1"/>
    <col min="2250" max="2250" width="20.7109375" style="3" customWidth="1"/>
    <col min="2251" max="2251" width="15" style="3" customWidth="1"/>
    <col min="2252" max="2252" width="13.85546875" style="3" customWidth="1"/>
    <col min="2253" max="2253" width="13.5703125" style="3" customWidth="1"/>
    <col min="2254" max="2254" width="9.85546875" style="3" customWidth="1"/>
    <col min="2255" max="2255" width="14.85546875" style="3" customWidth="1"/>
    <col min="2256" max="2256" width="17.5703125" style="3" customWidth="1"/>
    <col min="2257" max="2257" width="18" style="3" customWidth="1"/>
    <col min="2258" max="2258" width="11.7109375" style="3" customWidth="1"/>
    <col min="2259" max="2259" width="40" style="3" customWidth="1"/>
    <col min="2260" max="2260" width="40.28515625" style="3" customWidth="1"/>
    <col min="2261" max="2261" width="44.7109375" style="3" customWidth="1"/>
    <col min="2262" max="2498" width="11.42578125" style="3"/>
    <col min="2499" max="2499" width="7.28515625" style="3" customWidth="1"/>
    <col min="2500" max="2500" width="18.5703125" style="3" customWidth="1"/>
    <col min="2501" max="2501" width="26" style="3" customWidth="1"/>
    <col min="2502" max="2502" width="33.85546875" style="3" customWidth="1"/>
    <col min="2503" max="2503" width="58.5703125" style="3" customWidth="1"/>
    <col min="2504" max="2504" width="48.5703125" style="3" customWidth="1"/>
    <col min="2505" max="2505" width="23" style="3" customWidth="1"/>
    <col min="2506" max="2506" width="20.7109375" style="3" customWidth="1"/>
    <col min="2507" max="2507" width="15" style="3" customWidth="1"/>
    <col min="2508" max="2508" width="13.85546875" style="3" customWidth="1"/>
    <col min="2509" max="2509" width="13.5703125" style="3" customWidth="1"/>
    <col min="2510" max="2510" width="9.85546875" style="3" customWidth="1"/>
    <col min="2511" max="2511" width="14.85546875" style="3" customWidth="1"/>
    <col min="2512" max="2512" width="17.5703125" style="3" customWidth="1"/>
    <col min="2513" max="2513" width="18" style="3" customWidth="1"/>
    <col min="2514" max="2514" width="11.7109375" style="3" customWidth="1"/>
    <col min="2515" max="2515" width="40" style="3" customWidth="1"/>
    <col min="2516" max="2516" width="40.28515625" style="3" customWidth="1"/>
    <col min="2517" max="2517" width="44.7109375" style="3" customWidth="1"/>
    <col min="2518" max="2754" width="11.42578125" style="3"/>
    <col min="2755" max="2755" width="7.28515625" style="3" customWidth="1"/>
    <col min="2756" max="2756" width="18.5703125" style="3" customWidth="1"/>
    <col min="2757" max="2757" width="26" style="3" customWidth="1"/>
    <col min="2758" max="2758" width="33.85546875" style="3" customWidth="1"/>
    <col min="2759" max="2759" width="58.5703125" style="3" customWidth="1"/>
    <col min="2760" max="2760" width="48.5703125" style="3" customWidth="1"/>
    <col min="2761" max="2761" width="23" style="3" customWidth="1"/>
    <col min="2762" max="2762" width="20.7109375" style="3" customWidth="1"/>
    <col min="2763" max="2763" width="15" style="3" customWidth="1"/>
    <col min="2764" max="2764" width="13.85546875" style="3" customWidth="1"/>
    <col min="2765" max="2765" width="13.5703125" style="3" customWidth="1"/>
    <col min="2766" max="2766" width="9.85546875" style="3" customWidth="1"/>
    <col min="2767" max="2767" width="14.85546875" style="3" customWidth="1"/>
    <col min="2768" max="2768" width="17.5703125" style="3" customWidth="1"/>
    <col min="2769" max="2769" width="18" style="3" customWidth="1"/>
    <col min="2770" max="2770" width="11.7109375" style="3" customWidth="1"/>
    <col min="2771" max="2771" width="40" style="3" customWidth="1"/>
    <col min="2772" max="2772" width="40.28515625" style="3" customWidth="1"/>
    <col min="2773" max="2773" width="44.7109375" style="3" customWidth="1"/>
    <col min="2774" max="3010" width="11.42578125" style="3"/>
    <col min="3011" max="3011" width="7.28515625" style="3" customWidth="1"/>
    <col min="3012" max="3012" width="18.5703125" style="3" customWidth="1"/>
    <col min="3013" max="3013" width="26" style="3" customWidth="1"/>
    <col min="3014" max="3014" width="33.85546875" style="3" customWidth="1"/>
    <col min="3015" max="3015" width="58.5703125" style="3" customWidth="1"/>
    <col min="3016" max="3016" width="48.5703125" style="3" customWidth="1"/>
    <col min="3017" max="3017" width="23" style="3" customWidth="1"/>
    <col min="3018" max="3018" width="20.7109375" style="3" customWidth="1"/>
    <col min="3019" max="3019" width="15" style="3" customWidth="1"/>
    <col min="3020" max="3020" width="13.85546875" style="3" customWidth="1"/>
    <col min="3021" max="3021" width="13.5703125" style="3" customWidth="1"/>
    <col min="3022" max="3022" width="9.85546875" style="3" customWidth="1"/>
    <col min="3023" max="3023" width="14.85546875" style="3" customWidth="1"/>
    <col min="3024" max="3024" width="17.5703125" style="3" customWidth="1"/>
    <col min="3025" max="3025" width="18" style="3" customWidth="1"/>
    <col min="3026" max="3026" width="11.7109375" style="3" customWidth="1"/>
    <col min="3027" max="3027" width="40" style="3" customWidth="1"/>
    <col min="3028" max="3028" width="40.28515625" style="3" customWidth="1"/>
    <col min="3029" max="3029" width="44.7109375" style="3" customWidth="1"/>
    <col min="3030" max="3266" width="11.42578125" style="3"/>
    <col min="3267" max="3267" width="7.28515625" style="3" customWidth="1"/>
    <col min="3268" max="3268" width="18.5703125" style="3" customWidth="1"/>
    <col min="3269" max="3269" width="26" style="3" customWidth="1"/>
    <col min="3270" max="3270" width="33.85546875" style="3" customWidth="1"/>
    <col min="3271" max="3271" width="58.5703125" style="3" customWidth="1"/>
    <col min="3272" max="3272" width="48.5703125" style="3" customWidth="1"/>
    <col min="3273" max="3273" width="23" style="3" customWidth="1"/>
    <col min="3274" max="3274" width="20.7109375" style="3" customWidth="1"/>
    <col min="3275" max="3275" width="15" style="3" customWidth="1"/>
    <col min="3276" max="3276" width="13.85546875" style="3" customWidth="1"/>
    <col min="3277" max="3277" width="13.5703125" style="3" customWidth="1"/>
    <col min="3278" max="3278" width="9.85546875" style="3" customWidth="1"/>
    <col min="3279" max="3279" width="14.85546875" style="3" customWidth="1"/>
    <col min="3280" max="3280" width="17.5703125" style="3" customWidth="1"/>
    <col min="3281" max="3281" width="18" style="3" customWidth="1"/>
    <col min="3282" max="3282" width="11.7109375" style="3" customWidth="1"/>
    <col min="3283" max="3283" width="40" style="3" customWidth="1"/>
    <col min="3284" max="3284" width="40.28515625" style="3" customWidth="1"/>
    <col min="3285" max="3285" width="44.7109375" style="3" customWidth="1"/>
    <col min="3286" max="3522" width="11.42578125" style="3"/>
    <col min="3523" max="3523" width="7.28515625" style="3" customWidth="1"/>
    <col min="3524" max="3524" width="18.5703125" style="3" customWidth="1"/>
    <col min="3525" max="3525" width="26" style="3" customWidth="1"/>
    <col min="3526" max="3526" width="33.85546875" style="3" customWidth="1"/>
    <col min="3527" max="3527" width="58.5703125" style="3" customWidth="1"/>
    <col min="3528" max="3528" width="48.5703125" style="3" customWidth="1"/>
    <col min="3529" max="3529" width="23" style="3" customWidth="1"/>
    <col min="3530" max="3530" width="20.7109375" style="3" customWidth="1"/>
    <col min="3531" max="3531" width="15" style="3" customWidth="1"/>
    <col min="3532" max="3532" width="13.85546875" style="3" customWidth="1"/>
    <col min="3533" max="3533" width="13.5703125" style="3" customWidth="1"/>
    <col min="3534" max="3534" width="9.85546875" style="3" customWidth="1"/>
    <col min="3535" max="3535" width="14.85546875" style="3" customWidth="1"/>
    <col min="3536" max="3536" width="17.5703125" style="3" customWidth="1"/>
    <col min="3537" max="3537" width="18" style="3" customWidth="1"/>
    <col min="3538" max="3538" width="11.7109375" style="3" customWidth="1"/>
    <col min="3539" max="3539" width="40" style="3" customWidth="1"/>
    <col min="3540" max="3540" width="40.28515625" style="3" customWidth="1"/>
    <col min="3541" max="3541" width="44.7109375" style="3" customWidth="1"/>
    <col min="3542" max="3778" width="11.42578125" style="3"/>
    <col min="3779" max="3779" width="7.28515625" style="3" customWidth="1"/>
    <col min="3780" max="3780" width="18.5703125" style="3" customWidth="1"/>
    <col min="3781" max="3781" width="26" style="3" customWidth="1"/>
    <col min="3782" max="3782" width="33.85546875" style="3" customWidth="1"/>
    <col min="3783" max="3783" width="58.5703125" style="3" customWidth="1"/>
    <col min="3784" max="3784" width="48.5703125" style="3" customWidth="1"/>
    <col min="3785" max="3785" width="23" style="3" customWidth="1"/>
    <col min="3786" max="3786" width="20.7109375" style="3" customWidth="1"/>
    <col min="3787" max="3787" width="15" style="3" customWidth="1"/>
    <col min="3788" max="3788" width="13.85546875" style="3" customWidth="1"/>
    <col min="3789" max="3789" width="13.5703125" style="3" customWidth="1"/>
    <col min="3790" max="3790" width="9.85546875" style="3" customWidth="1"/>
    <col min="3791" max="3791" width="14.85546875" style="3" customWidth="1"/>
    <col min="3792" max="3792" width="17.5703125" style="3" customWidth="1"/>
    <col min="3793" max="3793" width="18" style="3" customWidth="1"/>
    <col min="3794" max="3794" width="11.7109375" style="3" customWidth="1"/>
    <col min="3795" max="3795" width="40" style="3" customWidth="1"/>
    <col min="3796" max="3796" width="40.28515625" style="3" customWidth="1"/>
    <col min="3797" max="3797" width="44.7109375" style="3" customWidth="1"/>
    <col min="3798" max="4034" width="11.42578125" style="3"/>
    <col min="4035" max="4035" width="7.28515625" style="3" customWidth="1"/>
    <col min="4036" max="4036" width="18.5703125" style="3" customWidth="1"/>
    <col min="4037" max="4037" width="26" style="3" customWidth="1"/>
    <col min="4038" max="4038" width="33.85546875" style="3" customWidth="1"/>
    <col min="4039" max="4039" width="58.5703125" style="3" customWidth="1"/>
    <col min="4040" max="4040" width="48.5703125" style="3" customWidth="1"/>
    <col min="4041" max="4041" width="23" style="3" customWidth="1"/>
    <col min="4042" max="4042" width="20.7109375" style="3" customWidth="1"/>
    <col min="4043" max="4043" width="15" style="3" customWidth="1"/>
    <col min="4044" max="4044" width="13.85546875" style="3" customWidth="1"/>
    <col min="4045" max="4045" width="13.5703125" style="3" customWidth="1"/>
    <col min="4046" max="4046" width="9.85546875" style="3" customWidth="1"/>
    <col min="4047" max="4047" width="14.85546875" style="3" customWidth="1"/>
    <col min="4048" max="4048" width="17.5703125" style="3" customWidth="1"/>
    <col min="4049" max="4049" width="18" style="3" customWidth="1"/>
    <col min="4050" max="4050" width="11.7109375" style="3" customWidth="1"/>
    <col min="4051" max="4051" width="40" style="3" customWidth="1"/>
    <col min="4052" max="4052" width="40.28515625" style="3" customWidth="1"/>
    <col min="4053" max="4053" width="44.7109375" style="3" customWidth="1"/>
    <col min="4054" max="4290" width="11.42578125" style="3"/>
    <col min="4291" max="4291" width="7.28515625" style="3" customWidth="1"/>
    <col min="4292" max="4292" width="18.5703125" style="3" customWidth="1"/>
    <col min="4293" max="4293" width="26" style="3" customWidth="1"/>
    <col min="4294" max="4294" width="33.85546875" style="3" customWidth="1"/>
    <col min="4295" max="4295" width="58.5703125" style="3" customWidth="1"/>
    <col min="4296" max="4296" width="48.5703125" style="3" customWidth="1"/>
    <col min="4297" max="4297" width="23" style="3" customWidth="1"/>
    <col min="4298" max="4298" width="20.7109375" style="3" customWidth="1"/>
    <col min="4299" max="4299" width="15" style="3" customWidth="1"/>
    <col min="4300" max="4300" width="13.85546875" style="3" customWidth="1"/>
    <col min="4301" max="4301" width="13.5703125" style="3" customWidth="1"/>
    <col min="4302" max="4302" width="9.85546875" style="3" customWidth="1"/>
    <col min="4303" max="4303" width="14.85546875" style="3" customWidth="1"/>
    <col min="4304" max="4304" width="17.5703125" style="3" customWidth="1"/>
    <col min="4305" max="4305" width="18" style="3" customWidth="1"/>
    <col min="4306" max="4306" width="11.7109375" style="3" customWidth="1"/>
    <col min="4307" max="4307" width="40" style="3" customWidth="1"/>
    <col min="4308" max="4308" width="40.28515625" style="3" customWidth="1"/>
    <col min="4309" max="4309" width="44.7109375" style="3" customWidth="1"/>
    <col min="4310" max="4546" width="11.42578125" style="3"/>
    <col min="4547" max="4547" width="7.28515625" style="3" customWidth="1"/>
    <col min="4548" max="4548" width="18.5703125" style="3" customWidth="1"/>
    <col min="4549" max="4549" width="26" style="3" customWidth="1"/>
    <col min="4550" max="4550" width="33.85546875" style="3" customWidth="1"/>
    <col min="4551" max="4551" width="58.5703125" style="3" customWidth="1"/>
    <col min="4552" max="4552" width="48.5703125" style="3" customWidth="1"/>
    <col min="4553" max="4553" width="23" style="3" customWidth="1"/>
    <col min="4554" max="4554" width="20.7109375" style="3" customWidth="1"/>
    <col min="4555" max="4555" width="15" style="3" customWidth="1"/>
    <col min="4556" max="4556" width="13.85546875" style="3" customWidth="1"/>
    <col min="4557" max="4557" width="13.5703125" style="3" customWidth="1"/>
    <col min="4558" max="4558" width="9.85546875" style="3" customWidth="1"/>
    <col min="4559" max="4559" width="14.85546875" style="3" customWidth="1"/>
    <col min="4560" max="4560" width="17.5703125" style="3" customWidth="1"/>
    <col min="4561" max="4561" width="18" style="3" customWidth="1"/>
    <col min="4562" max="4562" width="11.7109375" style="3" customWidth="1"/>
    <col min="4563" max="4563" width="40" style="3" customWidth="1"/>
    <col min="4564" max="4564" width="40.28515625" style="3" customWidth="1"/>
    <col min="4565" max="4565" width="44.7109375" style="3" customWidth="1"/>
    <col min="4566" max="4802" width="11.42578125" style="3"/>
    <col min="4803" max="4803" width="7.28515625" style="3" customWidth="1"/>
    <col min="4804" max="4804" width="18.5703125" style="3" customWidth="1"/>
    <col min="4805" max="4805" width="26" style="3" customWidth="1"/>
    <col min="4806" max="4806" width="33.85546875" style="3" customWidth="1"/>
    <col min="4807" max="4807" width="58.5703125" style="3" customWidth="1"/>
    <col min="4808" max="4808" width="48.5703125" style="3" customWidth="1"/>
    <col min="4809" max="4809" width="23" style="3" customWidth="1"/>
    <col min="4810" max="4810" width="20.7109375" style="3" customWidth="1"/>
    <col min="4811" max="4811" width="15" style="3" customWidth="1"/>
    <col min="4812" max="4812" width="13.85546875" style="3" customWidth="1"/>
    <col min="4813" max="4813" width="13.5703125" style="3" customWidth="1"/>
    <col min="4814" max="4814" width="9.85546875" style="3" customWidth="1"/>
    <col min="4815" max="4815" width="14.85546875" style="3" customWidth="1"/>
    <col min="4816" max="4816" width="17.5703125" style="3" customWidth="1"/>
    <col min="4817" max="4817" width="18" style="3" customWidth="1"/>
    <col min="4818" max="4818" width="11.7109375" style="3" customWidth="1"/>
    <col min="4819" max="4819" width="40" style="3" customWidth="1"/>
    <col min="4820" max="4820" width="40.28515625" style="3" customWidth="1"/>
    <col min="4821" max="4821" width="44.7109375" style="3" customWidth="1"/>
    <col min="4822" max="5058" width="11.42578125" style="3"/>
    <col min="5059" max="5059" width="7.28515625" style="3" customWidth="1"/>
    <col min="5060" max="5060" width="18.5703125" style="3" customWidth="1"/>
    <col min="5061" max="5061" width="26" style="3" customWidth="1"/>
    <col min="5062" max="5062" width="33.85546875" style="3" customWidth="1"/>
    <col min="5063" max="5063" width="58.5703125" style="3" customWidth="1"/>
    <col min="5064" max="5064" width="48.5703125" style="3" customWidth="1"/>
    <col min="5065" max="5065" width="23" style="3" customWidth="1"/>
    <col min="5066" max="5066" width="20.7109375" style="3" customWidth="1"/>
    <col min="5067" max="5067" width="15" style="3" customWidth="1"/>
    <col min="5068" max="5068" width="13.85546875" style="3" customWidth="1"/>
    <col min="5069" max="5069" width="13.5703125" style="3" customWidth="1"/>
    <col min="5070" max="5070" width="9.85546875" style="3" customWidth="1"/>
    <col min="5071" max="5071" width="14.85546875" style="3" customWidth="1"/>
    <col min="5072" max="5072" width="17.5703125" style="3" customWidth="1"/>
    <col min="5073" max="5073" width="18" style="3" customWidth="1"/>
    <col min="5074" max="5074" width="11.7109375" style="3" customWidth="1"/>
    <col min="5075" max="5075" width="40" style="3" customWidth="1"/>
    <col min="5076" max="5076" width="40.28515625" style="3" customWidth="1"/>
    <col min="5077" max="5077" width="44.7109375" style="3" customWidth="1"/>
    <col min="5078" max="5314" width="11.42578125" style="3"/>
    <col min="5315" max="5315" width="7.28515625" style="3" customWidth="1"/>
    <col min="5316" max="5316" width="18.5703125" style="3" customWidth="1"/>
    <col min="5317" max="5317" width="26" style="3" customWidth="1"/>
    <col min="5318" max="5318" width="33.85546875" style="3" customWidth="1"/>
    <col min="5319" max="5319" width="58.5703125" style="3" customWidth="1"/>
    <col min="5320" max="5320" width="48.5703125" style="3" customWidth="1"/>
    <col min="5321" max="5321" width="23" style="3" customWidth="1"/>
    <col min="5322" max="5322" width="20.7109375" style="3" customWidth="1"/>
    <col min="5323" max="5323" width="15" style="3" customWidth="1"/>
    <col min="5324" max="5324" width="13.85546875" style="3" customWidth="1"/>
    <col min="5325" max="5325" width="13.5703125" style="3" customWidth="1"/>
    <col min="5326" max="5326" width="9.85546875" style="3" customWidth="1"/>
    <col min="5327" max="5327" width="14.85546875" style="3" customWidth="1"/>
    <col min="5328" max="5328" width="17.5703125" style="3" customWidth="1"/>
    <col min="5329" max="5329" width="18" style="3" customWidth="1"/>
    <col min="5330" max="5330" width="11.7109375" style="3" customWidth="1"/>
    <col min="5331" max="5331" width="40" style="3" customWidth="1"/>
    <col min="5332" max="5332" width="40.28515625" style="3" customWidth="1"/>
    <col min="5333" max="5333" width="44.7109375" style="3" customWidth="1"/>
    <col min="5334" max="5570" width="11.42578125" style="3"/>
    <col min="5571" max="5571" width="7.28515625" style="3" customWidth="1"/>
    <col min="5572" max="5572" width="18.5703125" style="3" customWidth="1"/>
    <col min="5573" max="5573" width="26" style="3" customWidth="1"/>
    <col min="5574" max="5574" width="33.85546875" style="3" customWidth="1"/>
    <col min="5575" max="5575" width="58.5703125" style="3" customWidth="1"/>
    <col min="5576" max="5576" width="48.5703125" style="3" customWidth="1"/>
    <col min="5577" max="5577" width="23" style="3" customWidth="1"/>
    <col min="5578" max="5578" width="20.7109375" style="3" customWidth="1"/>
    <col min="5579" max="5579" width="15" style="3" customWidth="1"/>
    <col min="5580" max="5580" width="13.85546875" style="3" customWidth="1"/>
    <col min="5581" max="5581" width="13.5703125" style="3" customWidth="1"/>
    <col min="5582" max="5582" width="9.85546875" style="3" customWidth="1"/>
    <col min="5583" max="5583" width="14.85546875" style="3" customWidth="1"/>
    <col min="5584" max="5584" width="17.5703125" style="3" customWidth="1"/>
    <col min="5585" max="5585" width="18" style="3" customWidth="1"/>
    <col min="5586" max="5586" width="11.7109375" style="3" customWidth="1"/>
    <col min="5587" max="5587" width="40" style="3" customWidth="1"/>
    <col min="5588" max="5588" width="40.28515625" style="3" customWidth="1"/>
    <col min="5589" max="5589" width="44.7109375" style="3" customWidth="1"/>
    <col min="5590" max="5826" width="11.42578125" style="3"/>
    <col min="5827" max="5827" width="7.28515625" style="3" customWidth="1"/>
    <col min="5828" max="5828" width="18.5703125" style="3" customWidth="1"/>
    <col min="5829" max="5829" width="26" style="3" customWidth="1"/>
    <col min="5830" max="5830" width="33.85546875" style="3" customWidth="1"/>
    <col min="5831" max="5831" width="58.5703125" style="3" customWidth="1"/>
    <col min="5832" max="5832" width="48.5703125" style="3" customWidth="1"/>
    <col min="5833" max="5833" width="23" style="3" customWidth="1"/>
    <col min="5834" max="5834" width="20.7109375" style="3" customWidth="1"/>
    <col min="5835" max="5835" width="15" style="3" customWidth="1"/>
    <col min="5836" max="5836" width="13.85546875" style="3" customWidth="1"/>
    <col min="5837" max="5837" width="13.5703125" style="3" customWidth="1"/>
    <col min="5838" max="5838" width="9.85546875" style="3" customWidth="1"/>
    <col min="5839" max="5839" width="14.85546875" style="3" customWidth="1"/>
    <col min="5840" max="5840" width="17.5703125" style="3" customWidth="1"/>
    <col min="5841" max="5841" width="18" style="3" customWidth="1"/>
    <col min="5842" max="5842" width="11.7109375" style="3" customWidth="1"/>
    <col min="5843" max="5843" width="40" style="3" customWidth="1"/>
    <col min="5844" max="5844" width="40.28515625" style="3" customWidth="1"/>
    <col min="5845" max="5845" width="44.7109375" style="3" customWidth="1"/>
    <col min="5846" max="6082" width="11.42578125" style="3"/>
    <col min="6083" max="6083" width="7.28515625" style="3" customWidth="1"/>
    <col min="6084" max="6084" width="18.5703125" style="3" customWidth="1"/>
    <col min="6085" max="6085" width="26" style="3" customWidth="1"/>
    <col min="6086" max="6086" width="33.85546875" style="3" customWidth="1"/>
    <col min="6087" max="6087" width="58.5703125" style="3" customWidth="1"/>
    <col min="6088" max="6088" width="48.5703125" style="3" customWidth="1"/>
    <col min="6089" max="6089" width="23" style="3" customWidth="1"/>
    <col min="6090" max="6090" width="20.7109375" style="3" customWidth="1"/>
    <col min="6091" max="6091" width="15" style="3" customWidth="1"/>
    <col min="6092" max="6092" width="13.85546875" style="3" customWidth="1"/>
    <col min="6093" max="6093" width="13.5703125" style="3" customWidth="1"/>
    <col min="6094" max="6094" width="9.85546875" style="3" customWidth="1"/>
    <col min="6095" max="6095" width="14.85546875" style="3" customWidth="1"/>
    <col min="6096" max="6096" width="17.5703125" style="3" customWidth="1"/>
    <col min="6097" max="6097" width="18" style="3" customWidth="1"/>
    <col min="6098" max="6098" width="11.7109375" style="3" customWidth="1"/>
    <col min="6099" max="6099" width="40" style="3" customWidth="1"/>
    <col min="6100" max="6100" width="40.28515625" style="3" customWidth="1"/>
    <col min="6101" max="6101" width="44.7109375" style="3" customWidth="1"/>
    <col min="6102" max="6338" width="11.42578125" style="3"/>
    <col min="6339" max="6339" width="7.28515625" style="3" customWidth="1"/>
    <col min="6340" max="6340" width="18.5703125" style="3" customWidth="1"/>
    <col min="6341" max="6341" width="26" style="3" customWidth="1"/>
    <col min="6342" max="6342" width="33.85546875" style="3" customWidth="1"/>
    <col min="6343" max="6343" width="58.5703125" style="3" customWidth="1"/>
    <col min="6344" max="6344" width="48.5703125" style="3" customWidth="1"/>
    <col min="6345" max="6345" width="23" style="3" customWidth="1"/>
    <col min="6346" max="6346" width="20.7109375" style="3" customWidth="1"/>
    <col min="6347" max="6347" width="15" style="3" customWidth="1"/>
    <col min="6348" max="6348" width="13.85546875" style="3" customWidth="1"/>
    <col min="6349" max="6349" width="13.5703125" style="3" customWidth="1"/>
    <col min="6350" max="6350" width="9.85546875" style="3" customWidth="1"/>
    <col min="6351" max="6351" width="14.85546875" style="3" customWidth="1"/>
    <col min="6352" max="6352" width="17.5703125" style="3" customWidth="1"/>
    <col min="6353" max="6353" width="18" style="3" customWidth="1"/>
    <col min="6354" max="6354" width="11.7109375" style="3" customWidth="1"/>
    <col min="6355" max="6355" width="40" style="3" customWidth="1"/>
    <col min="6356" max="6356" width="40.28515625" style="3" customWidth="1"/>
    <col min="6357" max="6357" width="44.7109375" style="3" customWidth="1"/>
    <col min="6358" max="6594" width="11.42578125" style="3"/>
    <col min="6595" max="6595" width="7.28515625" style="3" customWidth="1"/>
    <col min="6596" max="6596" width="18.5703125" style="3" customWidth="1"/>
    <col min="6597" max="6597" width="26" style="3" customWidth="1"/>
    <col min="6598" max="6598" width="33.85546875" style="3" customWidth="1"/>
    <col min="6599" max="6599" width="58.5703125" style="3" customWidth="1"/>
    <col min="6600" max="6600" width="48.5703125" style="3" customWidth="1"/>
    <col min="6601" max="6601" width="23" style="3" customWidth="1"/>
    <col min="6602" max="6602" width="20.7109375" style="3" customWidth="1"/>
    <col min="6603" max="6603" width="15" style="3" customWidth="1"/>
    <col min="6604" max="6604" width="13.85546875" style="3" customWidth="1"/>
    <col min="6605" max="6605" width="13.5703125" style="3" customWidth="1"/>
    <col min="6606" max="6606" width="9.85546875" style="3" customWidth="1"/>
    <col min="6607" max="6607" width="14.85546875" style="3" customWidth="1"/>
    <col min="6608" max="6608" width="17.5703125" style="3" customWidth="1"/>
    <col min="6609" max="6609" width="18" style="3" customWidth="1"/>
    <col min="6610" max="6610" width="11.7109375" style="3" customWidth="1"/>
    <col min="6611" max="6611" width="40" style="3" customWidth="1"/>
    <col min="6612" max="6612" width="40.28515625" style="3" customWidth="1"/>
    <col min="6613" max="6613" width="44.7109375" style="3" customWidth="1"/>
    <col min="6614" max="6850" width="11.42578125" style="3"/>
    <col min="6851" max="6851" width="7.28515625" style="3" customWidth="1"/>
    <col min="6852" max="6852" width="18.5703125" style="3" customWidth="1"/>
    <col min="6853" max="6853" width="26" style="3" customWidth="1"/>
    <col min="6854" max="6854" width="33.85546875" style="3" customWidth="1"/>
    <col min="6855" max="6855" width="58.5703125" style="3" customWidth="1"/>
    <col min="6856" max="6856" width="48.5703125" style="3" customWidth="1"/>
    <col min="6857" max="6857" width="23" style="3" customWidth="1"/>
    <col min="6858" max="6858" width="20.7109375" style="3" customWidth="1"/>
    <col min="6859" max="6859" width="15" style="3" customWidth="1"/>
    <col min="6860" max="6860" width="13.85546875" style="3" customWidth="1"/>
    <col min="6861" max="6861" width="13.5703125" style="3" customWidth="1"/>
    <col min="6862" max="6862" width="9.85546875" style="3" customWidth="1"/>
    <col min="6863" max="6863" width="14.85546875" style="3" customWidth="1"/>
    <col min="6864" max="6864" width="17.5703125" style="3" customWidth="1"/>
    <col min="6865" max="6865" width="18" style="3" customWidth="1"/>
    <col min="6866" max="6866" width="11.7109375" style="3" customWidth="1"/>
    <col min="6867" max="6867" width="40" style="3" customWidth="1"/>
    <col min="6868" max="6868" width="40.28515625" style="3" customWidth="1"/>
    <col min="6869" max="6869" width="44.7109375" style="3" customWidth="1"/>
    <col min="6870" max="7106" width="11.42578125" style="3"/>
    <col min="7107" max="7107" width="7.28515625" style="3" customWidth="1"/>
    <col min="7108" max="7108" width="18.5703125" style="3" customWidth="1"/>
    <col min="7109" max="7109" width="26" style="3" customWidth="1"/>
    <col min="7110" max="7110" width="33.85546875" style="3" customWidth="1"/>
    <col min="7111" max="7111" width="58.5703125" style="3" customWidth="1"/>
    <col min="7112" max="7112" width="48.5703125" style="3" customWidth="1"/>
    <col min="7113" max="7113" width="23" style="3" customWidth="1"/>
    <col min="7114" max="7114" width="20.7109375" style="3" customWidth="1"/>
    <col min="7115" max="7115" width="15" style="3" customWidth="1"/>
    <col min="7116" max="7116" width="13.85546875" style="3" customWidth="1"/>
    <col min="7117" max="7117" width="13.5703125" style="3" customWidth="1"/>
    <col min="7118" max="7118" width="9.85546875" style="3" customWidth="1"/>
    <col min="7119" max="7119" width="14.85546875" style="3" customWidth="1"/>
    <col min="7120" max="7120" width="17.5703125" style="3" customWidth="1"/>
    <col min="7121" max="7121" width="18" style="3" customWidth="1"/>
    <col min="7122" max="7122" width="11.7109375" style="3" customWidth="1"/>
    <col min="7123" max="7123" width="40" style="3" customWidth="1"/>
    <col min="7124" max="7124" width="40.28515625" style="3" customWidth="1"/>
    <col min="7125" max="7125" width="44.7109375" style="3" customWidth="1"/>
    <col min="7126" max="7362" width="11.42578125" style="3"/>
    <col min="7363" max="7363" width="7.28515625" style="3" customWidth="1"/>
    <col min="7364" max="7364" width="18.5703125" style="3" customWidth="1"/>
    <col min="7365" max="7365" width="26" style="3" customWidth="1"/>
    <col min="7366" max="7366" width="33.85546875" style="3" customWidth="1"/>
    <col min="7367" max="7367" width="58.5703125" style="3" customWidth="1"/>
    <col min="7368" max="7368" width="48.5703125" style="3" customWidth="1"/>
    <col min="7369" max="7369" width="23" style="3" customWidth="1"/>
    <col min="7370" max="7370" width="20.7109375" style="3" customWidth="1"/>
    <col min="7371" max="7371" width="15" style="3" customWidth="1"/>
    <col min="7372" max="7372" width="13.85546875" style="3" customWidth="1"/>
    <col min="7373" max="7373" width="13.5703125" style="3" customWidth="1"/>
    <col min="7374" max="7374" width="9.85546875" style="3" customWidth="1"/>
    <col min="7375" max="7375" width="14.85546875" style="3" customWidth="1"/>
    <col min="7376" max="7376" width="17.5703125" style="3" customWidth="1"/>
    <col min="7377" max="7377" width="18" style="3" customWidth="1"/>
    <col min="7378" max="7378" width="11.7109375" style="3" customWidth="1"/>
    <col min="7379" max="7379" width="40" style="3" customWidth="1"/>
    <col min="7380" max="7380" width="40.28515625" style="3" customWidth="1"/>
    <col min="7381" max="7381" width="44.7109375" style="3" customWidth="1"/>
    <col min="7382" max="7618" width="11.42578125" style="3"/>
    <col min="7619" max="7619" width="7.28515625" style="3" customWidth="1"/>
    <col min="7620" max="7620" width="18.5703125" style="3" customWidth="1"/>
    <col min="7621" max="7621" width="26" style="3" customWidth="1"/>
    <col min="7622" max="7622" width="33.85546875" style="3" customWidth="1"/>
    <col min="7623" max="7623" width="58.5703125" style="3" customWidth="1"/>
    <col min="7624" max="7624" width="48.5703125" style="3" customWidth="1"/>
    <col min="7625" max="7625" width="23" style="3" customWidth="1"/>
    <col min="7626" max="7626" width="20.7109375" style="3" customWidth="1"/>
    <col min="7627" max="7627" width="15" style="3" customWidth="1"/>
    <col min="7628" max="7628" width="13.85546875" style="3" customWidth="1"/>
    <col min="7629" max="7629" width="13.5703125" style="3" customWidth="1"/>
    <col min="7630" max="7630" width="9.85546875" style="3" customWidth="1"/>
    <col min="7631" max="7631" width="14.85546875" style="3" customWidth="1"/>
    <col min="7632" max="7632" width="17.5703125" style="3" customWidth="1"/>
    <col min="7633" max="7633" width="18" style="3" customWidth="1"/>
    <col min="7634" max="7634" width="11.7109375" style="3" customWidth="1"/>
    <col min="7635" max="7635" width="40" style="3" customWidth="1"/>
    <col min="7636" max="7636" width="40.28515625" style="3" customWidth="1"/>
    <col min="7637" max="7637" width="44.7109375" style="3" customWidth="1"/>
    <col min="7638" max="7874" width="11.42578125" style="3"/>
    <col min="7875" max="7875" width="7.28515625" style="3" customWidth="1"/>
    <col min="7876" max="7876" width="18.5703125" style="3" customWidth="1"/>
    <col min="7877" max="7877" width="26" style="3" customWidth="1"/>
    <col min="7878" max="7878" width="33.85546875" style="3" customWidth="1"/>
    <col min="7879" max="7879" width="58.5703125" style="3" customWidth="1"/>
    <col min="7880" max="7880" width="48.5703125" style="3" customWidth="1"/>
    <col min="7881" max="7881" width="23" style="3" customWidth="1"/>
    <col min="7882" max="7882" width="20.7109375" style="3" customWidth="1"/>
    <col min="7883" max="7883" width="15" style="3" customWidth="1"/>
    <col min="7884" max="7884" width="13.85546875" style="3" customWidth="1"/>
    <col min="7885" max="7885" width="13.5703125" style="3" customWidth="1"/>
    <col min="7886" max="7886" width="9.85546875" style="3" customWidth="1"/>
    <col min="7887" max="7887" width="14.85546875" style="3" customWidth="1"/>
    <col min="7888" max="7888" width="17.5703125" style="3" customWidth="1"/>
    <col min="7889" max="7889" width="18" style="3" customWidth="1"/>
    <col min="7890" max="7890" width="11.7109375" style="3" customWidth="1"/>
    <col min="7891" max="7891" width="40" style="3" customWidth="1"/>
    <col min="7892" max="7892" width="40.28515625" style="3" customWidth="1"/>
    <col min="7893" max="7893" width="44.7109375" style="3" customWidth="1"/>
    <col min="7894" max="8130" width="11.42578125" style="3"/>
    <col min="8131" max="8131" width="7.28515625" style="3" customWidth="1"/>
    <col min="8132" max="8132" width="18.5703125" style="3" customWidth="1"/>
    <col min="8133" max="8133" width="26" style="3" customWidth="1"/>
    <col min="8134" max="8134" width="33.85546875" style="3" customWidth="1"/>
    <col min="8135" max="8135" width="58.5703125" style="3" customWidth="1"/>
    <col min="8136" max="8136" width="48.5703125" style="3" customWidth="1"/>
    <col min="8137" max="8137" width="23" style="3" customWidth="1"/>
    <col min="8138" max="8138" width="20.7109375" style="3" customWidth="1"/>
    <col min="8139" max="8139" width="15" style="3" customWidth="1"/>
    <col min="8140" max="8140" width="13.85546875" style="3" customWidth="1"/>
    <col min="8141" max="8141" width="13.5703125" style="3" customWidth="1"/>
    <col min="8142" max="8142" width="9.85546875" style="3" customWidth="1"/>
    <col min="8143" max="8143" width="14.85546875" style="3" customWidth="1"/>
    <col min="8144" max="8144" width="17.5703125" style="3" customWidth="1"/>
    <col min="8145" max="8145" width="18" style="3" customWidth="1"/>
    <col min="8146" max="8146" width="11.7109375" style="3" customWidth="1"/>
    <col min="8147" max="8147" width="40" style="3" customWidth="1"/>
    <col min="8148" max="8148" width="40.28515625" style="3" customWidth="1"/>
    <col min="8149" max="8149" width="44.7109375" style="3" customWidth="1"/>
    <col min="8150" max="8386" width="11.42578125" style="3"/>
    <col min="8387" max="8387" width="7.28515625" style="3" customWidth="1"/>
    <col min="8388" max="8388" width="18.5703125" style="3" customWidth="1"/>
    <col min="8389" max="8389" width="26" style="3" customWidth="1"/>
    <col min="8390" max="8390" width="33.85546875" style="3" customWidth="1"/>
    <col min="8391" max="8391" width="58.5703125" style="3" customWidth="1"/>
    <col min="8392" max="8392" width="48.5703125" style="3" customWidth="1"/>
    <col min="8393" max="8393" width="23" style="3" customWidth="1"/>
    <col min="8394" max="8394" width="20.7109375" style="3" customWidth="1"/>
    <col min="8395" max="8395" width="15" style="3" customWidth="1"/>
    <col min="8396" max="8396" width="13.85546875" style="3" customWidth="1"/>
    <col min="8397" max="8397" width="13.5703125" style="3" customWidth="1"/>
    <col min="8398" max="8398" width="9.85546875" style="3" customWidth="1"/>
    <col min="8399" max="8399" width="14.85546875" style="3" customWidth="1"/>
    <col min="8400" max="8400" width="17.5703125" style="3" customWidth="1"/>
    <col min="8401" max="8401" width="18" style="3" customWidth="1"/>
    <col min="8402" max="8402" width="11.7109375" style="3" customWidth="1"/>
    <col min="8403" max="8403" width="40" style="3" customWidth="1"/>
    <col min="8404" max="8404" width="40.28515625" style="3" customWidth="1"/>
    <col min="8405" max="8405" width="44.7109375" style="3" customWidth="1"/>
    <col min="8406" max="8642" width="11.42578125" style="3"/>
    <col min="8643" max="8643" width="7.28515625" style="3" customWidth="1"/>
    <col min="8644" max="8644" width="18.5703125" style="3" customWidth="1"/>
    <col min="8645" max="8645" width="26" style="3" customWidth="1"/>
    <col min="8646" max="8646" width="33.85546875" style="3" customWidth="1"/>
    <col min="8647" max="8647" width="58.5703125" style="3" customWidth="1"/>
    <col min="8648" max="8648" width="48.5703125" style="3" customWidth="1"/>
    <col min="8649" max="8649" width="23" style="3" customWidth="1"/>
    <col min="8650" max="8650" width="20.7109375" style="3" customWidth="1"/>
    <col min="8651" max="8651" width="15" style="3" customWidth="1"/>
    <col min="8652" max="8652" width="13.85546875" style="3" customWidth="1"/>
    <col min="8653" max="8653" width="13.5703125" style="3" customWidth="1"/>
    <col min="8654" max="8654" width="9.85546875" style="3" customWidth="1"/>
    <col min="8655" max="8655" width="14.85546875" style="3" customWidth="1"/>
    <col min="8656" max="8656" width="17.5703125" style="3" customWidth="1"/>
    <col min="8657" max="8657" width="18" style="3" customWidth="1"/>
    <col min="8658" max="8658" width="11.7109375" style="3" customWidth="1"/>
    <col min="8659" max="8659" width="40" style="3" customWidth="1"/>
    <col min="8660" max="8660" width="40.28515625" style="3" customWidth="1"/>
    <col min="8661" max="8661" width="44.7109375" style="3" customWidth="1"/>
    <col min="8662" max="8898" width="11.42578125" style="3"/>
    <col min="8899" max="8899" width="7.28515625" style="3" customWidth="1"/>
    <col min="8900" max="8900" width="18.5703125" style="3" customWidth="1"/>
    <col min="8901" max="8901" width="26" style="3" customWidth="1"/>
    <col min="8902" max="8902" width="33.85546875" style="3" customWidth="1"/>
    <col min="8903" max="8903" width="58.5703125" style="3" customWidth="1"/>
    <col min="8904" max="8904" width="48.5703125" style="3" customWidth="1"/>
    <col min="8905" max="8905" width="23" style="3" customWidth="1"/>
    <col min="8906" max="8906" width="20.7109375" style="3" customWidth="1"/>
    <col min="8907" max="8907" width="15" style="3" customWidth="1"/>
    <col min="8908" max="8908" width="13.85546875" style="3" customWidth="1"/>
    <col min="8909" max="8909" width="13.5703125" style="3" customWidth="1"/>
    <col min="8910" max="8910" width="9.85546875" style="3" customWidth="1"/>
    <col min="8911" max="8911" width="14.85546875" style="3" customWidth="1"/>
    <col min="8912" max="8912" width="17.5703125" style="3" customWidth="1"/>
    <col min="8913" max="8913" width="18" style="3" customWidth="1"/>
    <col min="8914" max="8914" width="11.7109375" style="3" customWidth="1"/>
    <col min="8915" max="8915" width="40" style="3" customWidth="1"/>
    <col min="8916" max="8916" width="40.28515625" style="3" customWidth="1"/>
    <col min="8917" max="8917" width="44.7109375" style="3" customWidth="1"/>
    <col min="8918" max="9154" width="11.42578125" style="3"/>
    <col min="9155" max="9155" width="7.28515625" style="3" customWidth="1"/>
    <col min="9156" max="9156" width="18.5703125" style="3" customWidth="1"/>
    <col min="9157" max="9157" width="26" style="3" customWidth="1"/>
    <col min="9158" max="9158" width="33.85546875" style="3" customWidth="1"/>
    <col min="9159" max="9159" width="58.5703125" style="3" customWidth="1"/>
    <col min="9160" max="9160" width="48.5703125" style="3" customWidth="1"/>
    <col min="9161" max="9161" width="23" style="3" customWidth="1"/>
    <col min="9162" max="9162" width="20.7109375" style="3" customWidth="1"/>
    <col min="9163" max="9163" width="15" style="3" customWidth="1"/>
    <col min="9164" max="9164" width="13.85546875" style="3" customWidth="1"/>
    <col min="9165" max="9165" width="13.5703125" style="3" customWidth="1"/>
    <col min="9166" max="9166" width="9.85546875" style="3" customWidth="1"/>
    <col min="9167" max="9167" width="14.85546875" style="3" customWidth="1"/>
    <col min="9168" max="9168" width="17.5703125" style="3" customWidth="1"/>
    <col min="9169" max="9169" width="18" style="3" customWidth="1"/>
    <col min="9170" max="9170" width="11.7109375" style="3" customWidth="1"/>
    <col min="9171" max="9171" width="40" style="3" customWidth="1"/>
    <col min="9172" max="9172" width="40.28515625" style="3" customWidth="1"/>
    <col min="9173" max="9173" width="44.7109375" style="3" customWidth="1"/>
    <col min="9174" max="9410" width="11.42578125" style="3"/>
    <col min="9411" max="9411" width="7.28515625" style="3" customWidth="1"/>
    <col min="9412" max="9412" width="18.5703125" style="3" customWidth="1"/>
    <col min="9413" max="9413" width="26" style="3" customWidth="1"/>
    <col min="9414" max="9414" width="33.85546875" style="3" customWidth="1"/>
    <col min="9415" max="9415" width="58.5703125" style="3" customWidth="1"/>
    <col min="9416" max="9416" width="48.5703125" style="3" customWidth="1"/>
    <col min="9417" max="9417" width="23" style="3" customWidth="1"/>
    <col min="9418" max="9418" width="20.7109375" style="3" customWidth="1"/>
    <col min="9419" max="9419" width="15" style="3" customWidth="1"/>
    <col min="9420" max="9420" width="13.85546875" style="3" customWidth="1"/>
    <col min="9421" max="9421" width="13.5703125" style="3" customWidth="1"/>
    <col min="9422" max="9422" width="9.85546875" style="3" customWidth="1"/>
    <col min="9423" max="9423" width="14.85546875" style="3" customWidth="1"/>
    <col min="9424" max="9424" width="17.5703125" style="3" customWidth="1"/>
    <col min="9425" max="9425" width="18" style="3" customWidth="1"/>
    <col min="9426" max="9426" width="11.7109375" style="3" customWidth="1"/>
    <col min="9427" max="9427" width="40" style="3" customWidth="1"/>
    <col min="9428" max="9428" width="40.28515625" style="3" customWidth="1"/>
    <col min="9429" max="9429" width="44.7109375" style="3" customWidth="1"/>
    <col min="9430" max="9666" width="11.42578125" style="3"/>
    <col min="9667" max="9667" width="7.28515625" style="3" customWidth="1"/>
    <col min="9668" max="9668" width="18.5703125" style="3" customWidth="1"/>
    <col min="9669" max="9669" width="26" style="3" customWidth="1"/>
    <col min="9670" max="9670" width="33.85546875" style="3" customWidth="1"/>
    <col min="9671" max="9671" width="58.5703125" style="3" customWidth="1"/>
    <col min="9672" max="9672" width="48.5703125" style="3" customWidth="1"/>
    <col min="9673" max="9673" width="23" style="3" customWidth="1"/>
    <col min="9674" max="9674" width="20.7109375" style="3" customWidth="1"/>
    <col min="9675" max="9675" width="15" style="3" customWidth="1"/>
    <col min="9676" max="9676" width="13.85546875" style="3" customWidth="1"/>
    <col min="9677" max="9677" width="13.5703125" style="3" customWidth="1"/>
    <col min="9678" max="9678" width="9.85546875" style="3" customWidth="1"/>
    <col min="9679" max="9679" width="14.85546875" style="3" customWidth="1"/>
    <col min="9680" max="9680" width="17.5703125" style="3" customWidth="1"/>
    <col min="9681" max="9681" width="18" style="3" customWidth="1"/>
    <col min="9682" max="9682" width="11.7109375" style="3" customWidth="1"/>
    <col min="9683" max="9683" width="40" style="3" customWidth="1"/>
    <col min="9684" max="9684" width="40.28515625" style="3" customWidth="1"/>
    <col min="9685" max="9685" width="44.7109375" style="3" customWidth="1"/>
    <col min="9686" max="9922" width="11.42578125" style="3"/>
    <col min="9923" max="9923" width="7.28515625" style="3" customWidth="1"/>
    <col min="9924" max="9924" width="18.5703125" style="3" customWidth="1"/>
    <col min="9925" max="9925" width="26" style="3" customWidth="1"/>
    <col min="9926" max="9926" width="33.85546875" style="3" customWidth="1"/>
    <col min="9927" max="9927" width="58.5703125" style="3" customWidth="1"/>
    <col min="9928" max="9928" width="48.5703125" style="3" customWidth="1"/>
    <col min="9929" max="9929" width="23" style="3" customWidth="1"/>
    <col min="9930" max="9930" width="20.7109375" style="3" customWidth="1"/>
    <col min="9931" max="9931" width="15" style="3" customWidth="1"/>
    <col min="9932" max="9932" width="13.85546875" style="3" customWidth="1"/>
    <col min="9933" max="9933" width="13.5703125" style="3" customWidth="1"/>
    <col min="9934" max="9934" width="9.85546875" style="3" customWidth="1"/>
    <col min="9935" max="9935" width="14.85546875" style="3" customWidth="1"/>
    <col min="9936" max="9936" width="17.5703125" style="3" customWidth="1"/>
    <col min="9937" max="9937" width="18" style="3" customWidth="1"/>
    <col min="9938" max="9938" width="11.7109375" style="3" customWidth="1"/>
    <col min="9939" max="9939" width="40" style="3" customWidth="1"/>
    <col min="9940" max="9940" width="40.28515625" style="3" customWidth="1"/>
    <col min="9941" max="9941" width="44.7109375" style="3" customWidth="1"/>
    <col min="9942" max="10178" width="11.42578125" style="3"/>
    <col min="10179" max="10179" width="7.28515625" style="3" customWidth="1"/>
    <col min="10180" max="10180" width="18.5703125" style="3" customWidth="1"/>
    <col min="10181" max="10181" width="26" style="3" customWidth="1"/>
    <col min="10182" max="10182" width="33.85546875" style="3" customWidth="1"/>
    <col min="10183" max="10183" width="58.5703125" style="3" customWidth="1"/>
    <col min="10184" max="10184" width="48.5703125" style="3" customWidth="1"/>
    <col min="10185" max="10185" width="23" style="3" customWidth="1"/>
    <col min="10186" max="10186" width="20.7109375" style="3" customWidth="1"/>
    <col min="10187" max="10187" width="15" style="3" customWidth="1"/>
    <col min="10188" max="10188" width="13.85546875" style="3" customWidth="1"/>
    <col min="10189" max="10189" width="13.5703125" style="3" customWidth="1"/>
    <col min="10190" max="10190" width="9.85546875" style="3" customWidth="1"/>
    <col min="10191" max="10191" width="14.85546875" style="3" customWidth="1"/>
    <col min="10192" max="10192" width="17.5703125" style="3" customWidth="1"/>
    <col min="10193" max="10193" width="18" style="3" customWidth="1"/>
    <col min="10194" max="10194" width="11.7109375" style="3" customWidth="1"/>
    <col min="10195" max="10195" width="40" style="3" customWidth="1"/>
    <col min="10196" max="10196" width="40.28515625" style="3" customWidth="1"/>
    <col min="10197" max="10197" width="44.7109375" style="3" customWidth="1"/>
    <col min="10198" max="10434" width="11.42578125" style="3"/>
    <col min="10435" max="10435" width="7.28515625" style="3" customWidth="1"/>
    <col min="10436" max="10436" width="18.5703125" style="3" customWidth="1"/>
    <col min="10437" max="10437" width="26" style="3" customWidth="1"/>
    <col min="10438" max="10438" width="33.85546875" style="3" customWidth="1"/>
    <col min="10439" max="10439" width="58.5703125" style="3" customWidth="1"/>
    <col min="10440" max="10440" width="48.5703125" style="3" customWidth="1"/>
    <col min="10441" max="10441" width="23" style="3" customWidth="1"/>
    <col min="10442" max="10442" width="20.7109375" style="3" customWidth="1"/>
    <col min="10443" max="10443" width="15" style="3" customWidth="1"/>
    <col min="10444" max="10444" width="13.85546875" style="3" customWidth="1"/>
    <col min="10445" max="10445" width="13.5703125" style="3" customWidth="1"/>
    <col min="10446" max="10446" width="9.85546875" style="3" customWidth="1"/>
    <col min="10447" max="10447" width="14.85546875" style="3" customWidth="1"/>
    <col min="10448" max="10448" width="17.5703125" style="3" customWidth="1"/>
    <col min="10449" max="10449" width="18" style="3" customWidth="1"/>
    <col min="10450" max="10450" width="11.7109375" style="3" customWidth="1"/>
    <col min="10451" max="10451" width="40" style="3" customWidth="1"/>
    <col min="10452" max="10452" width="40.28515625" style="3" customWidth="1"/>
    <col min="10453" max="10453" width="44.7109375" style="3" customWidth="1"/>
    <col min="10454" max="10690" width="11.42578125" style="3"/>
    <col min="10691" max="10691" width="7.28515625" style="3" customWidth="1"/>
    <col min="10692" max="10692" width="18.5703125" style="3" customWidth="1"/>
    <col min="10693" max="10693" width="26" style="3" customWidth="1"/>
    <col min="10694" max="10694" width="33.85546875" style="3" customWidth="1"/>
    <col min="10695" max="10695" width="58.5703125" style="3" customWidth="1"/>
    <col min="10696" max="10696" width="48.5703125" style="3" customWidth="1"/>
    <col min="10697" max="10697" width="23" style="3" customWidth="1"/>
    <col min="10698" max="10698" width="20.7109375" style="3" customWidth="1"/>
    <col min="10699" max="10699" width="15" style="3" customWidth="1"/>
    <col min="10700" max="10700" width="13.85546875" style="3" customWidth="1"/>
    <col min="10701" max="10701" width="13.5703125" style="3" customWidth="1"/>
    <col min="10702" max="10702" width="9.85546875" style="3" customWidth="1"/>
    <col min="10703" max="10703" width="14.85546875" style="3" customWidth="1"/>
    <col min="10704" max="10704" width="17.5703125" style="3" customWidth="1"/>
    <col min="10705" max="10705" width="18" style="3" customWidth="1"/>
    <col min="10706" max="10706" width="11.7109375" style="3" customWidth="1"/>
    <col min="10707" max="10707" width="40" style="3" customWidth="1"/>
    <col min="10708" max="10708" width="40.28515625" style="3" customWidth="1"/>
    <col min="10709" max="10709" width="44.7109375" style="3" customWidth="1"/>
    <col min="10710" max="10946" width="11.42578125" style="3"/>
    <col min="10947" max="10947" width="7.28515625" style="3" customWidth="1"/>
    <col min="10948" max="10948" width="18.5703125" style="3" customWidth="1"/>
    <col min="10949" max="10949" width="26" style="3" customWidth="1"/>
    <col min="10950" max="10950" width="33.85546875" style="3" customWidth="1"/>
    <col min="10951" max="10951" width="58.5703125" style="3" customWidth="1"/>
    <col min="10952" max="10952" width="48.5703125" style="3" customWidth="1"/>
    <col min="10953" max="10953" width="23" style="3" customWidth="1"/>
    <col min="10954" max="10954" width="20.7109375" style="3" customWidth="1"/>
    <col min="10955" max="10955" width="15" style="3" customWidth="1"/>
    <col min="10956" max="10956" width="13.85546875" style="3" customWidth="1"/>
    <col min="10957" max="10957" width="13.5703125" style="3" customWidth="1"/>
    <col min="10958" max="10958" width="9.85546875" style="3" customWidth="1"/>
    <col min="10959" max="10959" width="14.85546875" style="3" customWidth="1"/>
    <col min="10960" max="10960" width="17.5703125" style="3" customWidth="1"/>
    <col min="10961" max="10961" width="18" style="3" customWidth="1"/>
    <col min="10962" max="10962" width="11.7109375" style="3" customWidth="1"/>
    <col min="10963" max="10963" width="40" style="3" customWidth="1"/>
    <col min="10964" max="10964" width="40.28515625" style="3" customWidth="1"/>
    <col min="10965" max="10965" width="44.7109375" style="3" customWidth="1"/>
    <col min="10966" max="11202" width="11.42578125" style="3"/>
    <col min="11203" max="11203" width="7.28515625" style="3" customWidth="1"/>
    <col min="11204" max="11204" width="18.5703125" style="3" customWidth="1"/>
    <col min="11205" max="11205" width="26" style="3" customWidth="1"/>
    <col min="11206" max="11206" width="33.85546875" style="3" customWidth="1"/>
    <col min="11207" max="11207" width="58.5703125" style="3" customWidth="1"/>
    <col min="11208" max="11208" width="48.5703125" style="3" customWidth="1"/>
    <col min="11209" max="11209" width="23" style="3" customWidth="1"/>
    <col min="11210" max="11210" width="20.7109375" style="3" customWidth="1"/>
    <col min="11211" max="11211" width="15" style="3" customWidth="1"/>
    <col min="11212" max="11212" width="13.85546875" style="3" customWidth="1"/>
    <col min="11213" max="11213" width="13.5703125" style="3" customWidth="1"/>
    <col min="11214" max="11214" width="9.85546875" style="3" customWidth="1"/>
    <col min="11215" max="11215" width="14.85546875" style="3" customWidth="1"/>
    <col min="11216" max="11216" width="17.5703125" style="3" customWidth="1"/>
    <col min="11217" max="11217" width="18" style="3" customWidth="1"/>
    <col min="11218" max="11218" width="11.7109375" style="3" customWidth="1"/>
    <col min="11219" max="11219" width="40" style="3" customWidth="1"/>
    <col min="11220" max="11220" width="40.28515625" style="3" customWidth="1"/>
    <col min="11221" max="11221" width="44.7109375" style="3" customWidth="1"/>
    <col min="11222" max="11458" width="11.42578125" style="3"/>
    <col min="11459" max="11459" width="7.28515625" style="3" customWidth="1"/>
    <col min="11460" max="11460" width="18.5703125" style="3" customWidth="1"/>
    <col min="11461" max="11461" width="26" style="3" customWidth="1"/>
    <col min="11462" max="11462" width="33.85546875" style="3" customWidth="1"/>
    <col min="11463" max="11463" width="58.5703125" style="3" customWidth="1"/>
    <col min="11464" max="11464" width="48.5703125" style="3" customWidth="1"/>
    <col min="11465" max="11465" width="23" style="3" customWidth="1"/>
    <col min="11466" max="11466" width="20.7109375" style="3" customWidth="1"/>
    <col min="11467" max="11467" width="15" style="3" customWidth="1"/>
    <col min="11468" max="11468" width="13.85546875" style="3" customWidth="1"/>
    <col min="11469" max="11469" width="13.5703125" style="3" customWidth="1"/>
    <col min="11470" max="11470" width="9.85546875" style="3" customWidth="1"/>
    <col min="11471" max="11471" width="14.85546875" style="3" customWidth="1"/>
    <col min="11472" max="11472" width="17.5703125" style="3" customWidth="1"/>
    <col min="11473" max="11473" width="18" style="3" customWidth="1"/>
    <col min="11474" max="11474" width="11.7109375" style="3" customWidth="1"/>
    <col min="11475" max="11475" width="40" style="3" customWidth="1"/>
    <col min="11476" max="11476" width="40.28515625" style="3" customWidth="1"/>
    <col min="11477" max="11477" width="44.7109375" style="3" customWidth="1"/>
    <col min="11478" max="11714" width="11.42578125" style="3"/>
    <col min="11715" max="11715" width="7.28515625" style="3" customWidth="1"/>
    <col min="11716" max="11716" width="18.5703125" style="3" customWidth="1"/>
    <col min="11717" max="11717" width="26" style="3" customWidth="1"/>
    <col min="11718" max="11718" width="33.85546875" style="3" customWidth="1"/>
    <col min="11719" max="11719" width="58.5703125" style="3" customWidth="1"/>
    <col min="11720" max="11720" width="48.5703125" style="3" customWidth="1"/>
    <col min="11721" max="11721" width="23" style="3" customWidth="1"/>
    <col min="11722" max="11722" width="20.7109375" style="3" customWidth="1"/>
    <col min="11723" max="11723" width="15" style="3" customWidth="1"/>
    <col min="11724" max="11724" width="13.85546875" style="3" customWidth="1"/>
    <col min="11725" max="11725" width="13.5703125" style="3" customWidth="1"/>
    <col min="11726" max="11726" width="9.85546875" style="3" customWidth="1"/>
    <col min="11727" max="11727" width="14.85546875" style="3" customWidth="1"/>
    <col min="11728" max="11728" width="17.5703125" style="3" customWidth="1"/>
    <col min="11729" max="11729" width="18" style="3" customWidth="1"/>
    <col min="11730" max="11730" width="11.7109375" style="3" customWidth="1"/>
    <col min="11731" max="11731" width="40" style="3" customWidth="1"/>
    <col min="11732" max="11732" width="40.28515625" style="3" customWidth="1"/>
    <col min="11733" max="11733" width="44.7109375" style="3" customWidth="1"/>
    <col min="11734" max="11970" width="11.42578125" style="3"/>
    <col min="11971" max="11971" width="7.28515625" style="3" customWidth="1"/>
    <col min="11972" max="11972" width="18.5703125" style="3" customWidth="1"/>
    <col min="11973" max="11973" width="26" style="3" customWidth="1"/>
    <col min="11974" max="11974" width="33.85546875" style="3" customWidth="1"/>
    <col min="11975" max="11975" width="58.5703125" style="3" customWidth="1"/>
    <col min="11976" max="11976" width="48.5703125" style="3" customWidth="1"/>
    <col min="11977" max="11977" width="23" style="3" customWidth="1"/>
    <col min="11978" max="11978" width="20.7109375" style="3" customWidth="1"/>
    <col min="11979" max="11979" width="15" style="3" customWidth="1"/>
    <col min="11980" max="11980" width="13.85546875" style="3" customWidth="1"/>
    <col min="11981" max="11981" width="13.5703125" style="3" customWidth="1"/>
    <col min="11982" max="11982" width="9.85546875" style="3" customWidth="1"/>
    <col min="11983" max="11983" width="14.85546875" style="3" customWidth="1"/>
    <col min="11984" max="11984" width="17.5703125" style="3" customWidth="1"/>
    <col min="11985" max="11985" width="18" style="3" customWidth="1"/>
    <col min="11986" max="11986" width="11.7109375" style="3" customWidth="1"/>
    <col min="11987" max="11987" width="40" style="3" customWidth="1"/>
    <col min="11988" max="11988" width="40.28515625" style="3" customWidth="1"/>
    <col min="11989" max="11989" width="44.7109375" style="3" customWidth="1"/>
    <col min="11990" max="12226" width="11.42578125" style="3"/>
    <col min="12227" max="12227" width="7.28515625" style="3" customWidth="1"/>
    <col min="12228" max="12228" width="18.5703125" style="3" customWidth="1"/>
    <col min="12229" max="12229" width="26" style="3" customWidth="1"/>
    <col min="12230" max="12230" width="33.85546875" style="3" customWidth="1"/>
    <col min="12231" max="12231" width="58.5703125" style="3" customWidth="1"/>
    <col min="12232" max="12232" width="48.5703125" style="3" customWidth="1"/>
    <col min="12233" max="12233" width="23" style="3" customWidth="1"/>
    <col min="12234" max="12234" width="20.7109375" style="3" customWidth="1"/>
    <col min="12235" max="12235" width="15" style="3" customWidth="1"/>
    <col min="12236" max="12236" width="13.85546875" style="3" customWidth="1"/>
    <col min="12237" max="12237" width="13.5703125" style="3" customWidth="1"/>
    <col min="12238" max="12238" width="9.85546875" style="3" customWidth="1"/>
    <col min="12239" max="12239" width="14.85546875" style="3" customWidth="1"/>
    <col min="12240" max="12240" width="17.5703125" style="3" customWidth="1"/>
    <col min="12241" max="12241" width="18" style="3" customWidth="1"/>
    <col min="12242" max="12242" width="11.7109375" style="3" customWidth="1"/>
    <col min="12243" max="12243" width="40" style="3" customWidth="1"/>
    <col min="12244" max="12244" width="40.28515625" style="3" customWidth="1"/>
    <col min="12245" max="12245" width="44.7109375" style="3" customWidth="1"/>
    <col min="12246" max="12482" width="11.42578125" style="3"/>
    <col min="12483" max="12483" width="7.28515625" style="3" customWidth="1"/>
    <col min="12484" max="12484" width="18.5703125" style="3" customWidth="1"/>
    <col min="12485" max="12485" width="26" style="3" customWidth="1"/>
    <col min="12486" max="12486" width="33.85546875" style="3" customWidth="1"/>
    <col min="12487" max="12487" width="58.5703125" style="3" customWidth="1"/>
    <col min="12488" max="12488" width="48.5703125" style="3" customWidth="1"/>
    <col min="12489" max="12489" width="23" style="3" customWidth="1"/>
    <col min="12490" max="12490" width="20.7109375" style="3" customWidth="1"/>
    <col min="12491" max="12491" width="15" style="3" customWidth="1"/>
    <col min="12492" max="12492" width="13.85546875" style="3" customWidth="1"/>
    <col min="12493" max="12493" width="13.5703125" style="3" customWidth="1"/>
    <col min="12494" max="12494" width="9.85546875" style="3" customWidth="1"/>
    <col min="12495" max="12495" width="14.85546875" style="3" customWidth="1"/>
    <col min="12496" max="12496" width="17.5703125" style="3" customWidth="1"/>
    <col min="12497" max="12497" width="18" style="3" customWidth="1"/>
    <col min="12498" max="12498" width="11.7109375" style="3" customWidth="1"/>
    <col min="12499" max="12499" width="40" style="3" customWidth="1"/>
    <col min="12500" max="12500" width="40.28515625" style="3" customWidth="1"/>
    <col min="12501" max="12501" width="44.7109375" style="3" customWidth="1"/>
    <col min="12502" max="12738" width="11.42578125" style="3"/>
    <col min="12739" max="12739" width="7.28515625" style="3" customWidth="1"/>
    <col min="12740" max="12740" width="18.5703125" style="3" customWidth="1"/>
    <col min="12741" max="12741" width="26" style="3" customWidth="1"/>
    <col min="12742" max="12742" width="33.85546875" style="3" customWidth="1"/>
    <col min="12743" max="12743" width="58.5703125" style="3" customWidth="1"/>
    <col min="12744" max="12744" width="48.5703125" style="3" customWidth="1"/>
    <col min="12745" max="12745" width="23" style="3" customWidth="1"/>
    <col min="12746" max="12746" width="20.7109375" style="3" customWidth="1"/>
    <col min="12747" max="12747" width="15" style="3" customWidth="1"/>
    <col min="12748" max="12748" width="13.85546875" style="3" customWidth="1"/>
    <col min="12749" max="12749" width="13.5703125" style="3" customWidth="1"/>
    <col min="12750" max="12750" width="9.85546875" style="3" customWidth="1"/>
    <col min="12751" max="12751" width="14.85546875" style="3" customWidth="1"/>
    <col min="12752" max="12752" width="17.5703125" style="3" customWidth="1"/>
    <col min="12753" max="12753" width="18" style="3" customWidth="1"/>
    <col min="12754" max="12754" width="11.7109375" style="3" customWidth="1"/>
    <col min="12755" max="12755" width="40" style="3" customWidth="1"/>
    <col min="12756" max="12756" width="40.28515625" style="3" customWidth="1"/>
    <col min="12757" max="12757" width="44.7109375" style="3" customWidth="1"/>
    <col min="12758" max="12994" width="11.42578125" style="3"/>
    <col min="12995" max="12995" width="7.28515625" style="3" customWidth="1"/>
    <col min="12996" max="12996" width="18.5703125" style="3" customWidth="1"/>
    <col min="12997" max="12997" width="26" style="3" customWidth="1"/>
    <col min="12998" max="12998" width="33.85546875" style="3" customWidth="1"/>
    <col min="12999" max="12999" width="58.5703125" style="3" customWidth="1"/>
    <col min="13000" max="13000" width="48.5703125" style="3" customWidth="1"/>
    <col min="13001" max="13001" width="23" style="3" customWidth="1"/>
    <col min="13002" max="13002" width="20.7109375" style="3" customWidth="1"/>
    <col min="13003" max="13003" width="15" style="3" customWidth="1"/>
    <col min="13004" max="13004" width="13.85546875" style="3" customWidth="1"/>
    <col min="13005" max="13005" width="13.5703125" style="3" customWidth="1"/>
    <col min="13006" max="13006" width="9.85546875" style="3" customWidth="1"/>
    <col min="13007" max="13007" width="14.85546875" style="3" customWidth="1"/>
    <col min="13008" max="13008" width="17.5703125" style="3" customWidth="1"/>
    <col min="13009" max="13009" width="18" style="3" customWidth="1"/>
    <col min="13010" max="13010" width="11.7109375" style="3" customWidth="1"/>
    <col min="13011" max="13011" width="40" style="3" customWidth="1"/>
    <col min="13012" max="13012" width="40.28515625" style="3" customWidth="1"/>
    <col min="13013" max="13013" width="44.7109375" style="3" customWidth="1"/>
    <col min="13014" max="13250" width="11.42578125" style="3"/>
    <col min="13251" max="13251" width="7.28515625" style="3" customWidth="1"/>
    <col min="13252" max="13252" width="18.5703125" style="3" customWidth="1"/>
    <col min="13253" max="13253" width="26" style="3" customWidth="1"/>
    <col min="13254" max="13254" width="33.85546875" style="3" customWidth="1"/>
    <col min="13255" max="13255" width="58.5703125" style="3" customWidth="1"/>
    <col min="13256" max="13256" width="48.5703125" style="3" customWidth="1"/>
    <col min="13257" max="13257" width="23" style="3" customWidth="1"/>
    <col min="13258" max="13258" width="20.7109375" style="3" customWidth="1"/>
    <col min="13259" max="13259" width="15" style="3" customWidth="1"/>
    <col min="13260" max="13260" width="13.85546875" style="3" customWidth="1"/>
    <col min="13261" max="13261" width="13.5703125" style="3" customWidth="1"/>
    <col min="13262" max="13262" width="9.85546875" style="3" customWidth="1"/>
    <col min="13263" max="13263" width="14.85546875" style="3" customWidth="1"/>
    <col min="13264" max="13264" width="17.5703125" style="3" customWidth="1"/>
    <col min="13265" max="13265" width="18" style="3" customWidth="1"/>
    <col min="13266" max="13266" width="11.7109375" style="3" customWidth="1"/>
    <col min="13267" max="13267" width="40" style="3" customWidth="1"/>
    <col min="13268" max="13268" width="40.28515625" style="3" customWidth="1"/>
    <col min="13269" max="13269" width="44.7109375" style="3" customWidth="1"/>
    <col min="13270" max="13506" width="11.42578125" style="3"/>
    <col min="13507" max="13507" width="7.28515625" style="3" customWidth="1"/>
    <col min="13508" max="13508" width="18.5703125" style="3" customWidth="1"/>
    <col min="13509" max="13509" width="26" style="3" customWidth="1"/>
    <col min="13510" max="13510" width="33.85546875" style="3" customWidth="1"/>
    <col min="13511" max="13511" width="58.5703125" style="3" customWidth="1"/>
    <col min="13512" max="13512" width="48.5703125" style="3" customWidth="1"/>
    <col min="13513" max="13513" width="23" style="3" customWidth="1"/>
    <col min="13514" max="13514" width="20.7109375" style="3" customWidth="1"/>
    <col min="13515" max="13515" width="15" style="3" customWidth="1"/>
    <col min="13516" max="13516" width="13.85546875" style="3" customWidth="1"/>
    <col min="13517" max="13517" width="13.5703125" style="3" customWidth="1"/>
    <col min="13518" max="13518" width="9.85546875" style="3" customWidth="1"/>
    <col min="13519" max="13519" width="14.85546875" style="3" customWidth="1"/>
    <col min="13520" max="13520" width="17.5703125" style="3" customWidth="1"/>
    <col min="13521" max="13521" width="18" style="3" customWidth="1"/>
    <col min="13522" max="13522" width="11.7109375" style="3" customWidth="1"/>
    <col min="13523" max="13523" width="40" style="3" customWidth="1"/>
    <col min="13524" max="13524" width="40.28515625" style="3" customWidth="1"/>
    <col min="13525" max="13525" width="44.7109375" style="3" customWidth="1"/>
    <col min="13526" max="13762" width="11.42578125" style="3"/>
    <col min="13763" max="13763" width="7.28515625" style="3" customWidth="1"/>
    <col min="13764" max="13764" width="18.5703125" style="3" customWidth="1"/>
    <col min="13765" max="13765" width="26" style="3" customWidth="1"/>
    <col min="13766" max="13766" width="33.85546875" style="3" customWidth="1"/>
    <col min="13767" max="13767" width="58.5703125" style="3" customWidth="1"/>
    <col min="13768" max="13768" width="48.5703125" style="3" customWidth="1"/>
    <col min="13769" max="13769" width="23" style="3" customWidth="1"/>
    <col min="13770" max="13770" width="20.7109375" style="3" customWidth="1"/>
    <col min="13771" max="13771" width="15" style="3" customWidth="1"/>
    <col min="13772" max="13772" width="13.85546875" style="3" customWidth="1"/>
    <col min="13773" max="13773" width="13.5703125" style="3" customWidth="1"/>
    <col min="13774" max="13774" width="9.85546875" style="3" customWidth="1"/>
    <col min="13775" max="13775" width="14.85546875" style="3" customWidth="1"/>
    <col min="13776" max="13776" width="17.5703125" style="3" customWidth="1"/>
    <col min="13777" max="13777" width="18" style="3" customWidth="1"/>
    <col min="13778" max="13778" width="11.7109375" style="3" customWidth="1"/>
    <col min="13779" max="13779" width="40" style="3" customWidth="1"/>
    <col min="13780" max="13780" width="40.28515625" style="3" customWidth="1"/>
    <col min="13781" max="13781" width="44.7109375" style="3" customWidth="1"/>
    <col min="13782" max="14018" width="11.42578125" style="3"/>
    <col min="14019" max="14019" width="7.28515625" style="3" customWidth="1"/>
    <col min="14020" max="14020" width="18.5703125" style="3" customWidth="1"/>
    <col min="14021" max="14021" width="26" style="3" customWidth="1"/>
    <col min="14022" max="14022" width="33.85546875" style="3" customWidth="1"/>
    <col min="14023" max="14023" width="58.5703125" style="3" customWidth="1"/>
    <col min="14024" max="14024" width="48.5703125" style="3" customWidth="1"/>
    <col min="14025" max="14025" width="23" style="3" customWidth="1"/>
    <col min="14026" max="14026" width="20.7109375" style="3" customWidth="1"/>
    <col min="14027" max="14027" width="15" style="3" customWidth="1"/>
    <col min="14028" max="14028" width="13.85546875" style="3" customWidth="1"/>
    <col min="14029" max="14029" width="13.5703125" style="3" customWidth="1"/>
    <col min="14030" max="14030" width="9.85546875" style="3" customWidth="1"/>
    <col min="14031" max="14031" width="14.85546875" style="3" customWidth="1"/>
    <col min="14032" max="14032" width="17.5703125" style="3" customWidth="1"/>
    <col min="14033" max="14033" width="18" style="3" customWidth="1"/>
    <col min="14034" max="14034" width="11.7109375" style="3" customWidth="1"/>
    <col min="14035" max="14035" width="40" style="3" customWidth="1"/>
    <col min="14036" max="14036" width="40.28515625" style="3" customWidth="1"/>
    <col min="14037" max="14037" width="44.7109375" style="3" customWidth="1"/>
    <col min="14038" max="14274" width="11.42578125" style="3"/>
    <col min="14275" max="14275" width="7.28515625" style="3" customWidth="1"/>
    <col min="14276" max="14276" width="18.5703125" style="3" customWidth="1"/>
    <col min="14277" max="14277" width="26" style="3" customWidth="1"/>
    <col min="14278" max="14278" width="33.85546875" style="3" customWidth="1"/>
    <col min="14279" max="14279" width="58.5703125" style="3" customWidth="1"/>
    <col min="14280" max="14280" width="48.5703125" style="3" customWidth="1"/>
    <col min="14281" max="14281" width="23" style="3" customWidth="1"/>
    <col min="14282" max="14282" width="20.7109375" style="3" customWidth="1"/>
    <col min="14283" max="14283" width="15" style="3" customWidth="1"/>
    <col min="14284" max="14284" width="13.85546875" style="3" customWidth="1"/>
    <col min="14285" max="14285" width="13.5703125" style="3" customWidth="1"/>
    <col min="14286" max="14286" width="9.85546875" style="3" customWidth="1"/>
    <col min="14287" max="14287" width="14.85546875" style="3" customWidth="1"/>
    <col min="14288" max="14288" width="17.5703125" style="3" customWidth="1"/>
    <col min="14289" max="14289" width="18" style="3" customWidth="1"/>
    <col min="14290" max="14290" width="11.7109375" style="3" customWidth="1"/>
    <col min="14291" max="14291" width="40" style="3" customWidth="1"/>
    <col min="14292" max="14292" width="40.28515625" style="3" customWidth="1"/>
    <col min="14293" max="14293" width="44.7109375" style="3" customWidth="1"/>
    <col min="14294" max="14530" width="11.42578125" style="3"/>
    <col min="14531" max="14531" width="7.28515625" style="3" customWidth="1"/>
    <col min="14532" max="14532" width="18.5703125" style="3" customWidth="1"/>
    <col min="14533" max="14533" width="26" style="3" customWidth="1"/>
    <col min="14534" max="14534" width="33.85546875" style="3" customWidth="1"/>
    <col min="14535" max="14535" width="58.5703125" style="3" customWidth="1"/>
    <col min="14536" max="14536" width="48.5703125" style="3" customWidth="1"/>
    <col min="14537" max="14537" width="23" style="3" customWidth="1"/>
    <col min="14538" max="14538" width="20.7109375" style="3" customWidth="1"/>
    <col min="14539" max="14539" width="15" style="3" customWidth="1"/>
    <col min="14540" max="14540" width="13.85546875" style="3" customWidth="1"/>
    <col min="14541" max="14541" width="13.5703125" style="3" customWidth="1"/>
    <col min="14542" max="14542" width="9.85546875" style="3" customWidth="1"/>
    <col min="14543" max="14543" width="14.85546875" style="3" customWidth="1"/>
    <col min="14544" max="14544" width="17.5703125" style="3" customWidth="1"/>
    <col min="14545" max="14545" width="18" style="3" customWidth="1"/>
    <col min="14546" max="14546" width="11.7109375" style="3" customWidth="1"/>
    <col min="14547" max="14547" width="40" style="3" customWidth="1"/>
    <col min="14548" max="14548" width="40.28515625" style="3" customWidth="1"/>
    <col min="14549" max="14549" width="44.7109375" style="3" customWidth="1"/>
    <col min="14550" max="14786" width="11.42578125" style="3"/>
    <col min="14787" max="14787" width="7.28515625" style="3" customWidth="1"/>
    <col min="14788" max="14788" width="18.5703125" style="3" customWidth="1"/>
    <col min="14789" max="14789" width="26" style="3" customWidth="1"/>
    <col min="14790" max="14790" width="33.85546875" style="3" customWidth="1"/>
    <col min="14791" max="14791" width="58.5703125" style="3" customWidth="1"/>
    <col min="14792" max="14792" width="48.5703125" style="3" customWidth="1"/>
    <col min="14793" max="14793" width="23" style="3" customWidth="1"/>
    <col min="14794" max="14794" width="20.7109375" style="3" customWidth="1"/>
    <col min="14795" max="14795" width="15" style="3" customWidth="1"/>
    <col min="14796" max="14796" width="13.85546875" style="3" customWidth="1"/>
    <col min="14797" max="14797" width="13.5703125" style="3" customWidth="1"/>
    <col min="14798" max="14798" width="9.85546875" style="3" customWidth="1"/>
    <col min="14799" max="14799" width="14.85546875" style="3" customWidth="1"/>
    <col min="14800" max="14800" width="17.5703125" style="3" customWidth="1"/>
    <col min="14801" max="14801" width="18" style="3" customWidth="1"/>
    <col min="14802" max="14802" width="11.7109375" style="3" customWidth="1"/>
    <col min="14803" max="14803" width="40" style="3" customWidth="1"/>
    <col min="14804" max="14804" width="40.28515625" style="3" customWidth="1"/>
    <col min="14805" max="14805" width="44.7109375" style="3" customWidth="1"/>
    <col min="14806" max="15042" width="11.42578125" style="3"/>
    <col min="15043" max="15043" width="7.28515625" style="3" customWidth="1"/>
    <col min="15044" max="15044" width="18.5703125" style="3" customWidth="1"/>
    <col min="15045" max="15045" width="26" style="3" customWidth="1"/>
    <col min="15046" max="15046" width="33.85546875" style="3" customWidth="1"/>
    <col min="15047" max="15047" width="58.5703125" style="3" customWidth="1"/>
    <col min="15048" max="15048" width="48.5703125" style="3" customWidth="1"/>
    <col min="15049" max="15049" width="23" style="3" customWidth="1"/>
    <col min="15050" max="15050" width="20.7109375" style="3" customWidth="1"/>
    <col min="15051" max="15051" width="15" style="3" customWidth="1"/>
    <col min="15052" max="15052" width="13.85546875" style="3" customWidth="1"/>
    <col min="15053" max="15053" width="13.5703125" style="3" customWidth="1"/>
    <col min="15054" max="15054" width="9.85546875" style="3" customWidth="1"/>
    <col min="15055" max="15055" width="14.85546875" style="3" customWidth="1"/>
    <col min="15056" max="15056" width="17.5703125" style="3" customWidth="1"/>
    <col min="15057" max="15057" width="18" style="3" customWidth="1"/>
    <col min="15058" max="15058" width="11.7109375" style="3" customWidth="1"/>
    <col min="15059" max="15059" width="40" style="3" customWidth="1"/>
    <col min="15060" max="15060" width="40.28515625" style="3" customWidth="1"/>
    <col min="15061" max="15061" width="44.7109375" style="3" customWidth="1"/>
    <col min="15062" max="15298" width="11.42578125" style="3"/>
    <col min="15299" max="15299" width="7.28515625" style="3" customWidth="1"/>
    <col min="15300" max="15300" width="18.5703125" style="3" customWidth="1"/>
    <col min="15301" max="15301" width="26" style="3" customWidth="1"/>
    <col min="15302" max="15302" width="33.85546875" style="3" customWidth="1"/>
    <col min="15303" max="15303" width="58.5703125" style="3" customWidth="1"/>
    <col min="15304" max="15304" width="48.5703125" style="3" customWidth="1"/>
    <col min="15305" max="15305" width="23" style="3" customWidth="1"/>
    <col min="15306" max="15306" width="20.7109375" style="3" customWidth="1"/>
    <col min="15307" max="15307" width="15" style="3" customWidth="1"/>
    <col min="15308" max="15308" width="13.85546875" style="3" customWidth="1"/>
    <col min="15309" max="15309" width="13.5703125" style="3" customWidth="1"/>
    <col min="15310" max="15310" width="9.85546875" style="3" customWidth="1"/>
    <col min="15311" max="15311" width="14.85546875" style="3" customWidth="1"/>
    <col min="15312" max="15312" width="17.5703125" style="3" customWidth="1"/>
    <col min="15313" max="15313" width="18" style="3" customWidth="1"/>
    <col min="15314" max="15314" width="11.7109375" style="3" customWidth="1"/>
    <col min="15315" max="15315" width="40" style="3" customWidth="1"/>
    <col min="15316" max="15316" width="40.28515625" style="3" customWidth="1"/>
    <col min="15317" max="15317" width="44.7109375" style="3" customWidth="1"/>
    <col min="15318" max="15554" width="11.42578125" style="3"/>
    <col min="15555" max="15555" width="7.28515625" style="3" customWidth="1"/>
    <col min="15556" max="15556" width="18.5703125" style="3" customWidth="1"/>
    <col min="15557" max="15557" width="26" style="3" customWidth="1"/>
    <col min="15558" max="15558" width="33.85546875" style="3" customWidth="1"/>
    <col min="15559" max="15559" width="58.5703125" style="3" customWidth="1"/>
    <col min="15560" max="15560" width="48.5703125" style="3" customWidth="1"/>
    <col min="15561" max="15561" width="23" style="3" customWidth="1"/>
    <col min="15562" max="15562" width="20.7109375" style="3" customWidth="1"/>
    <col min="15563" max="15563" width="15" style="3" customWidth="1"/>
    <col min="15564" max="15564" width="13.85546875" style="3" customWidth="1"/>
    <col min="15565" max="15565" width="13.5703125" style="3" customWidth="1"/>
    <col min="15566" max="15566" width="9.85546875" style="3" customWidth="1"/>
    <col min="15567" max="15567" width="14.85546875" style="3" customWidth="1"/>
    <col min="15568" max="15568" width="17.5703125" style="3" customWidth="1"/>
    <col min="15569" max="15569" width="18" style="3" customWidth="1"/>
    <col min="15570" max="15570" width="11.7109375" style="3" customWidth="1"/>
    <col min="15571" max="15571" width="40" style="3" customWidth="1"/>
    <col min="15572" max="15572" width="40.28515625" style="3" customWidth="1"/>
    <col min="15573" max="15573" width="44.7109375" style="3" customWidth="1"/>
    <col min="15574" max="15810" width="11.42578125" style="3"/>
    <col min="15811" max="15811" width="7.28515625" style="3" customWidth="1"/>
    <col min="15812" max="15812" width="18.5703125" style="3" customWidth="1"/>
    <col min="15813" max="15813" width="26" style="3" customWidth="1"/>
    <col min="15814" max="15814" width="33.85546875" style="3" customWidth="1"/>
    <col min="15815" max="15815" width="58.5703125" style="3" customWidth="1"/>
    <col min="15816" max="15816" width="48.5703125" style="3" customWidth="1"/>
    <col min="15817" max="15817" width="23" style="3" customWidth="1"/>
    <col min="15818" max="15818" width="20.7109375" style="3" customWidth="1"/>
    <col min="15819" max="15819" width="15" style="3" customWidth="1"/>
    <col min="15820" max="15820" width="13.85546875" style="3" customWidth="1"/>
    <col min="15821" max="15821" width="13.5703125" style="3" customWidth="1"/>
    <col min="15822" max="15822" width="9.85546875" style="3" customWidth="1"/>
    <col min="15823" max="15823" width="14.85546875" style="3" customWidth="1"/>
    <col min="15824" max="15824" width="17.5703125" style="3" customWidth="1"/>
    <col min="15825" max="15825" width="18" style="3" customWidth="1"/>
    <col min="15826" max="15826" width="11.7109375" style="3" customWidth="1"/>
    <col min="15827" max="15827" width="40" style="3" customWidth="1"/>
    <col min="15828" max="15828" width="40.28515625" style="3" customWidth="1"/>
    <col min="15829" max="15829" width="44.7109375" style="3" customWidth="1"/>
    <col min="15830" max="16066" width="11.42578125" style="3"/>
    <col min="16067" max="16067" width="7.28515625" style="3" customWidth="1"/>
    <col min="16068" max="16068" width="18.5703125" style="3" customWidth="1"/>
    <col min="16069" max="16069" width="26" style="3" customWidth="1"/>
    <col min="16070" max="16070" width="33.85546875" style="3" customWidth="1"/>
    <col min="16071" max="16071" width="58.5703125" style="3" customWidth="1"/>
    <col min="16072" max="16072" width="48.5703125" style="3" customWidth="1"/>
    <col min="16073" max="16073" width="23" style="3" customWidth="1"/>
    <col min="16074" max="16074" width="20.7109375" style="3" customWidth="1"/>
    <col min="16075" max="16075" width="15" style="3" customWidth="1"/>
    <col min="16076" max="16076" width="13.85546875" style="3" customWidth="1"/>
    <col min="16077" max="16077" width="13.5703125" style="3" customWidth="1"/>
    <col min="16078" max="16078" width="9.85546875" style="3" customWidth="1"/>
    <col min="16079" max="16079" width="14.85546875" style="3" customWidth="1"/>
    <col min="16080" max="16080" width="17.5703125" style="3" customWidth="1"/>
    <col min="16081" max="16081" width="18" style="3" customWidth="1"/>
    <col min="16082" max="16082" width="11.7109375" style="3" customWidth="1"/>
    <col min="16083" max="16083" width="40" style="3" customWidth="1"/>
    <col min="16084" max="16084" width="40.28515625" style="3" customWidth="1"/>
    <col min="16085" max="16085" width="44.7109375" style="3" customWidth="1"/>
    <col min="16086" max="16322" width="11.42578125" style="3"/>
    <col min="16323" max="16323" width="7.28515625" style="3" customWidth="1"/>
    <col min="16324" max="16324" width="18.5703125" style="3" customWidth="1"/>
    <col min="16325" max="16325" width="26" style="3" customWidth="1"/>
    <col min="16326" max="16326" width="33.85546875" style="3" customWidth="1"/>
    <col min="16327" max="16327" width="58.5703125" style="3" customWidth="1"/>
    <col min="16328" max="16328" width="48.5703125" style="3" customWidth="1"/>
    <col min="16329" max="16329" width="23" style="3" customWidth="1"/>
    <col min="16330" max="16330" width="20.7109375" style="3" customWidth="1"/>
    <col min="16331" max="16331" width="15" style="3" customWidth="1"/>
    <col min="16332" max="16332" width="13.85546875" style="3" customWidth="1"/>
    <col min="16333" max="16333" width="13.5703125" style="3" customWidth="1"/>
    <col min="16334" max="16334" width="9.85546875" style="3" customWidth="1"/>
    <col min="16335" max="16335" width="14.85546875" style="3" customWidth="1"/>
    <col min="16336" max="16336" width="17.5703125" style="3" customWidth="1"/>
    <col min="16337" max="16337" width="18" style="3" customWidth="1"/>
    <col min="16338" max="16338" width="11.7109375" style="3" customWidth="1"/>
    <col min="16339" max="16339" width="40" style="3" customWidth="1"/>
    <col min="16340" max="16340" width="40.28515625" style="3" customWidth="1"/>
    <col min="16341" max="16341" width="44.7109375" style="3" customWidth="1"/>
    <col min="16342" max="16384" width="11.42578125" style="3"/>
  </cols>
  <sheetData>
    <row r="1" spans="1:411" ht="56.25">
      <c r="A1" s="205" t="s">
        <v>1121</v>
      </c>
      <c r="B1" s="206" t="s">
        <v>1122</v>
      </c>
      <c r="C1" s="205" t="s">
        <v>1124</v>
      </c>
      <c r="D1" s="207" t="s">
        <v>1123</v>
      </c>
      <c r="E1" s="208" t="s">
        <v>1125</v>
      </c>
      <c r="F1" s="205" t="s">
        <v>1126</v>
      </c>
      <c r="G1" s="205" t="s">
        <v>1127</v>
      </c>
      <c r="H1" s="206" t="s">
        <v>1355</v>
      </c>
      <c r="I1" s="205" t="s">
        <v>1128</v>
      </c>
      <c r="J1" s="206" t="s">
        <v>1129</v>
      </c>
      <c r="K1" s="205" t="s">
        <v>1130</v>
      </c>
      <c r="L1" s="205" t="s">
        <v>1131</v>
      </c>
      <c r="M1" s="264" t="s">
        <v>1132</v>
      </c>
      <c r="N1" s="207" t="s">
        <v>1765</v>
      </c>
      <c r="O1" s="202" t="s">
        <v>1133</v>
      </c>
      <c r="P1" s="208" t="s">
        <v>1134</v>
      </c>
      <c r="Q1" s="205" t="s">
        <v>474</v>
      </c>
      <c r="R1" s="207" t="s">
        <v>1135</v>
      </c>
      <c r="S1" s="202" t="s">
        <v>1136</v>
      </c>
      <c r="T1" s="202" t="s">
        <v>1354</v>
      </c>
      <c r="U1" s="202" t="s">
        <v>1137</v>
      </c>
      <c r="V1" s="202" t="s">
        <v>1138</v>
      </c>
      <c r="W1" s="202" t="s">
        <v>1183</v>
      </c>
      <c r="X1" s="202" t="s">
        <v>1143</v>
      </c>
      <c r="Y1" s="202" t="s">
        <v>1184</v>
      </c>
      <c r="Z1" s="202" t="s">
        <v>1066</v>
      </c>
      <c r="AA1" s="208" t="s">
        <v>1144</v>
      </c>
      <c r="AB1" s="205" t="s">
        <v>1142</v>
      </c>
      <c r="AC1" s="207" t="s">
        <v>1145</v>
      </c>
      <c r="AD1" s="202" t="s">
        <v>1822</v>
      </c>
      <c r="AE1" s="202" t="s">
        <v>1820</v>
      </c>
      <c r="AF1" s="205" t="s">
        <v>1185</v>
      </c>
      <c r="AG1" s="202" t="s">
        <v>1141</v>
      </c>
      <c r="AH1" s="202" t="s">
        <v>1825</v>
      </c>
      <c r="AI1" s="202" t="s">
        <v>1826</v>
      </c>
      <c r="AJ1" s="202" t="s">
        <v>1139</v>
      </c>
      <c r="AK1" s="202" t="s">
        <v>1834</v>
      </c>
      <c r="AL1" s="202" t="s">
        <v>1890</v>
      </c>
      <c r="AM1" s="202" t="s">
        <v>2042</v>
      </c>
      <c r="AN1" s="202" t="s">
        <v>1146</v>
      </c>
      <c r="AO1" s="202" t="s">
        <v>1140</v>
      </c>
      <c r="AP1" s="202" t="s">
        <v>1147</v>
      </c>
      <c r="AQ1" s="202" t="s">
        <v>1148</v>
      </c>
      <c r="AR1" s="202" t="s">
        <v>1149</v>
      </c>
      <c r="AS1" s="202" t="s">
        <v>1150</v>
      </c>
      <c r="AT1" s="202" t="s">
        <v>1151</v>
      </c>
      <c r="AU1" s="202" t="s">
        <v>1152</v>
      </c>
      <c r="AV1" s="202" t="s">
        <v>1153</v>
      </c>
      <c r="AW1" s="202" t="s">
        <v>1154</v>
      </c>
      <c r="AX1" s="202" t="s">
        <v>1155</v>
      </c>
      <c r="AY1" s="202" t="s">
        <v>1156</v>
      </c>
      <c r="AZ1" s="202" t="s">
        <v>1157</v>
      </c>
      <c r="BA1" s="202" t="s">
        <v>1158</v>
      </c>
      <c r="BB1" s="202" t="s">
        <v>1159</v>
      </c>
      <c r="BC1" s="202" t="s">
        <v>1160</v>
      </c>
      <c r="BD1" s="202" t="s">
        <v>1161</v>
      </c>
      <c r="BE1" s="202" t="s">
        <v>1162</v>
      </c>
      <c r="BF1" s="202" t="s">
        <v>816</v>
      </c>
      <c r="BG1" s="202" t="s">
        <v>1372</v>
      </c>
      <c r="BH1" s="202" t="s">
        <v>542</v>
      </c>
      <c r="BI1" s="202" t="s">
        <v>1190</v>
      </c>
      <c r="BJ1" s="202" t="s">
        <v>1191</v>
      </c>
      <c r="BK1" s="202" t="s">
        <v>1351</v>
      </c>
      <c r="BL1" s="202" t="s">
        <v>1352</v>
      </c>
      <c r="BM1" s="202" t="s">
        <v>1353</v>
      </c>
      <c r="BN1" s="202" t="s">
        <v>458</v>
      </c>
      <c r="BO1" s="202" t="s">
        <v>459</v>
      </c>
      <c r="BP1" s="202" t="s">
        <v>460</v>
      </c>
      <c r="BQ1" s="202" t="s">
        <v>461</v>
      </c>
      <c r="BR1" s="202" t="s">
        <v>608</v>
      </c>
      <c r="BS1" s="202" t="s">
        <v>462</v>
      </c>
      <c r="BT1" s="202" t="s">
        <v>463</v>
      </c>
      <c r="BU1" s="202" t="s">
        <v>545</v>
      </c>
      <c r="BV1" s="202" t="s">
        <v>546</v>
      </c>
      <c r="BW1" s="202" t="s">
        <v>1192</v>
      </c>
      <c r="BX1" s="202" t="s">
        <v>572</v>
      </c>
      <c r="BY1" s="202" t="s">
        <v>573</v>
      </c>
      <c r="BZ1" s="202" t="s">
        <v>569</v>
      </c>
      <c r="CA1" s="202" t="s">
        <v>464</v>
      </c>
      <c r="CB1" s="202" t="s">
        <v>1193</v>
      </c>
      <c r="CC1" s="202" t="s">
        <v>1528</v>
      </c>
      <c r="CD1" s="202" t="s">
        <v>1530</v>
      </c>
      <c r="CE1" s="202" t="s">
        <v>1163</v>
      </c>
      <c r="CF1" s="202" t="s">
        <v>1164</v>
      </c>
      <c r="CG1" s="202" t="s">
        <v>1165</v>
      </c>
      <c r="CH1" s="202" t="s">
        <v>1166</v>
      </c>
      <c r="CI1" s="202" t="s">
        <v>1167</v>
      </c>
      <c r="CJ1" s="202" t="s">
        <v>1168</v>
      </c>
      <c r="CK1" s="202" t="s">
        <v>1169</v>
      </c>
      <c r="CL1" s="202" t="s">
        <v>1170</v>
      </c>
      <c r="CM1" s="202" t="s">
        <v>1171</v>
      </c>
      <c r="CN1" s="202" t="s">
        <v>1172</v>
      </c>
      <c r="CO1" s="202" t="s">
        <v>831</v>
      </c>
      <c r="CP1" s="202" t="s">
        <v>835</v>
      </c>
      <c r="CQ1" s="202" t="s">
        <v>1173</v>
      </c>
      <c r="CR1" s="202" t="s">
        <v>1174</v>
      </c>
      <c r="CS1" s="202" t="s">
        <v>1175</v>
      </c>
      <c r="CT1" s="202" t="s">
        <v>454</v>
      </c>
      <c r="CU1" s="202" t="s">
        <v>453</v>
      </c>
      <c r="CV1" s="202" t="s">
        <v>465</v>
      </c>
      <c r="CW1" s="202" t="s">
        <v>466</v>
      </c>
      <c r="CX1" s="202" t="s">
        <v>1176</v>
      </c>
      <c r="CY1" s="202" t="s">
        <v>467</v>
      </c>
      <c r="CZ1" s="202" t="s">
        <v>468</v>
      </c>
      <c r="DA1" s="202" t="s">
        <v>1176</v>
      </c>
      <c r="DB1" s="202" t="s">
        <v>469</v>
      </c>
      <c r="DC1" s="202" t="s">
        <v>470</v>
      </c>
      <c r="DD1" s="202" t="s">
        <v>1176</v>
      </c>
      <c r="DE1" s="202" t="s">
        <v>471</v>
      </c>
      <c r="DF1" s="202" t="s">
        <v>472</v>
      </c>
      <c r="DG1" s="202" t="s">
        <v>1176</v>
      </c>
      <c r="DH1" s="202" t="s">
        <v>620</v>
      </c>
      <c r="DI1" s="202" t="s">
        <v>621</v>
      </c>
      <c r="DJ1" s="202" t="s">
        <v>1176</v>
      </c>
      <c r="DK1" s="202" t="s">
        <v>622</v>
      </c>
      <c r="DL1" s="202" t="s">
        <v>623</v>
      </c>
      <c r="DM1" s="202" t="s">
        <v>1176</v>
      </c>
      <c r="DN1" s="202" t="s">
        <v>624</v>
      </c>
      <c r="DO1" s="202" t="s">
        <v>625</v>
      </c>
      <c r="DP1" s="202" t="s">
        <v>1176</v>
      </c>
      <c r="DQ1" s="202" t="s">
        <v>724</v>
      </c>
      <c r="DR1" s="202" t="s">
        <v>725</v>
      </c>
      <c r="DS1" s="202" t="s">
        <v>1176</v>
      </c>
      <c r="DT1" s="202" t="s">
        <v>813</v>
      </c>
      <c r="DU1" s="202" t="s">
        <v>814</v>
      </c>
      <c r="DV1" s="202" t="s">
        <v>1176</v>
      </c>
      <c r="DW1" s="202" t="s">
        <v>796</v>
      </c>
      <c r="DX1" s="202" t="s">
        <v>797</v>
      </c>
      <c r="DY1" s="202" t="s">
        <v>718</v>
      </c>
      <c r="DZ1" s="202" t="s">
        <v>1177</v>
      </c>
      <c r="EA1" s="202" t="s">
        <v>1178</v>
      </c>
      <c r="EB1" s="202" t="s">
        <v>1179</v>
      </c>
      <c r="EC1" s="202" t="s">
        <v>1180</v>
      </c>
      <c r="ED1" s="202" t="s">
        <v>1181</v>
      </c>
      <c r="EE1" s="202" t="s">
        <v>1182</v>
      </c>
      <c r="EF1" s="202" t="s">
        <v>723</v>
      </c>
      <c r="EG1" s="202" t="s">
        <v>473</v>
      </c>
      <c r="EH1" s="202" t="s">
        <v>543</v>
      </c>
      <c r="EI1" s="202" t="s">
        <v>541</v>
      </c>
      <c r="EJ1" s="202" t="s">
        <v>598</v>
      </c>
      <c r="EK1" s="202" t="s">
        <v>557</v>
      </c>
      <c r="EL1" s="202" t="s">
        <v>555</v>
      </c>
      <c r="EM1" s="202" t="s">
        <v>558</v>
      </c>
      <c r="EN1" s="202" t="s">
        <v>1536</v>
      </c>
      <c r="EO1" s="202" t="s">
        <v>553</v>
      </c>
      <c r="EP1" s="202" t="s">
        <v>554</v>
      </c>
      <c r="EQ1" s="202" t="s">
        <v>1537</v>
      </c>
      <c r="ER1" s="202" t="s">
        <v>1536</v>
      </c>
      <c r="ES1" s="202" t="s">
        <v>553</v>
      </c>
      <c r="ET1" s="202" t="s">
        <v>554</v>
      </c>
      <c r="EU1" s="202" t="s">
        <v>1537</v>
      </c>
      <c r="EV1" s="202" t="s">
        <v>1536</v>
      </c>
      <c r="EW1" s="202" t="s">
        <v>553</v>
      </c>
      <c r="EX1" s="202" t="s">
        <v>554</v>
      </c>
      <c r="EY1" s="202" t="s">
        <v>1537</v>
      </c>
      <c r="EZ1" s="202" t="s">
        <v>1536</v>
      </c>
      <c r="FA1" s="202" t="s">
        <v>553</v>
      </c>
      <c r="FB1" s="202" t="s">
        <v>554</v>
      </c>
      <c r="FC1" s="202" t="s">
        <v>1537</v>
      </c>
      <c r="FD1" s="202" t="s">
        <v>1538</v>
      </c>
      <c r="FE1" s="202" t="s">
        <v>540</v>
      </c>
      <c r="FF1" s="202" t="s">
        <v>538</v>
      </c>
      <c r="FG1" s="202" t="s">
        <v>539</v>
      </c>
      <c r="FH1" s="202" t="s">
        <v>1211</v>
      </c>
      <c r="FI1" s="202" t="s">
        <v>1212</v>
      </c>
      <c r="FJ1" s="202" t="s">
        <v>1213</v>
      </c>
      <c r="FK1" s="202" t="s">
        <v>1214</v>
      </c>
      <c r="FL1" s="202" t="s">
        <v>1215</v>
      </c>
      <c r="FM1" s="202" t="s">
        <v>1216</v>
      </c>
      <c r="FN1" s="202" t="s">
        <v>1217</v>
      </c>
      <c r="FO1" s="202" t="s">
        <v>1218</v>
      </c>
      <c r="FP1" s="202" t="s">
        <v>1219</v>
      </c>
      <c r="FQ1" s="202" t="s">
        <v>1220</v>
      </c>
      <c r="FR1" s="202" t="s">
        <v>1221</v>
      </c>
      <c r="FS1" s="202" t="s">
        <v>1222</v>
      </c>
      <c r="FT1" s="202" t="s">
        <v>1223</v>
      </c>
      <c r="FU1" s="202" t="s">
        <v>1224</v>
      </c>
      <c r="FV1" s="202" t="s">
        <v>1350</v>
      </c>
      <c r="FW1" s="202" t="s">
        <v>1369</v>
      </c>
      <c r="FX1" s="202" t="s">
        <v>1399</v>
      </c>
      <c r="FY1" s="202" t="s">
        <v>1504</v>
      </c>
      <c r="FZ1" s="202" t="s">
        <v>1514</v>
      </c>
      <c r="GA1" s="202" t="s">
        <v>1539</v>
      </c>
      <c r="GB1" s="202" t="s">
        <v>1587</v>
      </c>
      <c r="GC1" s="202" t="s">
        <v>1589</v>
      </c>
      <c r="GD1" s="202" t="s">
        <v>1629</v>
      </c>
      <c r="GE1" s="202" t="s">
        <v>1674</v>
      </c>
      <c r="GF1" s="202" t="s">
        <v>1675</v>
      </c>
      <c r="GG1" s="202" t="s">
        <v>1684</v>
      </c>
      <c r="GH1" s="205" t="s">
        <v>1692</v>
      </c>
      <c r="GI1" s="202" t="s">
        <v>1726</v>
      </c>
      <c r="GJ1" s="202" t="s">
        <v>1769</v>
      </c>
      <c r="GK1" s="202" t="s">
        <v>1827</v>
      </c>
      <c r="GL1" s="202" t="s">
        <v>1828</v>
      </c>
      <c r="GM1" s="202" t="s">
        <v>1829</v>
      </c>
      <c r="GN1" s="202" t="s">
        <v>1830</v>
      </c>
      <c r="GO1" s="208" t="s">
        <v>1831</v>
      </c>
      <c r="GP1" s="205" t="s">
        <v>1883</v>
      </c>
      <c r="GQ1" s="207" t="s">
        <v>2034</v>
      </c>
      <c r="GR1" s="207" t="s">
        <v>2043</v>
      </c>
      <c r="GS1" s="207" t="s">
        <v>2055</v>
      </c>
      <c r="GT1" s="207" t="s">
        <v>2064</v>
      </c>
      <c r="GU1" s="207" t="s">
        <v>2099</v>
      </c>
      <c r="GV1" s="207" t="s">
        <v>1630</v>
      </c>
      <c r="GW1" s="202" t="s">
        <v>1676</v>
      </c>
      <c r="GX1" s="202" t="s">
        <v>1685</v>
      </c>
      <c r="GY1" s="205" t="s">
        <v>1693</v>
      </c>
      <c r="GZ1" s="205" t="s">
        <v>1725</v>
      </c>
      <c r="HA1" s="202" t="s">
        <v>1770</v>
      </c>
      <c r="HB1" s="208" t="s">
        <v>1836</v>
      </c>
      <c r="HC1" s="205" t="s">
        <v>1882</v>
      </c>
      <c r="HD1" s="207" t="s">
        <v>2035</v>
      </c>
      <c r="HE1" s="207" t="s">
        <v>2044</v>
      </c>
      <c r="HF1" s="207" t="s">
        <v>2056</v>
      </c>
      <c r="HG1" s="207" t="s">
        <v>2092</v>
      </c>
      <c r="HH1" s="207" t="s">
        <v>2100</v>
      </c>
      <c r="HI1" s="207" t="s">
        <v>1631</v>
      </c>
      <c r="HJ1" s="202" t="s">
        <v>1677</v>
      </c>
      <c r="HK1" s="202" t="s">
        <v>1686</v>
      </c>
      <c r="HL1" s="205" t="s">
        <v>1694</v>
      </c>
      <c r="HM1" s="205" t="s">
        <v>1727</v>
      </c>
      <c r="HN1" s="202" t="s">
        <v>1771</v>
      </c>
      <c r="HO1" s="202" t="s">
        <v>1835</v>
      </c>
      <c r="HP1" s="202" t="s">
        <v>2041</v>
      </c>
      <c r="HQ1" s="202" t="s">
        <v>2049</v>
      </c>
      <c r="HR1" s="202" t="s">
        <v>2057</v>
      </c>
      <c r="HS1" s="202" t="s">
        <v>2065</v>
      </c>
      <c r="HT1" s="202" t="s">
        <v>2101</v>
      </c>
      <c r="HU1" s="209" t="s">
        <v>1114</v>
      </c>
      <c r="HV1" s="209" t="s">
        <v>1208</v>
      </c>
      <c r="HW1" s="209" t="s">
        <v>1120</v>
      </c>
      <c r="HX1" s="209" t="s">
        <v>1186</v>
      </c>
      <c r="HY1" s="72"/>
      <c r="HZ1" s="72"/>
      <c r="IF1" s="210" t="s">
        <v>1142</v>
      </c>
      <c r="IG1" s="210" t="s">
        <v>1735</v>
      </c>
      <c r="JD1" s="205" t="s">
        <v>2006</v>
      </c>
      <c r="JE1" s="3" t="s">
        <v>2033</v>
      </c>
    </row>
    <row r="2" spans="1:411" s="5" customFormat="1" ht="24.95" hidden="1" customHeight="1">
      <c r="A2" s="13" t="s">
        <v>0</v>
      </c>
      <c r="B2" s="26" t="s">
        <v>1</v>
      </c>
      <c r="C2" s="13" t="s">
        <v>349</v>
      </c>
      <c r="D2" s="13" t="s">
        <v>380</v>
      </c>
      <c r="E2" s="13" t="s">
        <v>360</v>
      </c>
      <c r="F2" s="13" t="s">
        <v>360</v>
      </c>
      <c r="G2" s="26" t="s">
        <v>354</v>
      </c>
      <c r="H2" s="13" t="s">
        <v>1558</v>
      </c>
      <c r="I2" s="219" t="s">
        <v>332</v>
      </c>
      <c r="J2" s="26">
        <v>1</v>
      </c>
      <c r="K2" s="26" t="s">
        <v>375</v>
      </c>
      <c r="L2" s="26" t="s">
        <v>2</v>
      </c>
      <c r="M2" s="220" t="s">
        <v>332</v>
      </c>
      <c r="N2" s="220"/>
      <c r="O2" s="13" t="s">
        <v>3</v>
      </c>
      <c r="P2" s="13" t="s">
        <v>4</v>
      </c>
      <c r="Q2" s="22" t="s">
        <v>1118</v>
      </c>
      <c r="R2" s="26" t="s">
        <v>2</v>
      </c>
      <c r="S2" s="13" t="s">
        <v>590</v>
      </c>
      <c r="T2" s="13" t="s">
        <v>1387</v>
      </c>
      <c r="U2" s="13" t="s">
        <v>479</v>
      </c>
      <c r="V2" s="24">
        <v>1790395405001</v>
      </c>
      <c r="W2" s="13" t="s">
        <v>570</v>
      </c>
      <c r="X2" s="13" t="s">
        <v>570</v>
      </c>
      <c r="Y2" s="13" t="s">
        <v>595</v>
      </c>
      <c r="Z2" s="13" t="s">
        <v>503</v>
      </c>
      <c r="AA2" s="29"/>
      <c r="AB2" s="29">
        <v>53826.38</v>
      </c>
      <c r="AC2" s="29">
        <v>0</v>
      </c>
      <c r="AD2" s="29">
        <v>64000</v>
      </c>
      <c r="AE2" s="29">
        <v>0</v>
      </c>
      <c r="AF2" s="29">
        <f>AD2+AE2</f>
        <v>64000</v>
      </c>
      <c r="AG2" s="25">
        <v>0.12</v>
      </c>
      <c r="AH2" s="29">
        <f>AD2*0.12</f>
        <v>7680</v>
      </c>
      <c r="AI2" s="29">
        <f>AE2*0.12</f>
        <v>0</v>
      </c>
      <c r="AJ2" s="29">
        <f t="shared" ref="AJ2:AJ54" si="0">AF2*1.12</f>
        <v>71680</v>
      </c>
      <c r="AK2" s="126">
        <v>43860</v>
      </c>
      <c r="AL2" s="126">
        <f>AB2-AK2</f>
        <v>9966.3799999999974</v>
      </c>
      <c r="AM2" s="126"/>
      <c r="AN2" s="29"/>
      <c r="AO2" s="29">
        <v>64000</v>
      </c>
      <c r="AP2" s="29"/>
      <c r="AQ2" s="29">
        <v>43860</v>
      </c>
      <c r="AR2" s="29"/>
      <c r="AS2" s="29"/>
      <c r="AT2" s="29"/>
      <c r="AU2" s="29"/>
      <c r="AV2" s="29"/>
      <c r="AW2" s="29"/>
      <c r="AX2" s="29"/>
      <c r="AY2" s="29"/>
      <c r="AZ2" s="29"/>
      <c r="BA2" s="29"/>
      <c r="BB2" s="29"/>
      <c r="BC2" s="221"/>
      <c r="BD2" s="221"/>
      <c r="BE2" s="29"/>
      <c r="BF2" s="29">
        <f>AB2-AQ2</f>
        <v>9966.3799999999974</v>
      </c>
      <c r="BG2" s="29">
        <f t="shared" ref="BG2:BG15" si="1">BF2-AW2-AZ2-BC2-BE2</f>
        <v>9966.3799999999974</v>
      </c>
      <c r="BH2" s="29" t="s">
        <v>586</v>
      </c>
      <c r="BI2" s="29" t="s">
        <v>570</v>
      </c>
      <c r="BJ2" s="29" t="s">
        <v>570</v>
      </c>
      <c r="BK2" s="29" t="s">
        <v>570</v>
      </c>
      <c r="BL2" s="29" t="s">
        <v>570</v>
      </c>
      <c r="BM2" s="29" t="s">
        <v>570</v>
      </c>
      <c r="BN2" s="23">
        <v>42387</v>
      </c>
      <c r="BO2" s="222"/>
      <c r="BP2" s="223"/>
      <c r="BQ2" s="222"/>
      <c r="BR2" s="222"/>
      <c r="BS2" s="222"/>
      <c r="BT2" s="222"/>
      <c r="BU2" s="13" t="s">
        <v>570</v>
      </c>
      <c r="BV2" s="13" t="s">
        <v>570</v>
      </c>
      <c r="BW2" s="224" t="s">
        <v>570</v>
      </c>
      <c r="BX2" s="222"/>
      <c r="BY2" s="222"/>
      <c r="BZ2" s="222"/>
      <c r="CA2" s="23">
        <v>42390</v>
      </c>
      <c r="CB2" s="224" t="s">
        <v>570</v>
      </c>
      <c r="CC2" s="224" t="s">
        <v>570</v>
      </c>
      <c r="CD2" s="224" t="s">
        <v>570</v>
      </c>
      <c r="CE2" s="224"/>
      <c r="CF2" s="127" t="s">
        <v>829</v>
      </c>
      <c r="CG2" s="224"/>
      <c r="CH2" s="224"/>
      <c r="CI2" s="224"/>
      <c r="CJ2" s="224"/>
      <c r="CK2" s="224"/>
      <c r="CL2" s="224"/>
      <c r="CM2" s="224"/>
      <c r="CN2" s="224"/>
      <c r="CO2" s="224"/>
      <c r="CP2" s="224"/>
      <c r="CQ2" s="224"/>
      <c r="CR2" s="127" t="s">
        <v>829</v>
      </c>
      <c r="CS2" s="13" t="s">
        <v>570</v>
      </c>
      <c r="CT2" s="13" t="s">
        <v>570</v>
      </c>
      <c r="CU2" s="13" t="s">
        <v>570</v>
      </c>
      <c r="CV2" s="23">
        <v>42569</v>
      </c>
      <c r="CW2" s="132">
        <f>AQ2*0.5</f>
        <v>21930</v>
      </c>
      <c r="CX2" s="132"/>
      <c r="CY2" s="23">
        <v>42681</v>
      </c>
      <c r="CZ2" s="132">
        <f>43860-21930</f>
        <v>21930</v>
      </c>
      <c r="DA2" s="225"/>
      <c r="DB2" s="225"/>
      <c r="DC2" s="31"/>
      <c r="DD2" s="225"/>
      <c r="DE2" s="225"/>
      <c r="DF2" s="225"/>
      <c r="DG2" s="225"/>
      <c r="DH2" s="225"/>
      <c r="DI2" s="225"/>
      <c r="DJ2" s="225"/>
      <c r="DK2" s="225"/>
      <c r="DL2" s="225"/>
      <c r="DM2" s="225"/>
      <c r="DN2" s="225"/>
      <c r="DO2" s="225"/>
      <c r="DP2" s="225"/>
      <c r="DQ2" s="225"/>
      <c r="DR2" s="225"/>
      <c r="DS2" s="225"/>
      <c r="DT2" s="225"/>
      <c r="DU2" s="225"/>
      <c r="DV2" s="225"/>
      <c r="DW2" s="225"/>
      <c r="DX2" s="225"/>
      <c r="DY2" s="31">
        <f t="shared" ref="DY2:DY15" si="2">CW2+CZ2+DC2+DF2+DI2+DL2+DO2+DR2+DU2+DX2</f>
        <v>43860</v>
      </c>
      <c r="DZ2" s="225"/>
      <c r="EA2" s="225"/>
      <c r="EB2" s="225"/>
      <c r="EC2" s="225"/>
      <c r="ED2" s="225"/>
      <c r="EE2" s="225"/>
      <c r="EF2" s="225"/>
      <c r="EG2" s="226">
        <v>120</v>
      </c>
      <c r="EH2" s="13" t="s">
        <v>588</v>
      </c>
      <c r="EI2" s="23">
        <f>CV2+1</f>
        <v>42570</v>
      </c>
      <c r="EJ2" s="23">
        <f>EI2+EG2</f>
        <v>42690</v>
      </c>
      <c r="EK2" s="44" t="s">
        <v>503</v>
      </c>
      <c r="EL2" s="44">
        <v>30</v>
      </c>
      <c r="EM2" s="23">
        <f>EJ2+EL2</f>
        <v>42720</v>
      </c>
      <c r="EN2" s="13">
        <v>1</v>
      </c>
      <c r="EO2" s="23">
        <v>42702</v>
      </c>
      <c r="EP2" s="23">
        <v>42759</v>
      </c>
      <c r="EQ2" s="24">
        <v>57</v>
      </c>
      <c r="ER2" s="13">
        <v>2</v>
      </c>
      <c r="ES2" s="23">
        <v>42784</v>
      </c>
      <c r="ET2" s="23">
        <v>42828</v>
      </c>
      <c r="EU2" s="24">
        <v>44</v>
      </c>
      <c r="EV2" s="23"/>
      <c r="EW2" s="222"/>
      <c r="EX2" s="222"/>
      <c r="EY2" s="222"/>
      <c r="EZ2" s="222"/>
      <c r="FA2" s="222"/>
      <c r="FB2" s="222"/>
      <c r="FC2" s="222"/>
      <c r="FD2" s="222"/>
      <c r="FE2" s="222"/>
      <c r="FF2" s="222"/>
      <c r="FG2" s="222"/>
      <c r="FH2" s="25">
        <v>0</v>
      </c>
      <c r="FI2" s="25">
        <v>0</v>
      </c>
      <c r="FJ2" s="25">
        <v>0</v>
      </c>
      <c r="FK2" s="25">
        <v>0</v>
      </c>
      <c r="FL2" s="25">
        <v>0</v>
      </c>
      <c r="FM2" s="25">
        <v>0</v>
      </c>
      <c r="FN2" s="25">
        <v>0</v>
      </c>
      <c r="FO2" s="25">
        <v>0</v>
      </c>
      <c r="FP2" s="25">
        <v>0.5</v>
      </c>
      <c r="FQ2" s="25">
        <v>1</v>
      </c>
      <c r="FR2" s="25">
        <v>1</v>
      </c>
      <c r="FS2" s="25">
        <v>1</v>
      </c>
      <c r="FT2" s="25">
        <v>1</v>
      </c>
      <c r="FU2" s="25">
        <v>1</v>
      </c>
      <c r="FV2" s="25">
        <v>1</v>
      </c>
      <c r="FW2" s="25">
        <v>1</v>
      </c>
      <c r="FX2" s="25">
        <v>1</v>
      </c>
      <c r="FY2" s="25">
        <v>1</v>
      </c>
      <c r="FZ2" s="25">
        <v>1</v>
      </c>
      <c r="GA2" s="25">
        <v>1</v>
      </c>
      <c r="GB2" s="25">
        <v>1</v>
      </c>
      <c r="GC2" s="25">
        <v>1</v>
      </c>
      <c r="GD2" s="25">
        <v>1</v>
      </c>
      <c r="GE2" s="25">
        <v>1</v>
      </c>
      <c r="GF2" s="25">
        <v>1</v>
      </c>
      <c r="GG2" s="25">
        <v>1</v>
      </c>
      <c r="GH2" s="25">
        <v>1</v>
      </c>
      <c r="GI2" s="25">
        <v>1</v>
      </c>
      <c r="GJ2" s="25">
        <v>1</v>
      </c>
      <c r="GK2" s="25">
        <v>1</v>
      </c>
      <c r="GL2" s="25">
        <v>1</v>
      </c>
      <c r="GM2" s="25">
        <v>1</v>
      </c>
      <c r="GN2" s="25">
        <v>1</v>
      </c>
      <c r="GO2" s="25">
        <v>1</v>
      </c>
      <c r="GP2" s="25">
        <v>1</v>
      </c>
      <c r="GQ2" s="25">
        <v>1</v>
      </c>
      <c r="GR2" s="25">
        <v>1</v>
      </c>
      <c r="GS2" s="25">
        <v>1</v>
      </c>
      <c r="GT2" s="25">
        <v>1</v>
      </c>
      <c r="GU2" s="25">
        <v>1</v>
      </c>
      <c r="GV2" s="25" t="s">
        <v>455</v>
      </c>
      <c r="GW2" s="25" t="s">
        <v>455</v>
      </c>
      <c r="GX2" s="25" t="s">
        <v>455</v>
      </c>
      <c r="GY2" s="25" t="s">
        <v>455</v>
      </c>
      <c r="GZ2" s="25" t="s">
        <v>455</v>
      </c>
      <c r="HA2" s="25" t="s">
        <v>455</v>
      </c>
      <c r="HB2" s="25" t="s">
        <v>455</v>
      </c>
      <c r="HC2" s="25" t="s">
        <v>455</v>
      </c>
      <c r="HD2" s="25" t="s">
        <v>455</v>
      </c>
      <c r="HE2" s="25" t="s">
        <v>455</v>
      </c>
      <c r="HF2" s="25" t="s">
        <v>455</v>
      </c>
      <c r="HG2" s="25" t="s">
        <v>455</v>
      </c>
      <c r="HH2" s="25" t="s">
        <v>455</v>
      </c>
      <c r="HI2" s="25"/>
      <c r="HJ2" s="25"/>
      <c r="HK2" s="25"/>
      <c r="HL2" s="25"/>
      <c r="HM2" s="25"/>
      <c r="HN2" s="25"/>
      <c r="HO2" s="25"/>
      <c r="HP2" s="25"/>
      <c r="HQ2" s="25"/>
      <c r="HR2" s="25"/>
      <c r="HS2" s="25"/>
      <c r="HT2" s="25"/>
      <c r="HU2" s="13" t="s">
        <v>1357</v>
      </c>
      <c r="HV2" s="13"/>
      <c r="HW2" s="32"/>
      <c r="HX2" s="55"/>
      <c r="HY2" s="55"/>
      <c r="HZ2" s="55"/>
      <c r="IA2" s="55"/>
      <c r="IB2" s="55"/>
      <c r="IC2" s="55"/>
      <c r="ID2" s="55"/>
      <c r="IE2" s="55"/>
      <c r="IF2" s="107">
        <v>53826.38</v>
      </c>
      <c r="IG2" s="107">
        <v>43860</v>
      </c>
      <c r="IH2" s="250">
        <f t="shared" ref="IH2:IH41" si="3">AK2-IG2</f>
        <v>0</v>
      </c>
      <c r="II2" s="55"/>
      <c r="IJ2" s="55"/>
      <c r="IK2" s="55"/>
      <c r="IL2" s="55"/>
      <c r="IM2" s="55"/>
      <c r="IN2" s="55"/>
      <c r="IO2" s="55"/>
      <c r="IP2" s="55"/>
      <c r="IQ2" s="55"/>
      <c r="IR2" s="55"/>
      <c r="IS2" s="55"/>
      <c r="IT2" s="55"/>
      <c r="IU2" s="55"/>
      <c r="IV2" s="55"/>
      <c r="IW2" s="55"/>
      <c r="IX2" s="55"/>
      <c r="IY2" s="55"/>
      <c r="IZ2" s="55"/>
      <c r="JA2" s="55"/>
      <c r="JB2" s="55"/>
      <c r="JC2" s="55"/>
      <c r="JD2" s="55">
        <v>2016</v>
      </c>
    </row>
    <row r="3" spans="1:411" s="5" customFormat="1" ht="24.95" hidden="1" customHeight="1">
      <c r="A3" s="13" t="s">
        <v>5</v>
      </c>
      <c r="B3" s="26" t="s">
        <v>1</v>
      </c>
      <c r="C3" s="13" t="s">
        <v>352</v>
      </c>
      <c r="D3" s="13" t="s">
        <v>377</v>
      </c>
      <c r="E3" s="16" t="s">
        <v>353</v>
      </c>
      <c r="F3" s="13" t="s">
        <v>353</v>
      </c>
      <c r="G3" s="33" t="s">
        <v>354</v>
      </c>
      <c r="H3" s="28" t="s">
        <v>1546</v>
      </c>
      <c r="I3" s="21" t="s">
        <v>7</v>
      </c>
      <c r="J3" s="154">
        <v>1</v>
      </c>
      <c r="K3" s="26" t="s">
        <v>375</v>
      </c>
      <c r="L3" s="26" t="s">
        <v>6</v>
      </c>
      <c r="M3" s="20" t="s">
        <v>7</v>
      </c>
      <c r="N3" s="20"/>
      <c r="O3" s="13" t="s">
        <v>3</v>
      </c>
      <c r="P3" s="13" t="s">
        <v>4</v>
      </c>
      <c r="Q3" s="22" t="s">
        <v>1118</v>
      </c>
      <c r="R3" s="26" t="s">
        <v>6</v>
      </c>
      <c r="S3" s="13" t="s">
        <v>590</v>
      </c>
      <c r="T3" s="13" t="s">
        <v>1387</v>
      </c>
      <c r="U3" s="13" t="s">
        <v>479</v>
      </c>
      <c r="V3" s="24">
        <v>1790395405001</v>
      </c>
      <c r="W3" s="13"/>
      <c r="X3" s="13"/>
      <c r="Y3" s="13"/>
      <c r="Z3" s="13"/>
      <c r="AA3" s="29"/>
      <c r="AB3" s="29">
        <v>195000</v>
      </c>
      <c r="AC3" s="29">
        <v>0</v>
      </c>
      <c r="AD3" s="29">
        <v>195000</v>
      </c>
      <c r="AE3" s="29">
        <v>0</v>
      </c>
      <c r="AF3" s="29">
        <f t="shared" ref="AF3:AF40" si="4">AD3+AE3</f>
        <v>195000</v>
      </c>
      <c r="AG3" s="25">
        <v>0.12</v>
      </c>
      <c r="AH3" s="29">
        <f>AD3*0.12</f>
        <v>23400</v>
      </c>
      <c r="AI3" s="29">
        <f>AE3*0.12</f>
        <v>0</v>
      </c>
      <c r="AJ3" s="29">
        <f t="shared" si="0"/>
        <v>218400.00000000003</v>
      </c>
      <c r="AK3" s="126">
        <v>189500</v>
      </c>
      <c r="AL3" s="126">
        <f>AB3-AK3</f>
        <v>5500</v>
      </c>
      <c r="AM3" s="126"/>
      <c r="AN3" s="29"/>
      <c r="AO3" s="29">
        <v>195000</v>
      </c>
      <c r="AP3" s="29"/>
      <c r="AQ3" s="29">
        <v>189500</v>
      </c>
      <c r="AR3" s="29"/>
      <c r="AS3" s="29"/>
      <c r="AT3" s="29"/>
      <c r="AU3" s="29"/>
      <c r="AV3" s="29"/>
      <c r="AW3" s="29"/>
      <c r="AX3" s="29"/>
      <c r="AY3" s="29"/>
      <c r="AZ3" s="29"/>
      <c r="BA3" s="29"/>
      <c r="BB3" s="29"/>
      <c r="BC3" s="29"/>
      <c r="BD3" s="29"/>
      <c r="BE3" s="29"/>
      <c r="BF3" s="29">
        <f>AB3-AQ3</f>
        <v>5500</v>
      </c>
      <c r="BG3" s="29">
        <f t="shared" si="1"/>
        <v>5500</v>
      </c>
      <c r="BH3" s="29" t="s">
        <v>586</v>
      </c>
      <c r="BI3" s="29" t="s">
        <v>570</v>
      </c>
      <c r="BJ3" s="29" t="s">
        <v>570</v>
      </c>
      <c r="BK3" s="29" t="s">
        <v>570</v>
      </c>
      <c r="BL3" s="29" t="s">
        <v>570</v>
      </c>
      <c r="BM3" s="29" t="s">
        <v>570</v>
      </c>
      <c r="BN3" s="23">
        <v>42255</v>
      </c>
      <c r="BO3" s="23">
        <v>42258</v>
      </c>
      <c r="BP3" s="23">
        <v>42263</v>
      </c>
      <c r="BQ3" s="23">
        <v>42283</v>
      </c>
      <c r="BR3" s="13" t="s">
        <v>570</v>
      </c>
      <c r="BS3" s="23">
        <v>42296</v>
      </c>
      <c r="BT3" s="23">
        <v>42298</v>
      </c>
      <c r="BU3" s="13" t="s">
        <v>570</v>
      </c>
      <c r="BV3" s="13" t="s">
        <v>570</v>
      </c>
      <c r="BW3" s="224" t="s">
        <v>570</v>
      </c>
      <c r="BX3" s="23">
        <v>42297</v>
      </c>
      <c r="BY3" s="13" t="s">
        <v>570</v>
      </c>
      <c r="BZ3" s="13" t="s">
        <v>503</v>
      </c>
      <c r="CA3" s="23">
        <v>42345</v>
      </c>
      <c r="CB3" s="224" t="s">
        <v>570</v>
      </c>
      <c r="CC3" s="224" t="s">
        <v>570</v>
      </c>
      <c r="CD3" s="224" t="s">
        <v>570</v>
      </c>
      <c r="CE3" s="13"/>
      <c r="CF3" s="127" t="s">
        <v>829</v>
      </c>
      <c r="CG3" s="13"/>
      <c r="CH3" s="13"/>
      <c r="CI3" s="13"/>
      <c r="CJ3" s="13"/>
      <c r="CK3" s="13"/>
      <c r="CL3" s="13"/>
      <c r="CM3" s="13"/>
      <c r="CN3" s="13"/>
      <c r="CO3" s="13"/>
      <c r="CP3" s="13"/>
      <c r="CQ3" s="13"/>
      <c r="CR3" s="13"/>
      <c r="CS3" s="13" t="s">
        <v>570</v>
      </c>
      <c r="CT3" s="13" t="s">
        <v>570</v>
      </c>
      <c r="CU3" s="13" t="s">
        <v>570</v>
      </c>
      <c r="CV3" s="23">
        <v>42419</v>
      </c>
      <c r="CW3" s="30">
        <f>AQ3*0.5</f>
        <v>94750</v>
      </c>
      <c r="CX3" s="30"/>
      <c r="CY3" s="23">
        <v>42642</v>
      </c>
      <c r="CZ3" s="30">
        <f>189500-94750</f>
        <v>94750</v>
      </c>
      <c r="DA3" s="13"/>
      <c r="DB3" s="13"/>
      <c r="DC3" s="13"/>
      <c r="DD3" s="13"/>
      <c r="DE3" s="13"/>
      <c r="DF3" s="13"/>
      <c r="DG3" s="13"/>
      <c r="DH3" s="13"/>
      <c r="DI3" s="13"/>
      <c r="DJ3" s="13"/>
      <c r="DK3" s="13"/>
      <c r="DL3" s="13"/>
      <c r="DM3" s="13"/>
      <c r="DN3" s="13"/>
      <c r="DO3" s="13"/>
      <c r="DP3" s="13"/>
      <c r="DQ3" s="13"/>
      <c r="DR3" s="13"/>
      <c r="DS3" s="13"/>
      <c r="DT3" s="13"/>
      <c r="DU3" s="13"/>
      <c r="DV3" s="13"/>
      <c r="DW3" s="13"/>
      <c r="DX3" s="13"/>
      <c r="DY3" s="31">
        <f t="shared" si="2"/>
        <v>189500</v>
      </c>
      <c r="DZ3" s="13"/>
      <c r="EA3" s="13"/>
      <c r="EB3" s="13"/>
      <c r="EC3" s="13"/>
      <c r="ED3" s="13"/>
      <c r="EE3" s="13"/>
      <c r="EF3" s="13"/>
      <c r="EG3" s="13">
        <v>210</v>
      </c>
      <c r="EH3" s="13" t="s">
        <v>588</v>
      </c>
      <c r="EI3" s="23">
        <f>CV3+1</f>
        <v>42420</v>
      </c>
      <c r="EJ3" s="23">
        <f>EI3+EG3</f>
        <v>42630</v>
      </c>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25"/>
      <c r="FL3" s="25"/>
      <c r="FM3" s="25">
        <v>0.7</v>
      </c>
      <c r="FN3" s="25">
        <v>1</v>
      </c>
      <c r="FO3" s="25">
        <v>1</v>
      </c>
      <c r="FP3" s="25">
        <v>1</v>
      </c>
      <c r="FQ3" s="25">
        <v>1</v>
      </c>
      <c r="FR3" s="25">
        <v>1</v>
      </c>
      <c r="FS3" s="25">
        <v>1</v>
      </c>
      <c r="FT3" s="25">
        <v>1</v>
      </c>
      <c r="FU3" s="25">
        <v>1</v>
      </c>
      <c r="FV3" s="25">
        <v>1</v>
      </c>
      <c r="FW3" s="25">
        <v>1</v>
      </c>
      <c r="FX3" s="25">
        <v>1</v>
      </c>
      <c r="FY3" s="25">
        <v>1</v>
      </c>
      <c r="FZ3" s="25">
        <v>1</v>
      </c>
      <c r="GA3" s="25">
        <v>1</v>
      </c>
      <c r="GB3" s="25">
        <v>1</v>
      </c>
      <c r="GC3" s="25">
        <v>1</v>
      </c>
      <c r="GD3" s="25">
        <v>1</v>
      </c>
      <c r="GE3" s="25">
        <v>1</v>
      </c>
      <c r="GF3" s="25">
        <v>1</v>
      </c>
      <c r="GG3" s="25">
        <v>1</v>
      </c>
      <c r="GH3" s="25">
        <v>1</v>
      </c>
      <c r="GI3" s="25">
        <v>1</v>
      </c>
      <c r="GJ3" s="25">
        <v>1</v>
      </c>
      <c r="GK3" s="25">
        <v>1</v>
      </c>
      <c r="GL3" s="25">
        <v>1</v>
      </c>
      <c r="GM3" s="25">
        <v>1</v>
      </c>
      <c r="GN3" s="25">
        <v>1</v>
      </c>
      <c r="GO3" s="25">
        <v>1</v>
      </c>
      <c r="GP3" s="25">
        <v>1</v>
      </c>
      <c r="GQ3" s="25">
        <v>1</v>
      </c>
      <c r="GR3" s="25">
        <v>1</v>
      </c>
      <c r="GS3" s="25">
        <v>1</v>
      </c>
      <c r="GT3" s="25">
        <v>1</v>
      </c>
      <c r="GU3" s="25">
        <v>1</v>
      </c>
      <c r="GV3" s="25" t="s">
        <v>455</v>
      </c>
      <c r="GW3" s="25" t="s">
        <v>455</v>
      </c>
      <c r="GX3" s="25" t="s">
        <v>455</v>
      </c>
      <c r="GY3" s="25" t="s">
        <v>455</v>
      </c>
      <c r="GZ3" s="25" t="s">
        <v>455</v>
      </c>
      <c r="HA3" s="25" t="s">
        <v>455</v>
      </c>
      <c r="HB3" s="25" t="s">
        <v>455</v>
      </c>
      <c r="HC3" s="25" t="s">
        <v>455</v>
      </c>
      <c r="HD3" s="25" t="s">
        <v>455</v>
      </c>
      <c r="HE3" s="25" t="s">
        <v>455</v>
      </c>
      <c r="HF3" s="25" t="s">
        <v>455</v>
      </c>
      <c r="HG3" s="25" t="s">
        <v>455</v>
      </c>
      <c r="HH3" s="25" t="s">
        <v>455</v>
      </c>
      <c r="HI3" s="25"/>
      <c r="HJ3" s="25"/>
      <c r="HK3" s="25"/>
      <c r="HL3" s="25"/>
      <c r="HM3" s="25"/>
      <c r="HN3" s="25"/>
      <c r="HO3" s="25"/>
      <c r="HP3" s="25"/>
      <c r="HQ3" s="25"/>
      <c r="HR3" s="25"/>
      <c r="HS3" s="25"/>
      <c r="HT3" s="25"/>
      <c r="HU3" s="13" t="s">
        <v>1201</v>
      </c>
      <c r="HV3" s="13"/>
      <c r="HW3" s="32"/>
      <c r="HX3" s="55"/>
      <c r="HY3" s="55"/>
      <c r="HZ3" s="55"/>
      <c r="IA3" s="55"/>
      <c r="IB3" s="55"/>
      <c r="IC3" s="55"/>
      <c r="ID3" s="55"/>
      <c r="IE3" s="55"/>
      <c r="IF3" s="107">
        <v>195000</v>
      </c>
      <c r="IG3" s="107">
        <v>189500</v>
      </c>
      <c r="IH3" s="250">
        <f t="shared" si="3"/>
        <v>0</v>
      </c>
      <c r="II3" s="55"/>
      <c r="IJ3" s="55"/>
      <c r="IK3" s="55"/>
      <c r="IL3" s="55"/>
      <c r="IM3" s="55"/>
      <c r="IN3" s="55"/>
      <c r="IO3" s="55"/>
      <c r="IP3" s="55"/>
      <c r="IQ3" s="55"/>
      <c r="IR3" s="55"/>
      <c r="IS3" s="55"/>
      <c r="IT3" s="55"/>
      <c r="IU3" s="55"/>
      <c r="IV3" s="55"/>
      <c r="IW3" s="55"/>
      <c r="IX3" s="55"/>
      <c r="IY3" s="55"/>
      <c r="IZ3" s="55"/>
      <c r="JA3" s="55"/>
      <c r="JB3" s="55"/>
      <c r="JC3" s="55"/>
      <c r="JD3" s="55">
        <v>2016</v>
      </c>
      <c r="JE3" s="6"/>
      <c r="JF3" s="6"/>
      <c r="JG3" s="6"/>
      <c r="JH3" s="6"/>
      <c r="JI3" s="6"/>
      <c r="JJ3" s="6"/>
      <c r="JK3" s="6"/>
      <c r="JL3" s="6"/>
      <c r="JM3" s="6"/>
      <c r="JN3" s="6"/>
      <c r="JO3" s="6"/>
      <c r="JP3" s="6"/>
      <c r="JQ3" s="6"/>
      <c r="JR3" s="6"/>
      <c r="JS3" s="6"/>
      <c r="JT3" s="6"/>
      <c r="JU3" s="6"/>
      <c r="JV3" s="6"/>
      <c r="JW3" s="6"/>
      <c r="JX3" s="6"/>
      <c r="JY3" s="6"/>
      <c r="JZ3" s="6"/>
      <c r="KA3" s="6"/>
    </row>
    <row r="4" spans="1:411" s="5" customFormat="1" ht="36.75" hidden="1" customHeight="1">
      <c r="A4" s="13" t="s">
        <v>5</v>
      </c>
      <c r="B4" s="26" t="s">
        <v>27</v>
      </c>
      <c r="C4" s="13" t="s">
        <v>352</v>
      </c>
      <c r="D4" s="13" t="s">
        <v>377</v>
      </c>
      <c r="E4" s="16" t="s">
        <v>378</v>
      </c>
      <c r="F4" s="13" t="s">
        <v>378</v>
      </c>
      <c r="G4" s="33" t="s">
        <v>354</v>
      </c>
      <c r="H4" s="28" t="s">
        <v>1546</v>
      </c>
      <c r="I4" s="15" t="s">
        <v>999</v>
      </c>
      <c r="J4" s="154">
        <v>2</v>
      </c>
      <c r="K4" s="26" t="s">
        <v>375</v>
      </c>
      <c r="L4" s="26" t="s">
        <v>1376</v>
      </c>
      <c r="M4" s="20" t="s">
        <v>8</v>
      </c>
      <c r="N4" s="20"/>
      <c r="O4" s="13" t="s">
        <v>3</v>
      </c>
      <c r="P4" s="13" t="s">
        <v>4</v>
      </c>
      <c r="Q4" s="22" t="s">
        <v>1118</v>
      </c>
      <c r="R4" s="26" t="s">
        <v>1376</v>
      </c>
      <c r="S4" s="13" t="s">
        <v>590</v>
      </c>
      <c r="T4" s="13" t="s">
        <v>1387</v>
      </c>
      <c r="U4" s="13" t="s">
        <v>479</v>
      </c>
      <c r="V4" s="24">
        <v>1790395405001</v>
      </c>
      <c r="W4" s="13"/>
      <c r="X4" s="13"/>
      <c r="Y4" s="13"/>
      <c r="Z4" s="13"/>
      <c r="AA4" s="29"/>
      <c r="AB4" s="29">
        <v>213600</v>
      </c>
      <c r="AC4" s="29">
        <v>0</v>
      </c>
      <c r="AD4" s="29">
        <f>213600+25000</f>
        <v>238600</v>
      </c>
      <c r="AE4" s="29">
        <f>AK4-AB4</f>
        <v>20807.48000000001</v>
      </c>
      <c r="AF4" s="29">
        <f t="shared" si="4"/>
        <v>259407.48</v>
      </c>
      <c r="AG4" s="25">
        <v>0.12</v>
      </c>
      <c r="AH4" s="29">
        <f t="shared" ref="AH4:AH54" si="5">AD4*0.12</f>
        <v>28632</v>
      </c>
      <c r="AI4" s="29"/>
      <c r="AJ4" s="29">
        <f t="shared" si="0"/>
        <v>290536.37760000007</v>
      </c>
      <c r="AK4" s="126">
        <v>234407.48</v>
      </c>
      <c r="AL4" s="126">
        <v>0</v>
      </c>
      <c r="AM4" s="126"/>
      <c r="AN4" s="29"/>
      <c r="AO4" s="29">
        <f>213600+25000</f>
        <v>238600</v>
      </c>
      <c r="AP4" s="29"/>
      <c r="AQ4" s="29">
        <v>234407.48</v>
      </c>
      <c r="AR4" s="25">
        <v>0.12</v>
      </c>
      <c r="AS4" s="29">
        <f>AQ4*0.12</f>
        <v>28128.8976</v>
      </c>
      <c r="AT4" s="29">
        <f>AQ4*1.12</f>
        <v>262536.37760000007</v>
      </c>
      <c r="AU4" s="29"/>
      <c r="AV4" s="29"/>
      <c r="AW4" s="29"/>
      <c r="AX4" s="29"/>
      <c r="AY4" s="29"/>
      <c r="AZ4" s="29"/>
      <c r="BA4" s="29"/>
      <c r="BB4" s="29"/>
      <c r="BC4" s="29"/>
      <c r="BD4" s="29"/>
      <c r="BE4" s="29"/>
      <c r="BF4" s="29"/>
      <c r="BG4" s="29">
        <f t="shared" si="1"/>
        <v>0</v>
      </c>
      <c r="BH4" s="29"/>
      <c r="BI4" s="29" t="s">
        <v>570</v>
      </c>
      <c r="BJ4" s="29" t="s">
        <v>570</v>
      </c>
      <c r="BK4" s="29" t="s">
        <v>570</v>
      </c>
      <c r="BL4" s="29" t="s">
        <v>570</v>
      </c>
      <c r="BM4" s="29" t="s">
        <v>570</v>
      </c>
      <c r="BN4" s="23">
        <v>43040</v>
      </c>
      <c r="BO4" s="23">
        <v>43049</v>
      </c>
      <c r="BP4" s="23">
        <v>43054</v>
      </c>
      <c r="BQ4" s="23">
        <v>43069</v>
      </c>
      <c r="BR4" s="13"/>
      <c r="BS4" s="23">
        <v>43075</v>
      </c>
      <c r="BT4" s="23">
        <v>43081</v>
      </c>
      <c r="BU4" s="13" t="s">
        <v>570</v>
      </c>
      <c r="BV4" s="13" t="s">
        <v>570</v>
      </c>
      <c r="BW4" s="224" t="s">
        <v>570</v>
      </c>
      <c r="BX4" s="23">
        <v>43087</v>
      </c>
      <c r="BY4" s="13" t="s">
        <v>570</v>
      </c>
      <c r="BZ4" s="23">
        <v>43088</v>
      </c>
      <c r="CA4" s="23">
        <v>43256</v>
      </c>
      <c r="CB4" s="224" t="s">
        <v>570</v>
      </c>
      <c r="CC4" s="224" t="s">
        <v>570</v>
      </c>
      <c r="CD4" s="224" t="s">
        <v>570</v>
      </c>
      <c r="CE4" s="13"/>
      <c r="CF4" s="13"/>
      <c r="CG4" s="13"/>
      <c r="CH4" s="13"/>
      <c r="CI4" s="13"/>
      <c r="CJ4" s="13"/>
      <c r="CK4" s="13"/>
      <c r="CL4" s="13"/>
      <c r="CM4" s="13"/>
      <c r="CN4" s="13"/>
      <c r="CO4" s="13"/>
      <c r="CP4" s="13"/>
      <c r="CQ4" s="13"/>
      <c r="CR4" s="13"/>
      <c r="CS4" s="13"/>
      <c r="CT4" s="13"/>
      <c r="CU4" s="13"/>
      <c r="CV4" s="2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31">
        <f t="shared" si="2"/>
        <v>0</v>
      </c>
      <c r="DZ4" s="13"/>
      <c r="EA4" s="13"/>
      <c r="EB4" s="13"/>
      <c r="EC4" s="13"/>
      <c r="ED4" s="13"/>
      <c r="EE4" s="13"/>
      <c r="EF4" s="13"/>
      <c r="EG4" s="13">
        <v>210</v>
      </c>
      <c r="EH4" s="13" t="s">
        <v>588</v>
      </c>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25"/>
      <c r="FL4" s="25"/>
      <c r="FM4" s="25"/>
      <c r="FN4" s="25"/>
      <c r="FO4" s="25"/>
      <c r="FP4" s="25"/>
      <c r="FQ4" s="25"/>
      <c r="FR4" s="25"/>
      <c r="FS4" s="25"/>
      <c r="FT4" s="25"/>
      <c r="FU4" s="25">
        <v>0</v>
      </c>
      <c r="FV4" s="25">
        <v>0</v>
      </c>
      <c r="FW4" s="25">
        <v>0</v>
      </c>
      <c r="FX4" s="25">
        <v>0</v>
      </c>
      <c r="FY4" s="25">
        <v>0</v>
      </c>
      <c r="FZ4" s="25">
        <v>0</v>
      </c>
      <c r="GA4" s="25">
        <v>0</v>
      </c>
      <c r="GB4" s="25">
        <v>0</v>
      </c>
      <c r="GC4" s="25">
        <v>0</v>
      </c>
      <c r="GD4" s="25">
        <v>0.38</v>
      </c>
      <c r="GE4" s="25">
        <v>0.38</v>
      </c>
      <c r="GF4" s="25">
        <v>0.9</v>
      </c>
      <c r="GG4" s="25">
        <v>0.9</v>
      </c>
      <c r="GH4" s="25">
        <v>0.7</v>
      </c>
      <c r="GI4" s="25">
        <v>1</v>
      </c>
      <c r="GJ4" s="25">
        <v>1</v>
      </c>
      <c r="GK4" s="25">
        <v>1</v>
      </c>
      <c r="GL4" s="25">
        <v>1</v>
      </c>
      <c r="GM4" s="25">
        <v>1</v>
      </c>
      <c r="GN4" s="25">
        <v>1</v>
      </c>
      <c r="GO4" s="25">
        <v>1</v>
      </c>
      <c r="GP4" s="25">
        <v>1</v>
      </c>
      <c r="GQ4" s="25">
        <v>1</v>
      </c>
      <c r="GR4" s="25">
        <v>1</v>
      </c>
      <c r="GS4" s="25">
        <v>1</v>
      </c>
      <c r="GT4" s="25">
        <v>1</v>
      </c>
      <c r="GU4" s="25">
        <v>1</v>
      </c>
      <c r="GV4" s="25" t="s">
        <v>1588</v>
      </c>
      <c r="GW4" s="25" t="s">
        <v>1588</v>
      </c>
      <c r="GX4" s="25" t="s">
        <v>1588</v>
      </c>
      <c r="GY4" s="25" t="s">
        <v>1588</v>
      </c>
      <c r="GZ4" s="25" t="s">
        <v>1588</v>
      </c>
      <c r="HA4" s="25" t="s">
        <v>1588</v>
      </c>
      <c r="HB4" s="25" t="s">
        <v>455</v>
      </c>
      <c r="HC4" s="25" t="s">
        <v>455</v>
      </c>
      <c r="HD4" s="25" t="s">
        <v>455</v>
      </c>
      <c r="HE4" s="25" t="s">
        <v>455</v>
      </c>
      <c r="HF4" s="25" t="s">
        <v>455</v>
      </c>
      <c r="HG4" s="25" t="s">
        <v>455</v>
      </c>
      <c r="HH4" s="25" t="s">
        <v>455</v>
      </c>
      <c r="HI4" s="25" t="s">
        <v>1638</v>
      </c>
      <c r="HJ4" s="25"/>
      <c r="HK4" s="25"/>
      <c r="HL4" s="25" t="s">
        <v>1712</v>
      </c>
      <c r="HM4" s="25" t="s">
        <v>1744</v>
      </c>
      <c r="HN4" s="25"/>
      <c r="HO4" s="25"/>
      <c r="HP4" s="25"/>
      <c r="HQ4" s="25"/>
      <c r="HR4" s="25"/>
      <c r="HS4" s="25"/>
      <c r="HT4" s="25"/>
      <c r="HU4" s="16" t="s">
        <v>1377</v>
      </c>
      <c r="HV4" s="16"/>
      <c r="HW4" s="13" t="s">
        <v>1202</v>
      </c>
      <c r="HX4" s="55"/>
      <c r="HY4" s="55"/>
      <c r="HZ4" s="55"/>
      <c r="IA4" s="55"/>
      <c r="IB4" s="55"/>
      <c r="IC4" s="55"/>
      <c r="ID4" s="55"/>
      <c r="IE4" s="55"/>
      <c r="IF4" s="107">
        <v>213600</v>
      </c>
      <c r="IG4" s="107"/>
      <c r="IH4" s="250">
        <f t="shared" si="3"/>
        <v>234407.48</v>
      </c>
      <c r="II4" s="55"/>
      <c r="IJ4" s="55"/>
      <c r="IK4" s="55"/>
      <c r="IL4" s="55"/>
      <c r="IM4" s="55"/>
      <c r="IN4" s="55"/>
      <c r="IO4" s="55"/>
      <c r="IP4" s="55"/>
      <c r="IQ4" s="55"/>
      <c r="IR4" s="55"/>
      <c r="IS4" s="55"/>
      <c r="IT4" s="55"/>
      <c r="IU4" s="55"/>
      <c r="IV4" s="55"/>
      <c r="IW4" s="55"/>
      <c r="IX4" s="55"/>
      <c r="IY4" s="55"/>
      <c r="IZ4" s="55"/>
      <c r="JA4" s="55"/>
      <c r="JB4" s="55"/>
      <c r="JC4" s="55"/>
      <c r="JD4" s="55">
        <v>2018</v>
      </c>
      <c r="JE4" s="6"/>
      <c r="JF4" s="6"/>
      <c r="JG4" s="6"/>
      <c r="JH4" s="6"/>
      <c r="JI4" s="6"/>
      <c r="JJ4" s="6"/>
      <c r="JK4" s="6"/>
      <c r="JL4" s="6"/>
      <c r="JM4" s="6"/>
      <c r="JN4" s="6"/>
      <c r="JO4" s="6"/>
      <c r="JP4" s="6"/>
      <c r="JQ4" s="6"/>
      <c r="JR4" s="6"/>
      <c r="JS4" s="6"/>
      <c r="JT4" s="6"/>
      <c r="JU4" s="6"/>
      <c r="JV4" s="6"/>
      <c r="JW4" s="6"/>
      <c r="JX4" s="6"/>
      <c r="JY4" s="6"/>
      <c r="JZ4" s="6"/>
      <c r="KA4" s="6"/>
    </row>
    <row r="5" spans="1:411" s="5" customFormat="1" ht="60" hidden="1" customHeight="1">
      <c r="A5" s="26" t="s">
        <v>9</v>
      </c>
      <c r="B5" s="26" t="s">
        <v>1</v>
      </c>
      <c r="C5" s="26" t="s">
        <v>352</v>
      </c>
      <c r="D5" s="13" t="s">
        <v>377</v>
      </c>
      <c r="E5" s="16" t="s">
        <v>353</v>
      </c>
      <c r="F5" s="13" t="s">
        <v>353</v>
      </c>
      <c r="G5" s="39" t="s">
        <v>354</v>
      </c>
      <c r="H5" s="253" t="s">
        <v>1559</v>
      </c>
      <c r="I5" s="14" t="s">
        <v>10</v>
      </c>
      <c r="J5" s="40">
        <v>1</v>
      </c>
      <c r="K5" s="26" t="s">
        <v>375</v>
      </c>
      <c r="L5" s="26" t="s">
        <v>584</v>
      </c>
      <c r="M5" s="247" t="s">
        <v>10</v>
      </c>
      <c r="N5" s="254"/>
      <c r="O5" s="26" t="s">
        <v>3</v>
      </c>
      <c r="P5" s="26" t="s">
        <v>4</v>
      </c>
      <c r="Q5" s="255" t="s">
        <v>1118</v>
      </c>
      <c r="R5" s="26" t="s">
        <v>584</v>
      </c>
      <c r="S5" s="26" t="s">
        <v>396</v>
      </c>
      <c r="T5" s="26" t="s">
        <v>1387</v>
      </c>
      <c r="U5" s="26" t="s">
        <v>479</v>
      </c>
      <c r="V5" s="26" t="s">
        <v>475</v>
      </c>
      <c r="W5" s="26"/>
      <c r="X5" s="26"/>
      <c r="Y5" s="26"/>
      <c r="Z5" s="26"/>
      <c r="AA5" s="256"/>
      <c r="AB5" s="256">
        <v>36450</v>
      </c>
      <c r="AC5" s="256">
        <v>0</v>
      </c>
      <c r="AD5" s="256">
        <v>36450</v>
      </c>
      <c r="AE5" s="256">
        <v>0</v>
      </c>
      <c r="AF5" s="256">
        <f t="shared" si="4"/>
        <v>36450</v>
      </c>
      <c r="AG5" s="257">
        <v>0.12</v>
      </c>
      <c r="AH5" s="256">
        <f t="shared" si="5"/>
        <v>4374</v>
      </c>
      <c r="AI5" s="256">
        <f t="shared" ref="AI5:AI53" si="6">AE5*0.12</f>
        <v>0</v>
      </c>
      <c r="AJ5" s="256">
        <f t="shared" si="0"/>
        <v>40824.000000000007</v>
      </c>
      <c r="AK5" s="258">
        <v>35356.480000000003</v>
      </c>
      <c r="AL5" s="258">
        <f>AB5-AK5</f>
        <v>1093.5199999999968</v>
      </c>
      <c r="AM5" s="258"/>
      <c r="AN5" s="256"/>
      <c r="AO5" s="256">
        <v>33305.1</v>
      </c>
      <c r="AP5" s="256"/>
      <c r="AQ5" s="256">
        <v>35356.480000000003</v>
      </c>
      <c r="AR5" s="259">
        <v>0.14000000000000001</v>
      </c>
      <c r="AS5" s="256">
        <f>AQ5*0.14</f>
        <v>4949.9072000000006</v>
      </c>
      <c r="AT5" s="256">
        <f>+AQ5*1.14</f>
        <v>40306.387199999997</v>
      </c>
      <c r="AU5" s="256"/>
      <c r="AV5" s="256"/>
      <c r="AW5" s="256"/>
      <c r="AX5" s="256"/>
      <c r="AY5" s="256"/>
      <c r="AZ5" s="256"/>
      <c r="BA5" s="256"/>
      <c r="BB5" s="256"/>
      <c r="BC5" s="256"/>
      <c r="BD5" s="256"/>
      <c r="BE5" s="256"/>
      <c r="BF5" s="256">
        <f t="shared" ref="BF5:BF14" si="7">AB5-AQ5</f>
        <v>1093.5199999999968</v>
      </c>
      <c r="BG5" s="256">
        <f t="shared" si="1"/>
        <v>1093.5199999999968</v>
      </c>
      <c r="BH5" s="256" t="s">
        <v>586</v>
      </c>
      <c r="BI5" s="256" t="s">
        <v>570</v>
      </c>
      <c r="BJ5" s="256" t="s">
        <v>570</v>
      </c>
      <c r="BK5" s="256" t="s">
        <v>570</v>
      </c>
      <c r="BL5" s="256" t="s">
        <v>570</v>
      </c>
      <c r="BM5" s="256" t="s">
        <v>570</v>
      </c>
      <c r="BN5" s="102">
        <v>42613</v>
      </c>
      <c r="BO5" s="102">
        <v>42620</v>
      </c>
      <c r="BP5" s="102">
        <v>42627</v>
      </c>
      <c r="BQ5" s="102">
        <v>42641</v>
      </c>
      <c r="BR5" s="26" t="s">
        <v>570</v>
      </c>
      <c r="BS5" s="102">
        <v>42655</v>
      </c>
      <c r="BT5" s="102">
        <v>42660</v>
      </c>
      <c r="BU5" s="26" t="s">
        <v>570</v>
      </c>
      <c r="BV5" s="26" t="s">
        <v>570</v>
      </c>
      <c r="BW5" s="260" t="s">
        <v>570</v>
      </c>
      <c r="BX5" s="102">
        <v>42667</v>
      </c>
      <c r="BY5" s="26" t="s">
        <v>570</v>
      </c>
      <c r="BZ5" s="102">
        <v>42696</v>
      </c>
      <c r="CA5" s="102">
        <v>42458</v>
      </c>
      <c r="CB5" s="260" t="s">
        <v>570</v>
      </c>
      <c r="CC5" s="260" t="s">
        <v>570</v>
      </c>
      <c r="CD5" s="260" t="s">
        <v>570</v>
      </c>
      <c r="CE5" s="26"/>
      <c r="CF5" s="26"/>
      <c r="CG5" s="26"/>
      <c r="CH5" s="26"/>
      <c r="CI5" s="26"/>
      <c r="CJ5" s="26"/>
      <c r="CK5" s="26"/>
      <c r="CL5" s="26"/>
      <c r="CM5" s="26"/>
      <c r="CN5" s="26"/>
      <c r="CO5" s="26"/>
      <c r="CP5" s="26"/>
      <c r="CQ5" s="26"/>
      <c r="CR5" s="26"/>
      <c r="CS5" s="26" t="s">
        <v>570</v>
      </c>
      <c r="CT5" s="26" t="s">
        <v>570</v>
      </c>
      <c r="CU5" s="26" t="s">
        <v>570</v>
      </c>
      <c r="CV5" s="26" t="s">
        <v>503</v>
      </c>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1">
        <f t="shared" si="2"/>
        <v>0</v>
      </c>
      <c r="DZ5" s="26"/>
      <c r="EA5" s="26"/>
      <c r="EB5" s="26"/>
      <c r="EC5" s="26"/>
      <c r="ED5" s="26"/>
      <c r="EE5" s="26"/>
      <c r="EF5" s="26"/>
      <c r="EG5" s="26">
        <v>90</v>
      </c>
      <c r="EH5" s="26" t="s">
        <v>588</v>
      </c>
      <c r="EI5" s="26" t="s">
        <v>503</v>
      </c>
      <c r="EJ5" s="26" t="s">
        <v>503</v>
      </c>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57">
        <v>0.4</v>
      </c>
      <c r="FV5" s="257">
        <v>0.4</v>
      </c>
      <c r="FW5" s="257">
        <v>0.4</v>
      </c>
      <c r="FX5" s="257">
        <v>0.45</v>
      </c>
      <c r="FY5" s="257">
        <v>0.8</v>
      </c>
      <c r="FZ5" s="262">
        <v>0.8</v>
      </c>
      <c r="GA5" s="262">
        <v>0.8</v>
      </c>
      <c r="GB5" s="262">
        <v>0.9</v>
      </c>
      <c r="GC5" s="262">
        <v>0.9</v>
      </c>
      <c r="GD5" s="262">
        <v>1</v>
      </c>
      <c r="GE5" s="262">
        <v>1</v>
      </c>
      <c r="GF5" s="262">
        <v>1</v>
      </c>
      <c r="GG5" s="262">
        <v>1</v>
      </c>
      <c r="GH5" s="262">
        <v>1</v>
      </c>
      <c r="GI5" s="262">
        <v>1</v>
      </c>
      <c r="GJ5" s="262">
        <v>1</v>
      </c>
      <c r="GK5" s="262">
        <v>1</v>
      </c>
      <c r="GL5" s="262">
        <v>1</v>
      </c>
      <c r="GM5" s="262">
        <v>1</v>
      </c>
      <c r="GN5" s="262">
        <v>1</v>
      </c>
      <c r="GO5" s="262">
        <v>1</v>
      </c>
      <c r="GP5" s="262">
        <v>1</v>
      </c>
      <c r="GQ5" s="262">
        <v>1</v>
      </c>
      <c r="GR5" s="262">
        <v>1</v>
      </c>
      <c r="GS5" s="262">
        <v>1</v>
      </c>
      <c r="GT5" s="262">
        <v>1</v>
      </c>
      <c r="GU5" s="262">
        <v>1</v>
      </c>
      <c r="GV5" s="257" t="s">
        <v>452</v>
      </c>
      <c r="GW5" s="257" t="s">
        <v>452</v>
      </c>
      <c r="GX5" s="257" t="s">
        <v>452</v>
      </c>
      <c r="GY5" s="257" t="s">
        <v>452</v>
      </c>
      <c r="GZ5" s="257" t="s">
        <v>452</v>
      </c>
      <c r="HA5" s="257" t="s">
        <v>452</v>
      </c>
      <c r="HB5" s="257" t="s">
        <v>452</v>
      </c>
      <c r="HC5" s="257" t="s">
        <v>452</v>
      </c>
      <c r="HD5" s="257" t="s">
        <v>452</v>
      </c>
      <c r="HE5" s="257" t="s">
        <v>452</v>
      </c>
      <c r="HF5" s="257" t="s">
        <v>452</v>
      </c>
      <c r="HG5" s="257" t="s">
        <v>452</v>
      </c>
      <c r="HH5" s="257" t="s">
        <v>452</v>
      </c>
      <c r="HI5" s="262"/>
      <c r="HJ5" s="257"/>
      <c r="HK5" s="257"/>
      <c r="HL5" s="257"/>
      <c r="HM5" s="257"/>
      <c r="HN5" s="257"/>
      <c r="HO5" s="257"/>
      <c r="HP5" s="257"/>
      <c r="HQ5" s="257"/>
      <c r="HR5" s="257"/>
      <c r="HS5" s="257"/>
      <c r="HT5" s="257"/>
      <c r="HU5" s="26" t="s">
        <v>644</v>
      </c>
      <c r="HV5" s="26"/>
      <c r="HW5" s="26" t="s">
        <v>1375</v>
      </c>
      <c r="HX5" s="55"/>
      <c r="HY5" s="55"/>
      <c r="HZ5" s="55"/>
      <c r="IA5" s="55"/>
      <c r="IB5" s="55"/>
      <c r="IC5" s="55"/>
      <c r="ID5" s="55"/>
      <c r="IE5" s="55"/>
      <c r="IF5" s="263">
        <v>36450</v>
      </c>
      <c r="IG5" s="263">
        <v>35356.480000000003</v>
      </c>
      <c r="IH5" s="250">
        <f t="shared" si="3"/>
        <v>0</v>
      </c>
      <c r="II5" s="55"/>
      <c r="IJ5" s="55"/>
      <c r="IK5" s="55"/>
      <c r="IL5" s="55"/>
      <c r="IM5" s="55"/>
      <c r="IN5" s="55"/>
      <c r="IO5" s="55"/>
      <c r="IP5" s="55"/>
      <c r="IQ5" s="55"/>
      <c r="IR5" s="55"/>
      <c r="IS5" s="55"/>
      <c r="IT5" s="55"/>
      <c r="IU5" s="55"/>
      <c r="IV5" s="55"/>
      <c r="IW5" s="55"/>
      <c r="IX5" s="55"/>
      <c r="IY5" s="55"/>
      <c r="IZ5" s="55"/>
      <c r="JA5" s="55"/>
      <c r="JB5" s="55"/>
      <c r="JC5" s="55"/>
      <c r="JD5" s="55">
        <v>2018</v>
      </c>
      <c r="JE5" s="6"/>
      <c r="JF5" s="6"/>
      <c r="JG5" s="6"/>
      <c r="JH5" s="6"/>
      <c r="JI5" s="6"/>
      <c r="JJ5" s="6"/>
      <c r="JK5" s="6"/>
      <c r="JL5" s="6"/>
      <c r="JM5" s="6"/>
      <c r="JN5" s="6"/>
      <c r="JO5" s="6"/>
      <c r="JP5" s="6"/>
      <c r="JQ5" s="6"/>
      <c r="JR5" s="6"/>
      <c r="JS5" s="6"/>
      <c r="JT5" s="6"/>
      <c r="JU5" s="6"/>
      <c r="JV5" s="6"/>
      <c r="JW5" s="6"/>
      <c r="JX5" s="6"/>
      <c r="JY5" s="6"/>
      <c r="JZ5" s="6"/>
      <c r="KA5" s="6"/>
    </row>
    <row r="6" spans="1:411" s="5" customFormat="1" ht="48" hidden="1" customHeight="1">
      <c r="A6" s="13" t="s">
        <v>9</v>
      </c>
      <c r="B6" s="26" t="s">
        <v>1</v>
      </c>
      <c r="C6" s="13" t="s">
        <v>352</v>
      </c>
      <c r="D6" s="13" t="s">
        <v>377</v>
      </c>
      <c r="E6" s="16" t="s">
        <v>353</v>
      </c>
      <c r="F6" s="13" t="s">
        <v>353</v>
      </c>
      <c r="G6" s="39" t="s">
        <v>354</v>
      </c>
      <c r="H6" s="28" t="s">
        <v>1559</v>
      </c>
      <c r="I6" s="381" t="s">
        <v>10</v>
      </c>
      <c r="J6" s="40">
        <v>1</v>
      </c>
      <c r="K6" s="26" t="s">
        <v>375</v>
      </c>
      <c r="L6" s="26" t="s">
        <v>587</v>
      </c>
      <c r="M6" s="20" t="s">
        <v>10</v>
      </c>
      <c r="N6" s="20" t="s">
        <v>1981</v>
      </c>
      <c r="O6" s="13" t="s">
        <v>3</v>
      </c>
      <c r="P6" s="13" t="s">
        <v>4</v>
      </c>
      <c r="Q6" s="22" t="s">
        <v>1118</v>
      </c>
      <c r="R6" s="26" t="s">
        <v>587</v>
      </c>
      <c r="S6" s="22" t="s">
        <v>589</v>
      </c>
      <c r="T6" s="13" t="s">
        <v>1387</v>
      </c>
      <c r="U6" s="13" t="s">
        <v>479</v>
      </c>
      <c r="V6" s="24">
        <v>1790051765001</v>
      </c>
      <c r="W6" s="13"/>
      <c r="X6" s="13"/>
      <c r="Y6" s="13"/>
      <c r="Z6" s="13"/>
      <c r="AA6" s="29"/>
      <c r="AB6" s="29">
        <v>115150</v>
      </c>
      <c r="AC6" s="29">
        <v>0</v>
      </c>
      <c r="AD6" s="29">
        <v>115150</v>
      </c>
      <c r="AE6" s="29">
        <v>0</v>
      </c>
      <c r="AF6" s="29">
        <f t="shared" si="4"/>
        <v>115150</v>
      </c>
      <c r="AG6" s="25">
        <v>0.12</v>
      </c>
      <c r="AH6" s="29">
        <f t="shared" si="5"/>
        <v>13818</v>
      </c>
      <c r="AI6" s="29">
        <f t="shared" si="6"/>
        <v>0</v>
      </c>
      <c r="AJ6" s="29">
        <f t="shared" si="0"/>
        <v>128968.00000000001</v>
      </c>
      <c r="AK6" s="126">
        <v>103261.53000000001</v>
      </c>
      <c r="AL6" s="126">
        <f>AB6-AK6</f>
        <v>11888.469999999987</v>
      </c>
      <c r="AM6" s="126"/>
      <c r="AN6" s="29"/>
      <c r="AO6" s="29">
        <v>115150</v>
      </c>
      <c r="AP6" s="29">
        <v>864.95</v>
      </c>
      <c r="AQ6" s="29">
        <f>AP6+AP7+AP8+AP9</f>
        <v>32261.27</v>
      </c>
      <c r="AR6" s="35">
        <v>0.14000000000000001</v>
      </c>
      <c r="AS6" s="29">
        <f>AQ6*0.14</f>
        <v>4516.5778000000009</v>
      </c>
      <c r="AT6" s="29">
        <f t="shared" ref="AT6:AT14" si="8">+AQ6*1.14</f>
        <v>36777.847799999996</v>
      </c>
      <c r="AU6" s="29"/>
      <c r="AV6" s="29"/>
      <c r="AW6" s="29"/>
      <c r="AX6" s="29"/>
      <c r="AY6" s="29"/>
      <c r="AZ6" s="29"/>
      <c r="BA6" s="29"/>
      <c r="BB6" s="29"/>
      <c r="BC6" s="29"/>
      <c r="BD6" s="29"/>
      <c r="BE6" s="29"/>
      <c r="BF6" s="29">
        <f t="shared" si="7"/>
        <v>82888.73</v>
      </c>
      <c r="BG6" s="29">
        <f t="shared" si="1"/>
        <v>82888.73</v>
      </c>
      <c r="BH6" s="29" t="s">
        <v>586</v>
      </c>
      <c r="BI6" s="29" t="s">
        <v>570</v>
      </c>
      <c r="BJ6" s="29" t="s">
        <v>570</v>
      </c>
      <c r="BK6" s="29" t="s">
        <v>570</v>
      </c>
      <c r="BL6" s="29" t="s">
        <v>570</v>
      </c>
      <c r="BM6" s="29" t="s">
        <v>570</v>
      </c>
      <c r="BN6" s="23">
        <v>42613</v>
      </c>
      <c r="BO6" s="23">
        <v>42620</v>
      </c>
      <c r="BP6" s="23">
        <v>42627</v>
      </c>
      <c r="BQ6" s="23">
        <v>42641</v>
      </c>
      <c r="BR6" s="13" t="s">
        <v>570</v>
      </c>
      <c r="BS6" s="23">
        <v>42655</v>
      </c>
      <c r="BT6" s="23">
        <v>42660</v>
      </c>
      <c r="BU6" s="13" t="s">
        <v>570</v>
      </c>
      <c r="BV6" s="13" t="s">
        <v>570</v>
      </c>
      <c r="BW6" s="224" t="s">
        <v>570</v>
      </c>
      <c r="BX6" s="23">
        <v>42681</v>
      </c>
      <c r="BY6" s="13" t="s">
        <v>570</v>
      </c>
      <c r="BZ6" s="23">
        <v>42681</v>
      </c>
      <c r="CA6" s="13" t="s">
        <v>503</v>
      </c>
      <c r="CB6" s="224" t="s">
        <v>570</v>
      </c>
      <c r="CC6" s="224" t="s">
        <v>570</v>
      </c>
      <c r="CD6" s="224" t="s">
        <v>570</v>
      </c>
      <c r="CE6" s="13"/>
      <c r="CF6" s="13"/>
      <c r="CG6" s="13"/>
      <c r="CH6" s="13"/>
      <c r="CI6" s="13"/>
      <c r="CJ6" s="13"/>
      <c r="CK6" s="13"/>
      <c r="CL6" s="13"/>
      <c r="CM6" s="13"/>
      <c r="CN6" s="13"/>
      <c r="CO6" s="13"/>
      <c r="CP6" s="13"/>
      <c r="CQ6" s="13"/>
      <c r="CR6" s="13"/>
      <c r="CS6" s="13" t="s">
        <v>570</v>
      </c>
      <c r="CT6" s="13" t="s">
        <v>570</v>
      </c>
      <c r="CU6" s="13" t="s">
        <v>570</v>
      </c>
      <c r="CV6" s="23">
        <v>42760</v>
      </c>
      <c r="CW6" s="30">
        <v>16130.64</v>
      </c>
      <c r="CX6" s="167"/>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31">
        <f t="shared" si="2"/>
        <v>16130.64</v>
      </c>
      <c r="DZ6" s="13"/>
      <c r="EA6" s="13"/>
      <c r="EB6" s="13"/>
      <c r="EC6" s="13"/>
      <c r="ED6" s="13"/>
      <c r="EE6" s="13"/>
      <c r="EF6" s="13"/>
      <c r="EG6" s="13">
        <v>90</v>
      </c>
      <c r="EH6" s="13" t="s">
        <v>588</v>
      </c>
      <c r="EI6" s="23">
        <f t="shared" ref="EI6:EI14" si="9">CV6+1</f>
        <v>42761</v>
      </c>
      <c r="EJ6" s="23">
        <f t="shared" ref="EJ6:EJ14" si="10">EI6+EG6</f>
        <v>42851</v>
      </c>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25">
        <v>0.2</v>
      </c>
      <c r="FW6" s="25">
        <v>0.4</v>
      </c>
      <c r="FX6" s="25">
        <v>0.6</v>
      </c>
      <c r="FY6" s="25">
        <v>0.8</v>
      </c>
      <c r="FZ6" s="36">
        <v>0.8</v>
      </c>
      <c r="GA6" s="36">
        <v>0.8</v>
      </c>
      <c r="GB6" s="36">
        <v>1</v>
      </c>
      <c r="GC6" s="36">
        <v>1</v>
      </c>
      <c r="GD6" s="36">
        <v>1</v>
      </c>
      <c r="GE6" s="36">
        <v>1</v>
      </c>
      <c r="GF6" s="36">
        <v>1</v>
      </c>
      <c r="GG6" s="36">
        <v>1</v>
      </c>
      <c r="GH6" s="36">
        <v>1</v>
      </c>
      <c r="GI6" s="36">
        <v>1</v>
      </c>
      <c r="GJ6" s="36">
        <v>1</v>
      </c>
      <c r="GK6" s="36">
        <v>1</v>
      </c>
      <c r="GL6" s="36">
        <v>1</v>
      </c>
      <c r="GM6" s="36">
        <v>1</v>
      </c>
      <c r="GN6" s="36">
        <v>1</v>
      </c>
      <c r="GO6" s="36">
        <v>1</v>
      </c>
      <c r="GP6" s="36">
        <v>1</v>
      </c>
      <c r="GQ6" s="36">
        <v>1</v>
      </c>
      <c r="GR6" s="36">
        <v>1</v>
      </c>
      <c r="GS6" s="36">
        <v>1</v>
      </c>
      <c r="GT6" s="36">
        <v>1</v>
      </c>
      <c r="GU6" s="36">
        <v>1</v>
      </c>
      <c r="GV6" s="25" t="s">
        <v>455</v>
      </c>
      <c r="GW6" s="25" t="s">
        <v>455</v>
      </c>
      <c r="GX6" s="25" t="s">
        <v>455</v>
      </c>
      <c r="GY6" s="25" t="s">
        <v>455</v>
      </c>
      <c r="GZ6" s="25" t="s">
        <v>455</v>
      </c>
      <c r="HA6" s="25" t="s">
        <v>455</v>
      </c>
      <c r="HB6" s="25" t="s">
        <v>455</v>
      </c>
      <c r="HC6" s="25" t="s">
        <v>455</v>
      </c>
      <c r="HD6" s="25" t="s">
        <v>455</v>
      </c>
      <c r="HE6" s="25" t="s">
        <v>455</v>
      </c>
      <c r="HF6" s="25" t="s">
        <v>455</v>
      </c>
      <c r="HG6" s="25" t="s">
        <v>455</v>
      </c>
      <c r="HH6" s="25" t="s">
        <v>455</v>
      </c>
      <c r="HI6" s="36"/>
      <c r="HJ6" s="25"/>
      <c r="HK6" s="25"/>
      <c r="HL6" s="25"/>
      <c r="HM6" s="25"/>
      <c r="HN6" s="25"/>
      <c r="HO6" s="25"/>
      <c r="HP6" s="25"/>
      <c r="HQ6" s="25"/>
      <c r="HR6" s="25"/>
      <c r="HS6" s="25"/>
      <c r="HT6" s="25"/>
      <c r="HU6" s="13" t="s">
        <v>645</v>
      </c>
      <c r="HV6" s="13"/>
      <c r="HW6" s="13" t="s">
        <v>1202</v>
      </c>
      <c r="HX6" s="55"/>
      <c r="HY6" s="55"/>
      <c r="HZ6" s="55"/>
      <c r="IA6" s="55"/>
      <c r="IB6" s="55"/>
      <c r="IC6" s="55"/>
      <c r="ID6" s="55"/>
      <c r="IE6" s="55"/>
      <c r="IF6" s="107">
        <v>115150</v>
      </c>
      <c r="IG6" s="107">
        <v>103261.53000000001</v>
      </c>
      <c r="IH6" s="250">
        <f t="shared" si="3"/>
        <v>0</v>
      </c>
      <c r="II6" s="55"/>
      <c r="IJ6" s="55"/>
      <c r="IK6" s="55"/>
      <c r="IL6" s="55"/>
      <c r="IM6" s="55"/>
      <c r="IN6" s="55"/>
      <c r="IO6" s="55"/>
      <c r="IP6" s="55"/>
      <c r="IQ6" s="55"/>
      <c r="IR6" s="55"/>
      <c r="IS6" s="55"/>
      <c r="IT6" s="55"/>
      <c r="IU6" s="55"/>
      <c r="IV6" s="55"/>
      <c r="IW6" s="55"/>
      <c r="IX6" s="55"/>
      <c r="IY6" s="55"/>
      <c r="IZ6" s="55"/>
      <c r="JA6" s="55"/>
      <c r="JB6" s="55"/>
      <c r="JC6" s="55"/>
      <c r="JD6" s="55">
        <v>2017</v>
      </c>
      <c r="JE6" s="6"/>
      <c r="JF6" s="6"/>
      <c r="JG6" s="6"/>
      <c r="JH6" s="6"/>
      <c r="JI6" s="6"/>
      <c r="JJ6" s="6"/>
      <c r="JK6" s="6"/>
      <c r="JL6" s="6"/>
      <c r="JM6" s="6"/>
      <c r="JN6" s="6"/>
      <c r="JO6" s="6"/>
      <c r="JP6" s="6"/>
      <c r="JQ6" s="6"/>
      <c r="JR6" s="6"/>
      <c r="JS6" s="6"/>
      <c r="JT6" s="6"/>
      <c r="JU6" s="6"/>
      <c r="JV6" s="6"/>
      <c r="JW6" s="6"/>
      <c r="JX6" s="6"/>
      <c r="JY6" s="6"/>
      <c r="JZ6" s="6"/>
      <c r="KA6" s="6"/>
    </row>
    <row r="7" spans="1:411" s="5" customFormat="1" ht="24.95" hidden="1" customHeight="1">
      <c r="A7" s="13" t="s">
        <v>9</v>
      </c>
      <c r="B7" s="26" t="s">
        <v>1</v>
      </c>
      <c r="C7" s="13" t="s">
        <v>352</v>
      </c>
      <c r="D7" s="13" t="s">
        <v>377</v>
      </c>
      <c r="E7" s="16" t="s">
        <v>353</v>
      </c>
      <c r="F7" s="13" t="s">
        <v>353</v>
      </c>
      <c r="G7" s="39" t="s">
        <v>354</v>
      </c>
      <c r="H7" s="28" t="s">
        <v>1559</v>
      </c>
      <c r="I7" s="382"/>
      <c r="J7" s="40">
        <v>1</v>
      </c>
      <c r="K7" s="26" t="s">
        <v>375</v>
      </c>
      <c r="L7" s="26" t="s">
        <v>587</v>
      </c>
      <c r="M7" s="20" t="s">
        <v>10</v>
      </c>
      <c r="N7" s="20" t="s">
        <v>1982</v>
      </c>
      <c r="O7" s="13" t="s">
        <v>3</v>
      </c>
      <c r="P7" s="13" t="s">
        <v>4</v>
      </c>
      <c r="Q7" s="22" t="s">
        <v>1118</v>
      </c>
      <c r="R7" s="26" t="s">
        <v>587</v>
      </c>
      <c r="S7" s="22" t="s">
        <v>589</v>
      </c>
      <c r="T7" s="13" t="s">
        <v>1387</v>
      </c>
      <c r="U7" s="13" t="s">
        <v>479</v>
      </c>
      <c r="V7" s="24">
        <v>1790051765001</v>
      </c>
      <c r="W7" s="13"/>
      <c r="X7" s="13"/>
      <c r="Y7" s="13"/>
      <c r="Z7" s="13"/>
      <c r="AA7" s="29"/>
      <c r="AB7" s="29">
        <v>0</v>
      </c>
      <c r="AC7" s="29">
        <v>0</v>
      </c>
      <c r="AD7" s="29"/>
      <c r="AE7" s="29">
        <v>0</v>
      </c>
      <c r="AF7" s="29">
        <f t="shared" si="4"/>
        <v>0</v>
      </c>
      <c r="AG7" s="25">
        <v>0.12</v>
      </c>
      <c r="AH7" s="29">
        <f t="shared" si="5"/>
        <v>0</v>
      </c>
      <c r="AI7" s="29">
        <f t="shared" si="6"/>
        <v>0</v>
      </c>
      <c r="AJ7" s="29">
        <f t="shared" si="0"/>
        <v>0</v>
      </c>
      <c r="AK7" s="29"/>
      <c r="AL7" s="29"/>
      <c r="AM7" s="29"/>
      <c r="AN7" s="29"/>
      <c r="AO7" s="29"/>
      <c r="AP7" s="29">
        <v>1619.73</v>
      </c>
      <c r="AQ7" s="29"/>
      <c r="AR7" s="35"/>
      <c r="AS7" s="35"/>
      <c r="AT7" s="29">
        <f t="shared" si="8"/>
        <v>0</v>
      </c>
      <c r="AU7" s="29"/>
      <c r="AV7" s="29"/>
      <c r="AW7" s="29"/>
      <c r="AX7" s="29"/>
      <c r="AY7" s="29"/>
      <c r="AZ7" s="29"/>
      <c r="BA7" s="29"/>
      <c r="BB7" s="29"/>
      <c r="BC7" s="29"/>
      <c r="BD7" s="29"/>
      <c r="BE7" s="29"/>
      <c r="BF7" s="29">
        <f t="shared" si="7"/>
        <v>0</v>
      </c>
      <c r="BG7" s="29">
        <f t="shared" si="1"/>
        <v>0</v>
      </c>
      <c r="BH7" s="29" t="s">
        <v>586</v>
      </c>
      <c r="BI7" s="29" t="s">
        <v>570</v>
      </c>
      <c r="BJ7" s="29" t="s">
        <v>570</v>
      </c>
      <c r="BK7" s="29" t="s">
        <v>570</v>
      </c>
      <c r="BL7" s="29" t="s">
        <v>570</v>
      </c>
      <c r="BM7" s="29" t="s">
        <v>570</v>
      </c>
      <c r="BN7" s="23">
        <v>42613</v>
      </c>
      <c r="BO7" s="23">
        <v>42620</v>
      </c>
      <c r="BP7" s="23">
        <v>42627</v>
      </c>
      <c r="BQ7" s="23">
        <v>42641</v>
      </c>
      <c r="BR7" s="13" t="s">
        <v>570</v>
      </c>
      <c r="BS7" s="23">
        <v>42655</v>
      </c>
      <c r="BT7" s="23">
        <v>42660</v>
      </c>
      <c r="BU7" s="13" t="s">
        <v>570</v>
      </c>
      <c r="BV7" s="13" t="s">
        <v>570</v>
      </c>
      <c r="BW7" s="224" t="s">
        <v>570</v>
      </c>
      <c r="BX7" s="23">
        <v>42681</v>
      </c>
      <c r="BY7" s="13" t="s">
        <v>570</v>
      </c>
      <c r="BZ7" s="23">
        <v>42681</v>
      </c>
      <c r="CA7" s="13" t="s">
        <v>503</v>
      </c>
      <c r="CB7" s="224" t="s">
        <v>570</v>
      </c>
      <c r="CC7" s="224" t="s">
        <v>570</v>
      </c>
      <c r="CD7" s="224" t="s">
        <v>570</v>
      </c>
      <c r="CE7" s="13"/>
      <c r="CF7" s="13"/>
      <c r="CG7" s="13"/>
      <c r="CH7" s="13"/>
      <c r="CI7" s="13"/>
      <c r="CJ7" s="13"/>
      <c r="CK7" s="13"/>
      <c r="CL7" s="13"/>
      <c r="CM7" s="13"/>
      <c r="CN7" s="13"/>
      <c r="CO7" s="13"/>
      <c r="CP7" s="13"/>
      <c r="CQ7" s="13"/>
      <c r="CR7" s="13"/>
      <c r="CS7" s="13" t="s">
        <v>570</v>
      </c>
      <c r="CT7" s="13" t="s">
        <v>570</v>
      </c>
      <c r="CU7" s="13" t="s">
        <v>570</v>
      </c>
      <c r="CV7" s="23">
        <v>42760</v>
      </c>
      <c r="CW7" s="30"/>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31">
        <f t="shared" si="2"/>
        <v>0</v>
      </c>
      <c r="DZ7" s="13"/>
      <c r="EA7" s="13"/>
      <c r="EB7" s="13"/>
      <c r="EC7" s="13"/>
      <c r="ED7" s="13"/>
      <c r="EE7" s="13"/>
      <c r="EF7" s="13"/>
      <c r="EG7" s="13">
        <v>90</v>
      </c>
      <c r="EH7" s="13" t="s">
        <v>588</v>
      </c>
      <c r="EI7" s="23">
        <f t="shared" si="9"/>
        <v>42761</v>
      </c>
      <c r="EJ7" s="23">
        <f t="shared" si="10"/>
        <v>42851</v>
      </c>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25">
        <v>0.2</v>
      </c>
      <c r="FW7" s="25">
        <v>0.4</v>
      </c>
      <c r="FX7" s="25">
        <v>0.6</v>
      </c>
      <c r="FY7" s="25">
        <v>0.8</v>
      </c>
      <c r="FZ7" s="36">
        <v>0.8</v>
      </c>
      <c r="GA7" s="36">
        <v>0.8</v>
      </c>
      <c r="GB7" s="36">
        <v>1</v>
      </c>
      <c r="GC7" s="36">
        <v>1</v>
      </c>
      <c r="GD7" s="36">
        <v>1</v>
      </c>
      <c r="GE7" s="36">
        <v>1</v>
      </c>
      <c r="GF7" s="36">
        <v>1</v>
      </c>
      <c r="GG7" s="36">
        <v>1</v>
      </c>
      <c r="GH7" s="36">
        <v>1</v>
      </c>
      <c r="GI7" s="36">
        <v>1</v>
      </c>
      <c r="GJ7" s="36">
        <v>1</v>
      </c>
      <c r="GK7" s="36">
        <v>1</v>
      </c>
      <c r="GL7" s="36">
        <v>1</v>
      </c>
      <c r="GM7" s="36">
        <v>1</v>
      </c>
      <c r="GN7" s="36">
        <v>1</v>
      </c>
      <c r="GO7" s="36">
        <v>1</v>
      </c>
      <c r="GP7" s="36">
        <v>1</v>
      </c>
      <c r="GQ7" s="36">
        <v>1</v>
      </c>
      <c r="GR7" s="36">
        <v>1</v>
      </c>
      <c r="GS7" s="36">
        <v>1</v>
      </c>
      <c r="GT7" s="36">
        <v>1</v>
      </c>
      <c r="GU7" s="36">
        <v>1</v>
      </c>
      <c r="GV7" s="25" t="s">
        <v>455</v>
      </c>
      <c r="GW7" s="25" t="s">
        <v>455</v>
      </c>
      <c r="GX7" s="25" t="s">
        <v>455</v>
      </c>
      <c r="GY7" s="25" t="s">
        <v>455</v>
      </c>
      <c r="GZ7" s="25" t="s">
        <v>455</v>
      </c>
      <c r="HA7" s="25" t="s">
        <v>455</v>
      </c>
      <c r="HB7" s="25" t="s">
        <v>455</v>
      </c>
      <c r="HC7" s="25" t="s">
        <v>455</v>
      </c>
      <c r="HD7" s="25" t="s">
        <v>455</v>
      </c>
      <c r="HE7" s="25" t="s">
        <v>455</v>
      </c>
      <c r="HF7" s="25" t="s">
        <v>455</v>
      </c>
      <c r="HG7" s="25" t="s">
        <v>455</v>
      </c>
      <c r="HH7" s="25" t="s">
        <v>455</v>
      </c>
      <c r="HI7" s="36"/>
      <c r="HJ7" s="25"/>
      <c r="HK7" s="25"/>
      <c r="HL7" s="25"/>
      <c r="HM7" s="25"/>
      <c r="HN7" s="25"/>
      <c r="HO7" s="25"/>
      <c r="HP7" s="25"/>
      <c r="HQ7" s="25"/>
      <c r="HR7" s="25"/>
      <c r="HS7" s="25"/>
      <c r="HT7" s="25"/>
      <c r="HU7" s="13"/>
      <c r="HV7" s="13"/>
      <c r="HW7" s="13" t="s">
        <v>1202</v>
      </c>
      <c r="HX7" s="55"/>
      <c r="HY7" s="55"/>
      <c r="HZ7" s="55"/>
      <c r="IA7" s="55"/>
      <c r="IB7" s="55"/>
      <c r="IC7" s="55"/>
      <c r="ID7" s="55"/>
      <c r="IE7" s="55"/>
      <c r="IF7" s="107">
        <v>0</v>
      </c>
      <c r="IG7" s="107"/>
      <c r="IH7" s="250">
        <f t="shared" si="3"/>
        <v>0</v>
      </c>
      <c r="II7" s="55"/>
      <c r="IJ7" s="55"/>
      <c r="IK7" s="55"/>
      <c r="IL7" s="55"/>
      <c r="IM7" s="55"/>
      <c r="IN7" s="55"/>
      <c r="IO7" s="55"/>
      <c r="IP7" s="55"/>
      <c r="IQ7" s="55"/>
      <c r="IR7" s="55"/>
      <c r="IS7" s="55"/>
      <c r="IT7" s="55"/>
      <c r="IU7" s="55"/>
      <c r="IV7" s="55"/>
      <c r="IW7" s="55"/>
      <c r="IX7" s="55"/>
      <c r="IY7" s="55"/>
      <c r="IZ7" s="55"/>
      <c r="JA7" s="55"/>
      <c r="JB7" s="55"/>
      <c r="JC7" s="55"/>
      <c r="JD7" s="55">
        <v>2017</v>
      </c>
      <c r="JE7" s="6"/>
      <c r="JF7" s="6"/>
      <c r="JG7" s="6"/>
      <c r="JH7" s="6"/>
      <c r="JI7" s="6"/>
      <c r="JJ7" s="6"/>
      <c r="JK7" s="6"/>
      <c r="JL7" s="6"/>
      <c r="JM7" s="6"/>
      <c r="JN7" s="6"/>
      <c r="JO7" s="6"/>
      <c r="JP7" s="6"/>
      <c r="JQ7" s="6"/>
      <c r="JR7" s="6"/>
      <c r="JS7" s="6"/>
      <c r="JT7" s="6"/>
      <c r="JU7" s="6"/>
      <c r="JV7" s="6"/>
      <c r="JW7" s="6"/>
      <c r="JX7" s="6"/>
      <c r="JY7" s="6"/>
      <c r="JZ7" s="6"/>
      <c r="KA7" s="6"/>
    </row>
    <row r="8" spans="1:411" s="5" customFormat="1" ht="24.95" hidden="1" customHeight="1">
      <c r="A8" s="13" t="s">
        <v>9</v>
      </c>
      <c r="B8" s="26" t="s">
        <v>1</v>
      </c>
      <c r="C8" s="13" t="s">
        <v>352</v>
      </c>
      <c r="D8" s="13" t="s">
        <v>377</v>
      </c>
      <c r="E8" s="16" t="s">
        <v>353</v>
      </c>
      <c r="F8" s="13" t="s">
        <v>353</v>
      </c>
      <c r="G8" s="39" t="s">
        <v>354</v>
      </c>
      <c r="H8" s="28" t="s">
        <v>1559</v>
      </c>
      <c r="I8" s="382"/>
      <c r="J8" s="40">
        <v>1</v>
      </c>
      <c r="K8" s="26" t="s">
        <v>375</v>
      </c>
      <c r="L8" s="26" t="s">
        <v>587</v>
      </c>
      <c r="M8" s="20" t="s">
        <v>10</v>
      </c>
      <c r="N8" s="20" t="s">
        <v>1983</v>
      </c>
      <c r="O8" s="13" t="s">
        <v>3</v>
      </c>
      <c r="P8" s="13" t="s">
        <v>4</v>
      </c>
      <c r="Q8" s="22" t="s">
        <v>1118</v>
      </c>
      <c r="R8" s="26" t="s">
        <v>587</v>
      </c>
      <c r="S8" s="22" t="s">
        <v>589</v>
      </c>
      <c r="T8" s="13" t="s">
        <v>1387</v>
      </c>
      <c r="U8" s="13" t="s">
        <v>479</v>
      </c>
      <c r="V8" s="24">
        <v>1790051765001</v>
      </c>
      <c r="W8" s="13"/>
      <c r="X8" s="13"/>
      <c r="Y8" s="13"/>
      <c r="Z8" s="13"/>
      <c r="AA8" s="29"/>
      <c r="AB8" s="29">
        <v>0</v>
      </c>
      <c r="AC8" s="29">
        <v>0</v>
      </c>
      <c r="AD8" s="29"/>
      <c r="AE8" s="29">
        <v>0</v>
      </c>
      <c r="AF8" s="29">
        <f t="shared" si="4"/>
        <v>0</v>
      </c>
      <c r="AG8" s="25">
        <v>0.12</v>
      </c>
      <c r="AH8" s="29">
        <f t="shared" si="5"/>
        <v>0</v>
      </c>
      <c r="AI8" s="29">
        <f t="shared" si="6"/>
        <v>0</v>
      </c>
      <c r="AJ8" s="29">
        <f t="shared" si="0"/>
        <v>0</v>
      </c>
      <c r="AK8" s="29"/>
      <c r="AL8" s="29"/>
      <c r="AM8" s="29"/>
      <c r="AN8" s="29"/>
      <c r="AO8" s="29"/>
      <c r="AP8" s="29">
        <v>810.54</v>
      </c>
      <c r="AQ8" s="29"/>
      <c r="AR8" s="35"/>
      <c r="AS8" s="35"/>
      <c r="AT8" s="29">
        <f t="shared" si="8"/>
        <v>0</v>
      </c>
      <c r="AU8" s="29"/>
      <c r="AV8" s="29"/>
      <c r="AW8" s="29"/>
      <c r="AX8" s="29"/>
      <c r="AY8" s="29"/>
      <c r="AZ8" s="29"/>
      <c r="BA8" s="29"/>
      <c r="BB8" s="29"/>
      <c r="BC8" s="29"/>
      <c r="BD8" s="29"/>
      <c r="BE8" s="29"/>
      <c r="BF8" s="29">
        <f t="shared" si="7"/>
        <v>0</v>
      </c>
      <c r="BG8" s="29">
        <f t="shared" si="1"/>
        <v>0</v>
      </c>
      <c r="BH8" s="29" t="s">
        <v>586</v>
      </c>
      <c r="BI8" s="29" t="s">
        <v>570</v>
      </c>
      <c r="BJ8" s="29" t="s">
        <v>570</v>
      </c>
      <c r="BK8" s="29" t="s">
        <v>570</v>
      </c>
      <c r="BL8" s="29" t="s">
        <v>570</v>
      </c>
      <c r="BM8" s="29" t="s">
        <v>570</v>
      </c>
      <c r="BN8" s="23">
        <v>42613</v>
      </c>
      <c r="BO8" s="23">
        <v>42620</v>
      </c>
      <c r="BP8" s="23">
        <v>42627</v>
      </c>
      <c r="BQ8" s="23">
        <v>42641</v>
      </c>
      <c r="BR8" s="13" t="s">
        <v>570</v>
      </c>
      <c r="BS8" s="23">
        <v>42655</v>
      </c>
      <c r="BT8" s="23">
        <v>42660</v>
      </c>
      <c r="BU8" s="13" t="s">
        <v>570</v>
      </c>
      <c r="BV8" s="13" t="s">
        <v>570</v>
      </c>
      <c r="BW8" s="224" t="s">
        <v>570</v>
      </c>
      <c r="BX8" s="23">
        <v>42681</v>
      </c>
      <c r="BY8" s="13" t="s">
        <v>570</v>
      </c>
      <c r="BZ8" s="23">
        <v>42681</v>
      </c>
      <c r="CA8" s="13" t="s">
        <v>503</v>
      </c>
      <c r="CB8" s="224" t="s">
        <v>570</v>
      </c>
      <c r="CC8" s="224" t="s">
        <v>570</v>
      </c>
      <c r="CD8" s="224" t="s">
        <v>570</v>
      </c>
      <c r="CE8" s="13"/>
      <c r="CF8" s="13"/>
      <c r="CG8" s="13"/>
      <c r="CH8" s="13"/>
      <c r="CI8" s="13"/>
      <c r="CJ8" s="13"/>
      <c r="CK8" s="13"/>
      <c r="CL8" s="13"/>
      <c r="CM8" s="13"/>
      <c r="CN8" s="13"/>
      <c r="CO8" s="13"/>
      <c r="CP8" s="13"/>
      <c r="CQ8" s="13"/>
      <c r="CR8" s="13"/>
      <c r="CS8" s="13" t="s">
        <v>570</v>
      </c>
      <c r="CT8" s="13" t="s">
        <v>570</v>
      </c>
      <c r="CU8" s="13" t="s">
        <v>570</v>
      </c>
      <c r="CV8" s="23">
        <v>42760</v>
      </c>
      <c r="CW8" s="30"/>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31">
        <f t="shared" si="2"/>
        <v>0</v>
      </c>
      <c r="DZ8" s="13"/>
      <c r="EA8" s="13"/>
      <c r="EB8" s="13"/>
      <c r="EC8" s="13"/>
      <c r="ED8" s="13"/>
      <c r="EE8" s="13"/>
      <c r="EF8" s="13"/>
      <c r="EG8" s="13">
        <v>90</v>
      </c>
      <c r="EH8" s="13" t="s">
        <v>588</v>
      </c>
      <c r="EI8" s="23">
        <f t="shared" si="9"/>
        <v>42761</v>
      </c>
      <c r="EJ8" s="23">
        <f t="shared" si="10"/>
        <v>42851</v>
      </c>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25">
        <v>0.2</v>
      </c>
      <c r="FW8" s="25">
        <v>0.4</v>
      </c>
      <c r="FX8" s="25">
        <v>0.6</v>
      </c>
      <c r="FY8" s="25">
        <v>0.8</v>
      </c>
      <c r="FZ8" s="36">
        <v>0.8</v>
      </c>
      <c r="GA8" s="36">
        <v>0.8</v>
      </c>
      <c r="GB8" s="36">
        <v>1</v>
      </c>
      <c r="GC8" s="36">
        <v>1</v>
      </c>
      <c r="GD8" s="36">
        <v>1</v>
      </c>
      <c r="GE8" s="36">
        <v>1</v>
      </c>
      <c r="GF8" s="36">
        <v>1</v>
      </c>
      <c r="GG8" s="36">
        <v>1</v>
      </c>
      <c r="GH8" s="36">
        <v>1</v>
      </c>
      <c r="GI8" s="36">
        <v>1</v>
      </c>
      <c r="GJ8" s="36">
        <v>1</v>
      </c>
      <c r="GK8" s="36">
        <v>1</v>
      </c>
      <c r="GL8" s="36">
        <v>1</v>
      </c>
      <c r="GM8" s="36">
        <v>1</v>
      </c>
      <c r="GN8" s="36">
        <v>1</v>
      </c>
      <c r="GO8" s="36">
        <v>1</v>
      </c>
      <c r="GP8" s="36">
        <v>1</v>
      </c>
      <c r="GQ8" s="36">
        <v>1</v>
      </c>
      <c r="GR8" s="36">
        <v>1</v>
      </c>
      <c r="GS8" s="36">
        <v>1</v>
      </c>
      <c r="GT8" s="36">
        <v>1</v>
      </c>
      <c r="GU8" s="36">
        <v>1</v>
      </c>
      <c r="GV8" s="25" t="s">
        <v>455</v>
      </c>
      <c r="GW8" s="25" t="s">
        <v>455</v>
      </c>
      <c r="GX8" s="25" t="s">
        <v>455</v>
      </c>
      <c r="GY8" s="25" t="s">
        <v>455</v>
      </c>
      <c r="GZ8" s="25" t="s">
        <v>455</v>
      </c>
      <c r="HA8" s="25" t="s">
        <v>455</v>
      </c>
      <c r="HB8" s="25" t="s">
        <v>455</v>
      </c>
      <c r="HC8" s="25" t="s">
        <v>455</v>
      </c>
      <c r="HD8" s="25" t="s">
        <v>455</v>
      </c>
      <c r="HE8" s="25" t="s">
        <v>455</v>
      </c>
      <c r="HF8" s="25" t="s">
        <v>455</v>
      </c>
      <c r="HG8" s="25" t="s">
        <v>455</v>
      </c>
      <c r="HH8" s="25" t="s">
        <v>455</v>
      </c>
      <c r="HI8" s="36"/>
      <c r="HJ8" s="25"/>
      <c r="HK8" s="25"/>
      <c r="HL8" s="25"/>
      <c r="HM8" s="25"/>
      <c r="HN8" s="25"/>
      <c r="HO8" s="25"/>
      <c r="HP8" s="25"/>
      <c r="HQ8" s="25"/>
      <c r="HR8" s="25"/>
      <c r="HS8" s="25"/>
      <c r="HT8" s="25"/>
      <c r="HU8" s="13"/>
      <c r="HV8" s="13"/>
      <c r="HW8" s="13" t="s">
        <v>1202</v>
      </c>
      <c r="HX8" s="55"/>
      <c r="HY8" s="55"/>
      <c r="HZ8" s="55"/>
      <c r="IA8" s="55"/>
      <c r="IB8" s="55"/>
      <c r="IC8" s="55"/>
      <c r="ID8" s="55"/>
      <c r="IE8" s="55"/>
      <c r="IF8" s="107">
        <v>0</v>
      </c>
      <c r="IG8" s="107"/>
      <c r="IH8" s="250">
        <f t="shared" si="3"/>
        <v>0</v>
      </c>
      <c r="II8" s="55"/>
      <c r="IJ8" s="55"/>
      <c r="IK8" s="55"/>
      <c r="IL8" s="55"/>
      <c r="IM8" s="55"/>
      <c r="IN8" s="55"/>
      <c r="IO8" s="55"/>
      <c r="IP8" s="55"/>
      <c r="IQ8" s="55"/>
      <c r="IR8" s="55"/>
      <c r="IS8" s="55"/>
      <c r="IT8" s="55"/>
      <c r="IU8" s="55"/>
      <c r="IV8" s="55"/>
      <c r="IW8" s="55"/>
      <c r="IX8" s="55"/>
      <c r="IY8" s="55"/>
      <c r="IZ8" s="55"/>
      <c r="JA8" s="55"/>
      <c r="JB8" s="55"/>
      <c r="JC8" s="55"/>
      <c r="JD8" s="55">
        <v>2017</v>
      </c>
      <c r="JE8" s="6"/>
      <c r="JF8" s="6"/>
      <c r="JG8" s="6"/>
      <c r="JH8" s="6"/>
      <c r="JI8" s="6"/>
      <c r="JJ8" s="6"/>
      <c r="JK8" s="6"/>
      <c r="JL8" s="6"/>
      <c r="JM8" s="6"/>
      <c r="JN8" s="6"/>
      <c r="JO8" s="6"/>
      <c r="JP8" s="6"/>
      <c r="JQ8" s="6"/>
      <c r="JR8" s="6"/>
      <c r="JS8" s="6"/>
      <c r="JT8" s="6"/>
      <c r="JU8" s="6"/>
      <c r="JV8" s="6"/>
      <c r="JW8" s="6"/>
      <c r="JX8" s="6"/>
      <c r="JY8" s="6"/>
      <c r="JZ8" s="6"/>
      <c r="KA8" s="6"/>
    </row>
    <row r="9" spans="1:411" s="5" customFormat="1" ht="24.95" hidden="1" customHeight="1">
      <c r="A9" s="13" t="s">
        <v>9</v>
      </c>
      <c r="B9" s="26" t="s">
        <v>1</v>
      </c>
      <c r="C9" s="13" t="s">
        <v>352</v>
      </c>
      <c r="D9" s="13" t="s">
        <v>377</v>
      </c>
      <c r="E9" s="16" t="s">
        <v>353</v>
      </c>
      <c r="F9" s="13" t="s">
        <v>353</v>
      </c>
      <c r="G9" s="39" t="s">
        <v>354</v>
      </c>
      <c r="H9" s="28" t="s">
        <v>1559</v>
      </c>
      <c r="I9" s="382"/>
      <c r="J9" s="40">
        <v>1</v>
      </c>
      <c r="K9" s="26" t="s">
        <v>375</v>
      </c>
      <c r="L9" s="26" t="s">
        <v>587</v>
      </c>
      <c r="M9" s="20" t="s">
        <v>10</v>
      </c>
      <c r="N9" s="20" t="s">
        <v>1984</v>
      </c>
      <c r="O9" s="13" t="s">
        <v>3</v>
      </c>
      <c r="P9" s="13" t="s">
        <v>4</v>
      </c>
      <c r="Q9" s="22" t="s">
        <v>1118</v>
      </c>
      <c r="R9" s="26" t="s">
        <v>587</v>
      </c>
      <c r="S9" s="22" t="s">
        <v>589</v>
      </c>
      <c r="T9" s="13" t="s">
        <v>1387</v>
      </c>
      <c r="U9" s="13" t="s">
        <v>479</v>
      </c>
      <c r="V9" s="24">
        <v>1790051765001</v>
      </c>
      <c r="W9" s="13"/>
      <c r="X9" s="13"/>
      <c r="Y9" s="13"/>
      <c r="Z9" s="13"/>
      <c r="AA9" s="29"/>
      <c r="AB9" s="29">
        <v>0</v>
      </c>
      <c r="AC9" s="29">
        <v>0</v>
      </c>
      <c r="AD9" s="29"/>
      <c r="AE9" s="29">
        <v>0</v>
      </c>
      <c r="AF9" s="29">
        <f t="shared" si="4"/>
        <v>0</v>
      </c>
      <c r="AG9" s="25">
        <v>0.12</v>
      </c>
      <c r="AH9" s="29">
        <f t="shared" si="5"/>
        <v>0</v>
      </c>
      <c r="AI9" s="29">
        <f t="shared" si="6"/>
        <v>0</v>
      </c>
      <c r="AJ9" s="29">
        <f t="shared" si="0"/>
        <v>0</v>
      </c>
      <c r="AK9" s="29"/>
      <c r="AL9" s="29"/>
      <c r="AM9" s="29"/>
      <c r="AN9" s="29"/>
      <c r="AO9" s="29"/>
      <c r="AP9" s="29">
        <v>28966.05</v>
      </c>
      <c r="AQ9" s="29"/>
      <c r="AR9" s="35"/>
      <c r="AS9" s="35"/>
      <c r="AT9" s="29">
        <f t="shared" si="8"/>
        <v>0</v>
      </c>
      <c r="AU9" s="29"/>
      <c r="AV9" s="29"/>
      <c r="AW9" s="29"/>
      <c r="AX9" s="29"/>
      <c r="AY9" s="29"/>
      <c r="AZ9" s="29"/>
      <c r="BA9" s="29"/>
      <c r="BB9" s="29"/>
      <c r="BC9" s="29"/>
      <c r="BD9" s="29"/>
      <c r="BE9" s="29"/>
      <c r="BF9" s="29">
        <f t="shared" si="7"/>
        <v>0</v>
      </c>
      <c r="BG9" s="29">
        <f t="shared" si="1"/>
        <v>0</v>
      </c>
      <c r="BH9" s="29" t="s">
        <v>586</v>
      </c>
      <c r="BI9" s="29" t="s">
        <v>570</v>
      </c>
      <c r="BJ9" s="29" t="s">
        <v>570</v>
      </c>
      <c r="BK9" s="29" t="s">
        <v>570</v>
      </c>
      <c r="BL9" s="29" t="s">
        <v>570</v>
      </c>
      <c r="BM9" s="29" t="s">
        <v>570</v>
      </c>
      <c r="BN9" s="23">
        <v>42613</v>
      </c>
      <c r="BO9" s="23">
        <v>42620</v>
      </c>
      <c r="BP9" s="23">
        <v>42627</v>
      </c>
      <c r="BQ9" s="23">
        <v>42641</v>
      </c>
      <c r="BR9" s="13" t="s">
        <v>570</v>
      </c>
      <c r="BS9" s="23">
        <v>42655</v>
      </c>
      <c r="BT9" s="23">
        <v>42660</v>
      </c>
      <c r="BU9" s="13" t="s">
        <v>570</v>
      </c>
      <c r="BV9" s="13" t="s">
        <v>570</v>
      </c>
      <c r="BW9" s="224" t="s">
        <v>570</v>
      </c>
      <c r="BX9" s="23">
        <v>42681</v>
      </c>
      <c r="BY9" s="13" t="s">
        <v>570</v>
      </c>
      <c r="BZ9" s="23">
        <v>42681</v>
      </c>
      <c r="CA9" s="13" t="s">
        <v>503</v>
      </c>
      <c r="CB9" s="224" t="s">
        <v>570</v>
      </c>
      <c r="CC9" s="224" t="s">
        <v>570</v>
      </c>
      <c r="CD9" s="224" t="s">
        <v>570</v>
      </c>
      <c r="CE9" s="13"/>
      <c r="CF9" s="13"/>
      <c r="CG9" s="13"/>
      <c r="CH9" s="13"/>
      <c r="CI9" s="13"/>
      <c r="CJ9" s="13"/>
      <c r="CK9" s="13"/>
      <c r="CL9" s="13"/>
      <c r="CM9" s="13"/>
      <c r="CN9" s="13"/>
      <c r="CO9" s="13"/>
      <c r="CP9" s="13"/>
      <c r="CQ9" s="13"/>
      <c r="CR9" s="13"/>
      <c r="CS9" s="13" t="s">
        <v>570</v>
      </c>
      <c r="CT9" s="13" t="s">
        <v>570</v>
      </c>
      <c r="CU9" s="13" t="s">
        <v>570</v>
      </c>
      <c r="CV9" s="23">
        <v>42760</v>
      </c>
      <c r="CW9" s="30"/>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31">
        <f t="shared" si="2"/>
        <v>0</v>
      </c>
      <c r="DZ9" s="13"/>
      <c r="EA9" s="13"/>
      <c r="EB9" s="13"/>
      <c r="EC9" s="13"/>
      <c r="ED9" s="13"/>
      <c r="EE9" s="13"/>
      <c r="EF9" s="13"/>
      <c r="EG9" s="13">
        <v>90</v>
      </c>
      <c r="EH9" s="13" t="s">
        <v>588</v>
      </c>
      <c r="EI9" s="23">
        <f t="shared" si="9"/>
        <v>42761</v>
      </c>
      <c r="EJ9" s="23">
        <f t="shared" si="10"/>
        <v>42851</v>
      </c>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25">
        <v>0.2</v>
      </c>
      <c r="FW9" s="25">
        <v>0.4</v>
      </c>
      <c r="FX9" s="25">
        <v>0.6</v>
      </c>
      <c r="FY9" s="25">
        <v>0.8</v>
      </c>
      <c r="FZ9" s="36">
        <v>0.8</v>
      </c>
      <c r="GA9" s="36">
        <v>0.8</v>
      </c>
      <c r="GB9" s="36">
        <v>1</v>
      </c>
      <c r="GC9" s="36">
        <v>1</v>
      </c>
      <c r="GD9" s="36">
        <v>1</v>
      </c>
      <c r="GE9" s="36">
        <v>1</v>
      </c>
      <c r="GF9" s="36">
        <v>1</v>
      </c>
      <c r="GG9" s="36">
        <v>1</v>
      </c>
      <c r="GH9" s="36">
        <v>1</v>
      </c>
      <c r="GI9" s="36">
        <v>1</v>
      </c>
      <c r="GJ9" s="36">
        <v>1</v>
      </c>
      <c r="GK9" s="36">
        <v>1</v>
      </c>
      <c r="GL9" s="36">
        <v>1</v>
      </c>
      <c r="GM9" s="36">
        <v>1</v>
      </c>
      <c r="GN9" s="36">
        <v>1</v>
      </c>
      <c r="GO9" s="36">
        <v>1</v>
      </c>
      <c r="GP9" s="36">
        <v>1</v>
      </c>
      <c r="GQ9" s="36">
        <v>1</v>
      </c>
      <c r="GR9" s="36">
        <v>1</v>
      </c>
      <c r="GS9" s="36">
        <v>1</v>
      </c>
      <c r="GT9" s="36">
        <v>1</v>
      </c>
      <c r="GU9" s="36">
        <v>1</v>
      </c>
      <c r="GV9" s="25" t="s">
        <v>455</v>
      </c>
      <c r="GW9" s="25" t="s">
        <v>455</v>
      </c>
      <c r="GX9" s="25" t="s">
        <v>455</v>
      </c>
      <c r="GY9" s="25" t="s">
        <v>455</v>
      </c>
      <c r="GZ9" s="25" t="s">
        <v>455</v>
      </c>
      <c r="HA9" s="25" t="s">
        <v>455</v>
      </c>
      <c r="HB9" s="25" t="s">
        <v>455</v>
      </c>
      <c r="HC9" s="25" t="s">
        <v>455</v>
      </c>
      <c r="HD9" s="25" t="s">
        <v>455</v>
      </c>
      <c r="HE9" s="25" t="s">
        <v>455</v>
      </c>
      <c r="HF9" s="25" t="s">
        <v>455</v>
      </c>
      <c r="HG9" s="25" t="s">
        <v>455</v>
      </c>
      <c r="HH9" s="25" t="s">
        <v>455</v>
      </c>
      <c r="HI9" s="36"/>
      <c r="HJ9" s="25"/>
      <c r="HK9" s="25"/>
      <c r="HL9" s="25"/>
      <c r="HM9" s="25"/>
      <c r="HN9" s="25"/>
      <c r="HO9" s="25"/>
      <c r="HP9" s="25"/>
      <c r="HQ9" s="25"/>
      <c r="HR9" s="25"/>
      <c r="HS9" s="25"/>
      <c r="HT9" s="25"/>
      <c r="HU9" s="13"/>
      <c r="HV9" s="13"/>
      <c r="HW9" s="13" t="s">
        <v>1202</v>
      </c>
      <c r="HX9" s="55"/>
      <c r="HY9" s="55"/>
      <c r="HZ9" s="55"/>
      <c r="IA9" s="55"/>
      <c r="IB9" s="55"/>
      <c r="IC9" s="55"/>
      <c r="ID9" s="55"/>
      <c r="IE9" s="55"/>
      <c r="IF9" s="107">
        <v>0</v>
      </c>
      <c r="IG9" s="107"/>
      <c r="IH9" s="250">
        <f t="shared" si="3"/>
        <v>0</v>
      </c>
      <c r="II9" s="55"/>
      <c r="IJ9" s="55"/>
      <c r="IK9" s="55"/>
      <c r="IL9" s="55"/>
      <c r="IM9" s="55"/>
      <c r="IN9" s="55"/>
      <c r="IO9" s="55"/>
      <c r="IP9" s="55"/>
      <c r="IQ9" s="55"/>
      <c r="IR9" s="55"/>
      <c r="IS9" s="55"/>
      <c r="IT9" s="55"/>
      <c r="IU9" s="55"/>
      <c r="IV9" s="55"/>
      <c r="IW9" s="55"/>
      <c r="IX9" s="55"/>
      <c r="IY9" s="55"/>
      <c r="IZ9" s="55"/>
      <c r="JA9" s="55"/>
      <c r="JB9" s="55"/>
      <c r="JC9" s="55"/>
      <c r="JD9" s="55">
        <v>2017</v>
      </c>
      <c r="JE9" s="6"/>
      <c r="JF9" s="6"/>
      <c r="JG9" s="6"/>
      <c r="JH9" s="6"/>
      <c r="JI9" s="6"/>
      <c r="JJ9" s="6"/>
      <c r="JK9" s="6"/>
      <c r="JL9" s="6"/>
      <c r="JM9" s="6"/>
      <c r="JN9" s="6"/>
      <c r="JO9" s="6"/>
      <c r="JP9" s="6"/>
      <c r="JQ9" s="6"/>
      <c r="JR9" s="6"/>
      <c r="JS9" s="6"/>
      <c r="JT9" s="6"/>
      <c r="JU9" s="6"/>
      <c r="JV9" s="6"/>
      <c r="JW9" s="6"/>
      <c r="JX9" s="6"/>
      <c r="JY9" s="6"/>
      <c r="JZ9" s="6"/>
      <c r="KA9" s="6"/>
    </row>
    <row r="10" spans="1:411" s="5" customFormat="1" ht="24.95" hidden="1" customHeight="1">
      <c r="A10" s="13" t="s">
        <v>9</v>
      </c>
      <c r="B10" s="26" t="s">
        <v>1</v>
      </c>
      <c r="C10" s="13" t="s">
        <v>352</v>
      </c>
      <c r="D10" s="13" t="s">
        <v>377</v>
      </c>
      <c r="E10" s="16" t="s">
        <v>353</v>
      </c>
      <c r="F10" s="13" t="s">
        <v>353</v>
      </c>
      <c r="G10" s="39" t="s">
        <v>354</v>
      </c>
      <c r="H10" s="28" t="s">
        <v>1559</v>
      </c>
      <c r="I10" s="382"/>
      <c r="J10" s="40">
        <v>1</v>
      </c>
      <c r="K10" s="26" t="s">
        <v>375</v>
      </c>
      <c r="L10" s="26" t="s">
        <v>587</v>
      </c>
      <c r="M10" s="20" t="s">
        <v>10</v>
      </c>
      <c r="N10" s="20" t="s">
        <v>1985</v>
      </c>
      <c r="O10" s="13" t="s">
        <v>3</v>
      </c>
      <c r="P10" s="13" t="s">
        <v>4</v>
      </c>
      <c r="Q10" s="22" t="s">
        <v>1118</v>
      </c>
      <c r="R10" s="26" t="s">
        <v>587</v>
      </c>
      <c r="S10" s="13" t="s">
        <v>396</v>
      </c>
      <c r="T10" s="13" t="s">
        <v>1387</v>
      </c>
      <c r="U10" s="13" t="s">
        <v>479</v>
      </c>
      <c r="V10" s="13" t="s">
        <v>475</v>
      </c>
      <c r="W10" s="13"/>
      <c r="X10" s="13"/>
      <c r="Y10" s="13"/>
      <c r="Z10" s="13"/>
      <c r="AA10" s="29"/>
      <c r="AB10" s="29">
        <v>0</v>
      </c>
      <c r="AC10" s="29">
        <v>0</v>
      </c>
      <c r="AD10" s="29"/>
      <c r="AE10" s="29">
        <v>0</v>
      </c>
      <c r="AF10" s="29">
        <f t="shared" si="4"/>
        <v>0</v>
      </c>
      <c r="AG10" s="25">
        <v>0.12</v>
      </c>
      <c r="AH10" s="29">
        <f t="shared" si="5"/>
        <v>0</v>
      </c>
      <c r="AI10" s="29">
        <f t="shared" si="6"/>
        <v>0</v>
      </c>
      <c r="AJ10" s="29">
        <f t="shared" si="0"/>
        <v>0</v>
      </c>
      <c r="AK10" s="29"/>
      <c r="AL10" s="29"/>
      <c r="AM10" s="29"/>
      <c r="AN10" s="29"/>
      <c r="AO10" s="29"/>
      <c r="AP10" s="29">
        <v>21591.37</v>
      </c>
      <c r="AQ10" s="29">
        <f>AP10+AP11</f>
        <v>63600.259999999995</v>
      </c>
      <c r="AR10" s="35">
        <v>0.14000000000000001</v>
      </c>
      <c r="AS10" s="29">
        <f>AQ10*0.14</f>
        <v>8904.0364000000009</v>
      </c>
      <c r="AT10" s="29">
        <f t="shared" si="8"/>
        <v>72504.296399999992</v>
      </c>
      <c r="AU10" s="29"/>
      <c r="AV10" s="29"/>
      <c r="AW10" s="29"/>
      <c r="AX10" s="29"/>
      <c r="AY10" s="29"/>
      <c r="AZ10" s="29"/>
      <c r="BA10" s="29"/>
      <c r="BB10" s="29"/>
      <c r="BC10" s="29"/>
      <c r="BD10" s="29"/>
      <c r="BE10" s="29"/>
      <c r="BF10" s="29">
        <f t="shared" si="7"/>
        <v>-63600.259999999995</v>
      </c>
      <c r="BG10" s="29">
        <f t="shared" si="1"/>
        <v>-63600.259999999995</v>
      </c>
      <c r="BH10" s="29" t="s">
        <v>586</v>
      </c>
      <c r="BI10" s="29" t="s">
        <v>570</v>
      </c>
      <c r="BJ10" s="29" t="s">
        <v>570</v>
      </c>
      <c r="BK10" s="29" t="s">
        <v>570</v>
      </c>
      <c r="BL10" s="29" t="s">
        <v>570</v>
      </c>
      <c r="BM10" s="29" t="s">
        <v>570</v>
      </c>
      <c r="BN10" s="23">
        <v>42613</v>
      </c>
      <c r="BO10" s="23">
        <v>42620</v>
      </c>
      <c r="BP10" s="23">
        <v>42627</v>
      </c>
      <c r="BQ10" s="23">
        <v>42641</v>
      </c>
      <c r="BR10" s="13" t="s">
        <v>570</v>
      </c>
      <c r="BS10" s="23">
        <v>42655</v>
      </c>
      <c r="BT10" s="23">
        <v>42660</v>
      </c>
      <c r="BU10" s="13" t="s">
        <v>570</v>
      </c>
      <c r="BV10" s="13" t="s">
        <v>570</v>
      </c>
      <c r="BW10" s="224" t="s">
        <v>570</v>
      </c>
      <c r="BX10" s="23">
        <v>42681</v>
      </c>
      <c r="BY10" s="13" t="s">
        <v>570</v>
      </c>
      <c r="BZ10" s="23">
        <v>42681</v>
      </c>
      <c r="CA10" s="13" t="s">
        <v>503</v>
      </c>
      <c r="CB10" s="224" t="s">
        <v>570</v>
      </c>
      <c r="CC10" s="224" t="s">
        <v>570</v>
      </c>
      <c r="CD10" s="224" t="s">
        <v>570</v>
      </c>
      <c r="CE10" s="13"/>
      <c r="CF10" s="13"/>
      <c r="CG10" s="13"/>
      <c r="CH10" s="13"/>
      <c r="CI10" s="13"/>
      <c r="CJ10" s="13"/>
      <c r="CK10" s="13"/>
      <c r="CL10" s="13"/>
      <c r="CM10" s="13"/>
      <c r="CN10" s="13"/>
      <c r="CO10" s="13"/>
      <c r="CP10" s="13"/>
      <c r="CQ10" s="13"/>
      <c r="CR10" s="13"/>
      <c r="CS10" s="13" t="s">
        <v>570</v>
      </c>
      <c r="CT10" s="13" t="s">
        <v>570</v>
      </c>
      <c r="CU10" s="13" t="s">
        <v>570</v>
      </c>
      <c r="CV10" s="23">
        <v>42760</v>
      </c>
      <c r="CW10" s="30">
        <v>31800.13</v>
      </c>
      <c r="CX10" s="167"/>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31">
        <f t="shared" si="2"/>
        <v>31800.13</v>
      </c>
      <c r="DZ10" s="13"/>
      <c r="EA10" s="13"/>
      <c r="EB10" s="13"/>
      <c r="EC10" s="13"/>
      <c r="ED10" s="13"/>
      <c r="EE10" s="13"/>
      <c r="EF10" s="13"/>
      <c r="EG10" s="13">
        <v>90</v>
      </c>
      <c r="EH10" s="13" t="s">
        <v>588</v>
      </c>
      <c r="EI10" s="23">
        <f t="shared" si="9"/>
        <v>42761</v>
      </c>
      <c r="EJ10" s="23">
        <f t="shared" si="10"/>
        <v>42851</v>
      </c>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25">
        <v>0.2</v>
      </c>
      <c r="FW10" s="25">
        <v>0.4</v>
      </c>
      <c r="FX10" s="25">
        <v>0.6</v>
      </c>
      <c r="FY10" s="25">
        <v>0.8</v>
      </c>
      <c r="FZ10" s="36">
        <v>0.8</v>
      </c>
      <c r="GA10" s="36">
        <v>0.8</v>
      </c>
      <c r="GB10" s="36">
        <v>1</v>
      </c>
      <c r="GC10" s="36">
        <v>1</v>
      </c>
      <c r="GD10" s="36">
        <v>1</v>
      </c>
      <c r="GE10" s="36">
        <v>1</v>
      </c>
      <c r="GF10" s="36">
        <v>1</v>
      </c>
      <c r="GG10" s="36">
        <v>1</v>
      </c>
      <c r="GH10" s="36">
        <v>1</v>
      </c>
      <c r="GI10" s="36">
        <v>1</v>
      </c>
      <c r="GJ10" s="36">
        <v>1</v>
      </c>
      <c r="GK10" s="36">
        <v>1</v>
      </c>
      <c r="GL10" s="36">
        <v>1</v>
      </c>
      <c r="GM10" s="36">
        <v>1</v>
      </c>
      <c r="GN10" s="36">
        <v>1</v>
      </c>
      <c r="GO10" s="36">
        <v>1</v>
      </c>
      <c r="GP10" s="36">
        <v>1</v>
      </c>
      <c r="GQ10" s="36">
        <v>1</v>
      </c>
      <c r="GR10" s="36">
        <v>1</v>
      </c>
      <c r="GS10" s="36">
        <v>1</v>
      </c>
      <c r="GT10" s="36">
        <v>1</v>
      </c>
      <c r="GU10" s="36">
        <v>1</v>
      </c>
      <c r="GV10" s="25" t="s">
        <v>455</v>
      </c>
      <c r="GW10" s="25" t="s">
        <v>455</v>
      </c>
      <c r="GX10" s="25" t="s">
        <v>455</v>
      </c>
      <c r="GY10" s="25" t="s">
        <v>455</v>
      </c>
      <c r="GZ10" s="25" t="s">
        <v>455</v>
      </c>
      <c r="HA10" s="25" t="s">
        <v>455</v>
      </c>
      <c r="HB10" s="25" t="s">
        <v>455</v>
      </c>
      <c r="HC10" s="25" t="s">
        <v>455</v>
      </c>
      <c r="HD10" s="25" t="s">
        <v>455</v>
      </c>
      <c r="HE10" s="25" t="s">
        <v>455</v>
      </c>
      <c r="HF10" s="25" t="s">
        <v>455</v>
      </c>
      <c r="HG10" s="25" t="s">
        <v>455</v>
      </c>
      <c r="HH10" s="25" t="s">
        <v>455</v>
      </c>
      <c r="HI10" s="36"/>
      <c r="HJ10" s="25"/>
      <c r="HK10" s="25"/>
      <c r="HL10" s="25"/>
      <c r="HM10" s="25"/>
      <c r="HN10" s="25"/>
      <c r="HO10" s="25"/>
      <c r="HP10" s="25"/>
      <c r="HQ10" s="25"/>
      <c r="HR10" s="25"/>
      <c r="HS10" s="25"/>
      <c r="HT10" s="25"/>
      <c r="HU10" s="13"/>
      <c r="HV10" s="13"/>
      <c r="HW10" s="13" t="s">
        <v>1202</v>
      </c>
      <c r="HX10" s="55"/>
      <c r="HY10" s="55"/>
      <c r="HZ10" s="55"/>
      <c r="IA10" s="55"/>
      <c r="IB10" s="55"/>
      <c r="IC10" s="55"/>
      <c r="ID10" s="55"/>
      <c r="IE10" s="55"/>
      <c r="IF10" s="107">
        <v>0</v>
      </c>
      <c r="IG10" s="107"/>
      <c r="IH10" s="250">
        <f t="shared" si="3"/>
        <v>0</v>
      </c>
      <c r="II10" s="55"/>
      <c r="IJ10" s="55"/>
      <c r="IK10" s="55"/>
      <c r="IL10" s="55"/>
      <c r="IM10" s="55"/>
      <c r="IN10" s="55"/>
      <c r="IO10" s="55"/>
      <c r="IP10" s="55"/>
      <c r="IQ10" s="55"/>
      <c r="IR10" s="55"/>
      <c r="IS10" s="55"/>
      <c r="IT10" s="55"/>
      <c r="IU10" s="55"/>
      <c r="IV10" s="55"/>
      <c r="IW10" s="55"/>
      <c r="IX10" s="55"/>
      <c r="IY10" s="55"/>
      <c r="IZ10" s="55"/>
      <c r="JA10" s="55"/>
      <c r="JB10" s="55"/>
      <c r="JC10" s="55"/>
      <c r="JD10" s="55">
        <v>2017</v>
      </c>
      <c r="JE10" s="6"/>
      <c r="JF10" s="6"/>
      <c r="JG10" s="6"/>
      <c r="JH10" s="6"/>
      <c r="JI10" s="6"/>
      <c r="JJ10" s="6"/>
      <c r="JK10" s="6"/>
      <c r="JL10" s="6"/>
      <c r="JM10" s="6"/>
      <c r="JN10" s="6"/>
      <c r="JO10" s="6"/>
      <c r="JP10" s="6"/>
      <c r="JQ10" s="6"/>
      <c r="JR10" s="6"/>
      <c r="JS10" s="6"/>
      <c r="JT10" s="6"/>
      <c r="JU10" s="6"/>
      <c r="JV10" s="6"/>
      <c r="JW10" s="6"/>
      <c r="JX10" s="6"/>
      <c r="JY10" s="6"/>
      <c r="JZ10" s="6"/>
      <c r="KA10" s="6"/>
    </row>
    <row r="11" spans="1:411" s="5" customFormat="1" ht="24.95" hidden="1" customHeight="1">
      <c r="A11" s="13" t="s">
        <v>9</v>
      </c>
      <c r="B11" s="26" t="s">
        <v>1</v>
      </c>
      <c r="C11" s="13" t="s">
        <v>352</v>
      </c>
      <c r="D11" s="13" t="s">
        <v>377</v>
      </c>
      <c r="E11" s="16" t="s">
        <v>353</v>
      </c>
      <c r="F11" s="13" t="s">
        <v>353</v>
      </c>
      <c r="G11" s="39" t="s">
        <v>354</v>
      </c>
      <c r="H11" s="28" t="s">
        <v>1559</v>
      </c>
      <c r="I11" s="382"/>
      <c r="J11" s="40">
        <v>1</v>
      </c>
      <c r="K11" s="26" t="s">
        <v>375</v>
      </c>
      <c r="L11" s="26" t="s">
        <v>587</v>
      </c>
      <c r="M11" s="20" t="s">
        <v>10</v>
      </c>
      <c r="N11" s="20" t="s">
        <v>1986</v>
      </c>
      <c r="O11" s="13" t="s">
        <v>3</v>
      </c>
      <c r="P11" s="13" t="s">
        <v>4</v>
      </c>
      <c r="Q11" s="22" t="s">
        <v>1118</v>
      </c>
      <c r="R11" s="26" t="s">
        <v>587</v>
      </c>
      <c r="S11" s="13" t="s">
        <v>396</v>
      </c>
      <c r="T11" s="13" t="s">
        <v>1387</v>
      </c>
      <c r="U11" s="13" t="s">
        <v>479</v>
      </c>
      <c r="V11" s="13" t="s">
        <v>475</v>
      </c>
      <c r="W11" s="13"/>
      <c r="X11" s="13"/>
      <c r="Y11" s="13"/>
      <c r="Z11" s="13"/>
      <c r="AA11" s="29"/>
      <c r="AB11" s="29">
        <v>0</v>
      </c>
      <c r="AC11" s="29">
        <v>0</v>
      </c>
      <c r="AD11" s="29"/>
      <c r="AE11" s="29">
        <v>0</v>
      </c>
      <c r="AF11" s="29">
        <f t="shared" si="4"/>
        <v>0</v>
      </c>
      <c r="AG11" s="25">
        <v>0.12</v>
      </c>
      <c r="AH11" s="29">
        <f t="shared" si="5"/>
        <v>0</v>
      </c>
      <c r="AI11" s="29">
        <f t="shared" si="6"/>
        <v>0</v>
      </c>
      <c r="AJ11" s="29">
        <f t="shared" si="0"/>
        <v>0</v>
      </c>
      <c r="AK11" s="29"/>
      <c r="AL11" s="29"/>
      <c r="AM11" s="29"/>
      <c r="AN11" s="29"/>
      <c r="AO11" s="29"/>
      <c r="AP11" s="29">
        <v>42008.89</v>
      </c>
      <c r="AQ11" s="29"/>
      <c r="AR11" s="35"/>
      <c r="AS11" s="35"/>
      <c r="AT11" s="29">
        <f t="shared" si="8"/>
        <v>0</v>
      </c>
      <c r="AU11" s="29"/>
      <c r="AV11" s="29"/>
      <c r="AW11" s="29"/>
      <c r="AX11" s="29"/>
      <c r="AY11" s="29"/>
      <c r="AZ11" s="29"/>
      <c r="BA11" s="29"/>
      <c r="BB11" s="29"/>
      <c r="BC11" s="29"/>
      <c r="BD11" s="29"/>
      <c r="BE11" s="29"/>
      <c r="BF11" s="29">
        <f t="shared" si="7"/>
        <v>0</v>
      </c>
      <c r="BG11" s="29">
        <f t="shared" si="1"/>
        <v>0</v>
      </c>
      <c r="BH11" s="29" t="s">
        <v>586</v>
      </c>
      <c r="BI11" s="29" t="s">
        <v>570</v>
      </c>
      <c r="BJ11" s="29" t="s">
        <v>570</v>
      </c>
      <c r="BK11" s="29" t="s">
        <v>570</v>
      </c>
      <c r="BL11" s="29" t="s">
        <v>570</v>
      </c>
      <c r="BM11" s="29" t="s">
        <v>570</v>
      </c>
      <c r="BN11" s="23">
        <v>42613</v>
      </c>
      <c r="BO11" s="23">
        <v>42620</v>
      </c>
      <c r="BP11" s="23">
        <v>42627</v>
      </c>
      <c r="BQ11" s="23">
        <v>42641</v>
      </c>
      <c r="BR11" s="13" t="s">
        <v>570</v>
      </c>
      <c r="BS11" s="23">
        <v>42655</v>
      </c>
      <c r="BT11" s="23">
        <v>42660</v>
      </c>
      <c r="BU11" s="13" t="s">
        <v>570</v>
      </c>
      <c r="BV11" s="13" t="s">
        <v>570</v>
      </c>
      <c r="BW11" s="224" t="s">
        <v>570</v>
      </c>
      <c r="BX11" s="23">
        <v>42681</v>
      </c>
      <c r="BY11" s="13" t="s">
        <v>570</v>
      </c>
      <c r="BZ11" s="23">
        <v>42681</v>
      </c>
      <c r="CA11" s="13" t="s">
        <v>503</v>
      </c>
      <c r="CB11" s="224" t="s">
        <v>570</v>
      </c>
      <c r="CC11" s="224" t="s">
        <v>570</v>
      </c>
      <c r="CD11" s="224" t="s">
        <v>570</v>
      </c>
      <c r="CE11" s="13"/>
      <c r="CF11" s="13"/>
      <c r="CG11" s="13"/>
      <c r="CH11" s="13"/>
      <c r="CI11" s="13"/>
      <c r="CJ11" s="13"/>
      <c r="CK11" s="13"/>
      <c r="CL11" s="13"/>
      <c r="CM11" s="13"/>
      <c r="CN11" s="13"/>
      <c r="CO11" s="13"/>
      <c r="CP11" s="13"/>
      <c r="CQ11" s="13"/>
      <c r="CR11" s="13"/>
      <c r="CS11" s="13" t="s">
        <v>570</v>
      </c>
      <c r="CT11" s="13" t="s">
        <v>570</v>
      </c>
      <c r="CU11" s="13" t="s">
        <v>570</v>
      </c>
      <c r="CV11" s="23">
        <v>42760</v>
      </c>
      <c r="CW11" s="227"/>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31">
        <f t="shared" si="2"/>
        <v>0</v>
      </c>
      <c r="DZ11" s="13"/>
      <c r="EA11" s="13"/>
      <c r="EB11" s="13"/>
      <c r="EC11" s="13"/>
      <c r="ED11" s="13"/>
      <c r="EE11" s="13"/>
      <c r="EF11" s="13"/>
      <c r="EG11" s="13">
        <v>90</v>
      </c>
      <c r="EH11" s="13" t="s">
        <v>588</v>
      </c>
      <c r="EI11" s="23">
        <f t="shared" si="9"/>
        <v>42761</v>
      </c>
      <c r="EJ11" s="23">
        <f t="shared" si="10"/>
        <v>42851</v>
      </c>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25">
        <v>0.2</v>
      </c>
      <c r="FW11" s="25">
        <v>0.4</v>
      </c>
      <c r="FX11" s="25">
        <v>0.6</v>
      </c>
      <c r="FY11" s="25">
        <v>0.8</v>
      </c>
      <c r="FZ11" s="36">
        <v>0.8</v>
      </c>
      <c r="GA11" s="36">
        <v>0.8</v>
      </c>
      <c r="GB11" s="36">
        <v>1</v>
      </c>
      <c r="GC11" s="36">
        <v>1</v>
      </c>
      <c r="GD11" s="36">
        <v>1</v>
      </c>
      <c r="GE11" s="36">
        <v>1</v>
      </c>
      <c r="GF11" s="36">
        <v>1</v>
      </c>
      <c r="GG11" s="36">
        <v>1</v>
      </c>
      <c r="GH11" s="36">
        <v>1</v>
      </c>
      <c r="GI11" s="36">
        <v>1</v>
      </c>
      <c r="GJ11" s="36">
        <v>1</v>
      </c>
      <c r="GK11" s="36">
        <v>1</v>
      </c>
      <c r="GL11" s="36">
        <v>1</v>
      </c>
      <c r="GM11" s="36">
        <v>1</v>
      </c>
      <c r="GN11" s="36">
        <v>1</v>
      </c>
      <c r="GO11" s="36">
        <v>1</v>
      </c>
      <c r="GP11" s="36">
        <v>1</v>
      </c>
      <c r="GQ11" s="36">
        <v>1</v>
      </c>
      <c r="GR11" s="36">
        <v>1</v>
      </c>
      <c r="GS11" s="36">
        <v>1</v>
      </c>
      <c r="GT11" s="36">
        <v>1</v>
      </c>
      <c r="GU11" s="36">
        <v>1</v>
      </c>
      <c r="GV11" s="25" t="s">
        <v>455</v>
      </c>
      <c r="GW11" s="25" t="s">
        <v>455</v>
      </c>
      <c r="GX11" s="25" t="s">
        <v>455</v>
      </c>
      <c r="GY11" s="25" t="s">
        <v>455</v>
      </c>
      <c r="GZ11" s="25" t="s">
        <v>455</v>
      </c>
      <c r="HA11" s="25" t="s">
        <v>455</v>
      </c>
      <c r="HB11" s="25" t="s">
        <v>455</v>
      </c>
      <c r="HC11" s="25" t="s">
        <v>455</v>
      </c>
      <c r="HD11" s="25" t="s">
        <v>455</v>
      </c>
      <c r="HE11" s="25" t="s">
        <v>455</v>
      </c>
      <c r="HF11" s="25" t="s">
        <v>455</v>
      </c>
      <c r="HG11" s="25" t="s">
        <v>455</v>
      </c>
      <c r="HH11" s="25" t="s">
        <v>455</v>
      </c>
      <c r="HI11" s="36"/>
      <c r="HJ11" s="25"/>
      <c r="HK11" s="25"/>
      <c r="HL11" s="25"/>
      <c r="HM11" s="25"/>
      <c r="HN11" s="25"/>
      <c r="HO11" s="25"/>
      <c r="HP11" s="25"/>
      <c r="HQ11" s="25"/>
      <c r="HR11" s="25"/>
      <c r="HS11" s="25"/>
      <c r="HT11" s="25"/>
      <c r="HU11" s="13"/>
      <c r="HV11" s="13"/>
      <c r="HW11" s="13" t="s">
        <v>1202</v>
      </c>
      <c r="HX11" s="55"/>
      <c r="HY11" s="55"/>
      <c r="HZ11" s="55"/>
      <c r="IA11" s="55"/>
      <c r="IB11" s="55"/>
      <c r="IC11" s="55"/>
      <c r="ID11" s="55"/>
      <c r="IE11" s="55"/>
      <c r="IF11" s="107">
        <v>0</v>
      </c>
      <c r="IG11" s="107"/>
      <c r="IH11" s="250">
        <f t="shared" si="3"/>
        <v>0</v>
      </c>
      <c r="II11" s="55"/>
      <c r="IJ11" s="55"/>
      <c r="IK11" s="55"/>
      <c r="IL11" s="55"/>
      <c r="IM11" s="55"/>
      <c r="IN11" s="55"/>
      <c r="IO11" s="55"/>
      <c r="IP11" s="55"/>
      <c r="IQ11" s="55"/>
      <c r="IR11" s="55"/>
      <c r="IS11" s="55"/>
      <c r="IT11" s="55"/>
      <c r="IU11" s="55"/>
      <c r="IV11" s="55"/>
      <c r="IW11" s="55"/>
      <c r="IX11" s="55"/>
      <c r="IY11" s="55"/>
      <c r="IZ11" s="55"/>
      <c r="JA11" s="55"/>
      <c r="JB11" s="55"/>
      <c r="JC11" s="55"/>
      <c r="JD11" s="55">
        <v>2017</v>
      </c>
      <c r="JE11" s="6"/>
      <c r="JF11" s="6"/>
      <c r="JG11" s="6"/>
      <c r="JH11" s="6"/>
      <c r="JI11" s="6"/>
      <c r="JJ11" s="6"/>
      <c r="JK11" s="6"/>
      <c r="JL11" s="6"/>
      <c r="JM11" s="6"/>
      <c r="JN11" s="6"/>
      <c r="JO11" s="6"/>
      <c r="JP11" s="6"/>
      <c r="JQ11" s="6"/>
      <c r="JR11" s="6"/>
      <c r="JS11" s="6"/>
      <c r="JT11" s="6"/>
      <c r="JU11" s="6"/>
      <c r="JV11" s="6"/>
      <c r="JW11" s="6"/>
      <c r="JX11" s="6"/>
      <c r="JY11" s="6"/>
      <c r="JZ11" s="6"/>
      <c r="KA11" s="6"/>
    </row>
    <row r="12" spans="1:411" s="5" customFormat="1" ht="24.95" hidden="1" customHeight="1">
      <c r="A12" s="13" t="s">
        <v>9</v>
      </c>
      <c r="B12" s="26" t="s">
        <v>1</v>
      </c>
      <c r="C12" s="13" t="s">
        <v>352</v>
      </c>
      <c r="D12" s="13" t="s">
        <v>377</v>
      </c>
      <c r="E12" s="16" t="s">
        <v>353</v>
      </c>
      <c r="F12" s="13" t="s">
        <v>353</v>
      </c>
      <c r="G12" s="39" t="s">
        <v>354</v>
      </c>
      <c r="H12" s="28" t="s">
        <v>1559</v>
      </c>
      <c r="I12" s="383"/>
      <c r="J12" s="40">
        <v>1</v>
      </c>
      <c r="K12" s="26" t="s">
        <v>375</v>
      </c>
      <c r="L12" s="26" t="s">
        <v>587</v>
      </c>
      <c r="M12" s="20" t="s">
        <v>10</v>
      </c>
      <c r="N12" s="20" t="s">
        <v>1987</v>
      </c>
      <c r="O12" s="13" t="s">
        <v>3</v>
      </c>
      <c r="P12" s="13" t="s">
        <v>4</v>
      </c>
      <c r="Q12" s="22" t="s">
        <v>1118</v>
      </c>
      <c r="R12" s="26" t="s">
        <v>587</v>
      </c>
      <c r="S12" s="22" t="s">
        <v>590</v>
      </c>
      <c r="T12" s="13" t="s">
        <v>1387</v>
      </c>
      <c r="U12" s="13" t="s">
        <v>479</v>
      </c>
      <c r="V12" s="24">
        <v>1790395405001</v>
      </c>
      <c r="W12" s="13"/>
      <c r="X12" s="13"/>
      <c r="Y12" s="13"/>
      <c r="Z12" s="13"/>
      <c r="AA12" s="29"/>
      <c r="AB12" s="29">
        <v>0</v>
      </c>
      <c r="AC12" s="29">
        <v>0</v>
      </c>
      <c r="AD12" s="29"/>
      <c r="AE12" s="29">
        <v>0</v>
      </c>
      <c r="AF12" s="29">
        <f t="shared" si="4"/>
        <v>0</v>
      </c>
      <c r="AG12" s="25">
        <v>0.12</v>
      </c>
      <c r="AH12" s="29">
        <f t="shared" si="5"/>
        <v>0</v>
      </c>
      <c r="AI12" s="29">
        <f t="shared" si="6"/>
        <v>0</v>
      </c>
      <c r="AJ12" s="29">
        <f t="shared" si="0"/>
        <v>0</v>
      </c>
      <c r="AK12" s="29"/>
      <c r="AL12" s="29"/>
      <c r="AM12" s="29"/>
      <c r="AN12" s="29"/>
      <c r="AO12" s="29"/>
      <c r="AP12" s="29"/>
      <c r="AQ12" s="29">
        <v>7400</v>
      </c>
      <c r="AR12" s="35">
        <v>0.14000000000000001</v>
      </c>
      <c r="AS12" s="29">
        <f>AQ12*0.14</f>
        <v>1036</v>
      </c>
      <c r="AT12" s="29">
        <f t="shared" si="8"/>
        <v>8436</v>
      </c>
      <c r="AU12" s="29"/>
      <c r="AV12" s="29"/>
      <c r="AW12" s="29"/>
      <c r="AX12" s="29"/>
      <c r="AY12" s="29"/>
      <c r="AZ12" s="29"/>
      <c r="BA12" s="29"/>
      <c r="BB12" s="29"/>
      <c r="BC12" s="29"/>
      <c r="BD12" s="29"/>
      <c r="BE12" s="29"/>
      <c r="BF12" s="29">
        <f t="shared" si="7"/>
        <v>-7400</v>
      </c>
      <c r="BG12" s="29">
        <f t="shared" si="1"/>
        <v>-7400</v>
      </c>
      <c r="BH12" s="29" t="s">
        <v>586</v>
      </c>
      <c r="BI12" s="29" t="s">
        <v>570</v>
      </c>
      <c r="BJ12" s="29" t="s">
        <v>570</v>
      </c>
      <c r="BK12" s="29" t="s">
        <v>570</v>
      </c>
      <c r="BL12" s="29" t="s">
        <v>570</v>
      </c>
      <c r="BM12" s="29" t="s">
        <v>570</v>
      </c>
      <c r="BN12" s="23">
        <v>42613</v>
      </c>
      <c r="BO12" s="23">
        <v>42620</v>
      </c>
      <c r="BP12" s="23">
        <v>42627</v>
      </c>
      <c r="BQ12" s="23">
        <v>42641</v>
      </c>
      <c r="BR12" s="13" t="s">
        <v>570</v>
      </c>
      <c r="BS12" s="23">
        <v>42655</v>
      </c>
      <c r="BT12" s="23">
        <v>42660</v>
      </c>
      <c r="BU12" s="13" t="s">
        <v>570</v>
      </c>
      <c r="BV12" s="13" t="s">
        <v>570</v>
      </c>
      <c r="BW12" s="224" t="s">
        <v>570</v>
      </c>
      <c r="BX12" s="23">
        <v>42681</v>
      </c>
      <c r="BY12" s="13" t="s">
        <v>570</v>
      </c>
      <c r="BZ12" s="23">
        <v>42681</v>
      </c>
      <c r="CA12" s="13" t="s">
        <v>503</v>
      </c>
      <c r="CB12" s="224" t="s">
        <v>570</v>
      </c>
      <c r="CC12" s="224" t="s">
        <v>570</v>
      </c>
      <c r="CD12" s="224" t="s">
        <v>570</v>
      </c>
      <c r="CE12" s="13"/>
      <c r="CF12" s="13"/>
      <c r="CG12" s="13"/>
      <c r="CH12" s="13"/>
      <c r="CI12" s="13"/>
      <c r="CJ12" s="13"/>
      <c r="CK12" s="13"/>
      <c r="CL12" s="13"/>
      <c r="CM12" s="13"/>
      <c r="CN12" s="13"/>
      <c r="CO12" s="13"/>
      <c r="CP12" s="13"/>
      <c r="CQ12" s="13"/>
      <c r="CR12" s="13"/>
      <c r="CS12" s="13" t="s">
        <v>570</v>
      </c>
      <c r="CT12" s="13" t="s">
        <v>570</v>
      </c>
      <c r="CU12" s="13" t="s">
        <v>570</v>
      </c>
      <c r="CV12" s="23">
        <v>42760</v>
      </c>
      <c r="CW12" s="227"/>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31">
        <f t="shared" si="2"/>
        <v>0</v>
      </c>
      <c r="DZ12" s="13"/>
      <c r="EA12" s="13"/>
      <c r="EB12" s="13"/>
      <c r="EC12" s="13"/>
      <c r="ED12" s="13"/>
      <c r="EE12" s="13"/>
      <c r="EF12" s="13"/>
      <c r="EG12" s="13">
        <v>90</v>
      </c>
      <c r="EH12" s="13" t="s">
        <v>588</v>
      </c>
      <c r="EI12" s="23">
        <f t="shared" si="9"/>
        <v>42761</v>
      </c>
      <c r="EJ12" s="23">
        <f t="shared" si="10"/>
        <v>42851</v>
      </c>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25">
        <v>0.2</v>
      </c>
      <c r="FW12" s="25">
        <v>0.4</v>
      </c>
      <c r="FX12" s="25">
        <v>0.6</v>
      </c>
      <c r="FY12" s="25">
        <v>0.8</v>
      </c>
      <c r="FZ12" s="36">
        <v>0.8</v>
      </c>
      <c r="GA12" s="36">
        <v>0.8</v>
      </c>
      <c r="GB12" s="36">
        <v>1</v>
      </c>
      <c r="GC12" s="36">
        <v>1</v>
      </c>
      <c r="GD12" s="36">
        <v>1</v>
      </c>
      <c r="GE12" s="36">
        <v>1</v>
      </c>
      <c r="GF12" s="36">
        <v>1</v>
      </c>
      <c r="GG12" s="36">
        <v>1</v>
      </c>
      <c r="GH12" s="36">
        <v>1</v>
      </c>
      <c r="GI12" s="36">
        <v>1</v>
      </c>
      <c r="GJ12" s="36">
        <v>1</v>
      </c>
      <c r="GK12" s="36">
        <v>1</v>
      </c>
      <c r="GL12" s="36">
        <v>1</v>
      </c>
      <c r="GM12" s="36">
        <v>1</v>
      </c>
      <c r="GN12" s="36">
        <v>1</v>
      </c>
      <c r="GO12" s="36">
        <v>1</v>
      </c>
      <c r="GP12" s="36">
        <v>1</v>
      </c>
      <c r="GQ12" s="36">
        <v>1</v>
      </c>
      <c r="GR12" s="36">
        <v>1</v>
      </c>
      <c r="GS12" s="36">
        <v>1</v>
      </c>
      <c r="GT12" s="36">
        <v>1</v>
      </c>
      <c r="GU12" s="36">
        <v>1</v>
      </c>
      <c r="GV12" s="25" t="s">
        <v>455</v>
      </c>
      <c r="GW12" s="25" t="s">
        <v>455</v>
      </c>
      <c r="GX12" s="25" t="s">
        <v>455</v>
      </c>
      <c r="GY12" s="25" t="s">
        <v>455</v>
      </c>
      <c r="GZ12" s="25" t="s">
        <v>455</v>
      </c>
      <c r="HA12" s="25" t="s">
        <v>455</v>
      </c>
      <c r="HB12" s="25" t="s">
        <v>455</v>
      </c>
      <c r="HC12" s="25" t="s">
        <v>455</v>
      </c>
      <c r="HD12" s="25" t="s">
        <v>455</v>
      </c>
      <c r="HE12" s="25" t="s">
        <v>455</v>
      </c>
      <c r="HF12" s="25" t="s">
        <v>455</v>
      </c>
      <c r="HG12" s="25" t="s">
        <v>455</v>
      </c>
      <c r="HH12" s="25" t="s">
        <v>455</v>
      </c>
      <c r="HI12" s="36"/>
      <c r="HJ12" s="25"/>
      <c r="HK12" s="25"/>
      <c r="HL12" s="25"/>
      <c r="HM12" s="25"/>
      <c r="HN12" s="25"/>
      <c r="HO12" s="25"/>
      <c r="HP12" s="25"/>
      <c r="HQ12" s="25"/>
      <c r="HR12" s="25"/>
      <c r="HS12" s="25"/>
      <c r="HT12" s="25"/>
      <c r="HU12" s="13"/>
      <c r="HV12" s="13"/>
      <c r="HW12" s="13" t="s">
        <v>1202</v>
      </c>
      <c r="HX12" s="55"/>
      <c r="HY12" s="55"/>
      <c r="HZ12" s="55"/>
      <c r="IA12" s="55"/>
      <c r="IB12" s="55"/>
      <c r="IC12" s="55"/>
      <c r="ID12" s="55"/>
      <c r="IE12" s="55"/>
      <c r="IF12" s="107">
        <v>0</v>
      </c>
      <c r="IG12" s="107"/>
      <c r="IH12" s="250">
        <f t="shared" si="3"/>
        <v>0</v>
      </c>
      <c r="II12" s="55"/>
      <c r="IJ12" s="55"/>
      <c r="IK12" s="55"/>
      <c r="IL12" s="55"/>
      <c r="IM12" s="55"/>
      <c r="IN12" s="55"/>
      <c r="IO12" s="55"/>
      <c r="IP12" s="55"/>
      <c r="IQ12" s="55"/>
      <c r="IR12" s="55"/>
      <c r="IS12" s="55"/>
      <c r="IT12" s="55"/>
      <c r="IU12" s="55"/>
      <c r="IV12" s="55"/>
      <c r="IW12" s="55"/>
      <c r="IX12" s="55"/>
      <c r="IY12" s="55"/>
      <c r="IZ12" s="55"/>
      <c r="JA12" s="55"/>
      <c r="JB12" s="55"/>
      <c r="JC12" s="55"/>
      <c r="JD12" s="55">
        <v>2017</v>
      </c>
      <c r="JE12" s="6"/>
      <c r="JF12" s="6"/>
      <c r="JG12" s="6"/>
      <c r="JH12" s="6"/>
      <c r="JI12" s="6"/>
      <c r="JJ12" s="6"/>
      <c r="JK12" s="6"/>
      <c r="JL12" s="6"/>
      <c r="JM12" s="6"/>
      <c r="JN12" s="6"/>
      <c r="JO12" s="6"/>
      <c r="JP12" s="6"/>
      <c r="JQ12" s="6"/>
      <c r="JR12" s="6"/>
      <c r="JS12" s="6"/>
      <c r="JT12" s="6"/>
      <c r="JU12" s="6"/>
      <c r="JV12" s="6"/>
      <c r="JW12" s="6"/>
      <c r="JX12" s="6"/>
      <c r="JY12" s="6"/>
      <c r="JZ12" s="6"/>
      <c r="KA12" s="6"/>
    </row>
    <row r="13" spans="1:411" s="5" customFormat="1" ht="42" hidden="1" customHeight="1">
      <c r="A13" s="13" t="s">
        <v>9</v>
      </c>
      <c r="B13" s="26" t="s">
        <v>1</v>
      </c>
      <c r="C13" s="13" t="s">
        <v>352</v>
      </c>
      <c r="D13" s="13" t="s">
        <v>377</v>
      </c>
      <c r="E13" s="16" t="s">
        <v>353</v>
      </c>
      <c r="F13" s="13" t="s">
        <v>353</v>
      </c>
      <c r="G13" s="39" t="s">
        <v>354</v>
      </c>
      <c r="H13" s="28" t="s">
        <v>1559</v>
      </c>
      <c r="I13" s="14" t="s">
        <v>10</v>
      </c>
      <c r="J13" s="40">
        <v>1</v>
      </c>
      <c r="K13" s="26" t="s">
        <v>375</v>
      </c>
      <c r="L13" s="26" t="s">
        <v>11</v>
      </c>
      <c r="M13" s="20" t="s">
        <v>10</v>
      </c>
      <c r="N13" s="20"/>
      <c r="O13" s="13" t="s">
        <v>3</v>
      </c>
      <c r="P13" s="13" t="s">
        <v>4</v>
      </c>
      <c r="Q13" s="22" t="s">
        <v>1118</v>
      </c>
      <c r="R13" s="22" t="s">
        <v>614</v>
      </c>
      <c r="S13" s="13" t="s">
        <v>396</v>
      </c>
      <c r="T13" s="13" t="s">
        <v>1387</v>
      </c>
      <c r="U13" s="13" t="s">
        <v>479</v>
      </c>
      <c r="V13" s="13" t="s">
        <v>475</v>
      </c>
      <c r="W13" s="13" t="s">
        <v>570</v>
      </c>
      <c r="X13" s="13" t="s">
        <v>570</v>
      </c>
      <c r="Y13" s="13" t="s">
        <v>615</v>
      </c>
      <c r="Z13" s="13" t="s">
        <v>616</v>
      </c>
      <c r="AA13" s="29"/>
      <c r="AB13" s="29">
        <v>113000</v>
      </c>
      <c r="AC13" s="29">
        <v>0</v>
      </c>
      <c r="AD13" s="29">
        <v>113000</v>
      </c>
      <c r="AE13" s="29">
        <v>0</v>
      </c>
      <c r="AF13" s="29">
        <f t="shared" si="4"/>
        <v>113000</v>
      </c>
      <c r="AG13" s="25">
        <v>0.12</v>
      </c>
      <c r="AH13" s="29">
        <f t="shared" si="5"/>
        <v>13560</v>
      </c>
      <c r="AI13" s="29">
        <f t="shared" si="6"/>
        <v>0</v>
      </c>
      <c r="AJ13" s="29">
        <f t="shared" si="0"/>
        <v>126560.00000000001</v>
      </c>
      <c r="AK13" s="126">
        <v>111349.2</v>
      </c>
      <c r="AL13" s="126">
        <f>AB13-AK13</f>
        <v>1650.8000000000029</v>
      </c>
      <c r="AM13" s="126"/>
      <c r="AN13" s="29"/>
      <c r="AO13" s="29">
        <v>113000</v>
      </c>
      <c r="AP13" s="29"/>
      <c r="AQ13" s="29">
        <v>111349.2</v>
      </c>
      <c r="AR13" s="35">
        <v>0.14000000000000001</v>
      </c>
      <c r="AS13" s="35"/>
      <c r="AT13" s="29">
        <f t="shared" si="8"/>
        <v>126938.08799999999</v>
      </c>
      <c r="AU13" s="29"/>
      <c r="AV13" s="29"/>
      <c r="AW13" s="29"/>
      <c r="AX13" s="29"/>
      <c r="AY13" s="29"/>
      <c r="AZ13" s="29"/>
      <c r="BA13" s="29"/>
      <c r="BB13" s="29"/>
      <c r="BC13" s="29"/>
      <c r="BD13" s="29"/>
      <c r="BE13" s="29"/>
      <c r="BF13" s="29">
        <f t="shared" si="7"/>
        <v>1650.8000000000029</v>
      </c>
      <c r="BG13" s="29">
        <f t="shared" si="1"/>
        <v>1650.8000000000029</v>
      </c>
      <c r="BH13" s="29"/>
      <c r="BI13" s="29" t="s">
        <v>570</v>
      </c>
      <c r="BJ13" s="29" t="s">
        <v>570</v>
      </c>
      <c r="BK13" s="29" t="s">
        <v>570</v>
      </c>
      <c r="BL13" s="29" t="s">
        <v>570</v>
      </c>
      <c r="BM13" s="29" t="s">
        <v>570</v>
      </c>
      <c r="BN13" s="13"/>
      <c r="BO13" s="13"/>
      <c r="BP13" s="13"/>
      <c r="BQ13" s="13"/>
      <c r="BR13" s="13"/>
      <c r="BS13" s="13"/>
      <c r="BT13" s="13"/>
      <c r="BU13" s="13" t="s">
        <v>570</v>
      </c>
      <c r="BV13" s="13" t="s">
        <v>570</v>
      </c>
      <c r="BW13" s="224" t="s">
        <v>570</v>
      </c>
      <c r="BX13" s="23">
        <v>42461</v>
      </c>
      <c r="BY13" s="23" t="s">
        <v>570</v>
      </c>
      <c r="BZ13" s="13" t="s">
        <v>503</v>
      </c>
      <c r="CA13" s="23">
        <v>42622</v>
      </c>
      <c r="CB13" s="224" t="s">
        <v>570</v>
      </c>
      <c r="CC13" s="224" t="s">
        <v>570</v>
      </c>
      <c r="CD13" s="224" t="s">
        <v>570</v>
      </c>
      <c r="CE13" s="23"/>
      <c r="CF13" s="23"/>
      <c r="CG13" s="23"/>
      <c r="CH13" s="23"/>
      <c r="CI13" s="23"/>
      <c r="CJ13" s="23"/>
      <c r="CK13" s="23"/>
      <c r="CL13" s="23"/>
      <c r="CM13" s="23"/>
      <c r="CN13" s="23"/>
      <c r="CO13" s="23"/>
      <c r="CP13" s="23"/>
      <c r="CQ13" s="23"/>
      <c r="CR13" s="127" t="s">
        <v>829</v>
      </c>
      <c r="CS13" s="13" t="s">
        <v>570</v>
      </c>
      <c r="CT13" s="13" t="s">
        <v>570</v>
      </c>
      <c r="CU13" s="13" t="s">
        <v>570</v>
      </c>
      <c r="CV13" s="23">
        <v>42653</v>
      </c>
      <c r="CW13" s="30">
        <f>AQ13*0.5</f>
        <v>55674.6</v>
      </c>
      <c r="CX13" s="134" t="s">
        <v>1466</v>
      </c>
      <c r="CY13" s="166">
        <v>42850</v>
      </c>
      <c r="CZ13" s="228">
        <v>55674.6</v>
      </c>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31">
        <f t="shared" si="2"/>
        <v>111349.2</v>
      </c>
      <c r="DZ13" s="13"/>
      <c r="EA13" s="13"/>
      <c r="EB13" s="13"/>
      <c r="EC13" s="13"/>
      <c r="ED13" s="13"/>
      <c r="EE13" s="13"/>
      <c r="EF13" s="13"/>
      <c r="EG13" s="13">
        <v>90</v>
      </c>
      <c r="EH13" s="13" t="s">
        <v>588</v>
      </c>
      <c r="EI13" s="23">
        <f t="shared" si="9"/>
        <v>42654</v>
      </c>
      <c r="EJ13" s="23">
        <f t="shared" si="10"/>
        <v>42744</v>
      </c>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25">
        <v>0.05</v>
      </c>
      <c r="FS13" s="25">
        <v>0.1</v>
      </c>
      <c r="FT13" s="25">
        <v>0.15</v>
      </c>
      <c r="FU13" s="25">
        <v>0.2</v>
      </c>
      <c r="FV13" s="25">
        <v>0.3</v>
      </c>
      <c r="FW13" s="25">
        <v>0.5</v>
      </c>
      <c r="FX13" s="25">
        <v>1</v>
      </c>
      <c r="FY13" s="25">
        <v>1</v>
      </c>
      <c r="FZ13" s="25">
        <v>1</v>
      </c>
      <c r="GA13" s="25">
        <v>1</v>
      </c>
      <c r="GB13" s="25">
        <v>1</v>
      </c>
      <c r="GC13" s="25">
        <v>1</v>
      </c>
      <c r="GD13" s="25">
        <v>1</v>
      </c>
      <c r="GE13" s="25">
        <v>1</v>
      </c>
      <c r="GF13" s="25">
        <v>1</v>
      </c>
      <c r="GG13" s="25">
        <v>1</v>
      </c>
      <c r="GH13" s="25">
        <v>1</v>
      </c>
      <c r="GI13" s="25">
        <v>1</v>
      </c>
      <c r="GJ13" s="25">
        <v>1</v>
      </c>
      <c r="GK13" s="25">
        <v>1</v>
      </c>
      <c r="GL13" s="25">
        <v>1</v>
      </c>
      <c r="GM13" s="25">
        <v>1</v>
      </c>
      <c r="GN13" s="25">
        <v>1</v>
      </c>
      <c r="GO13" s="25">
        <v>1</v>
      </c>
      <c r="GP13" s="25">
        <v>1</v>
      </c>
      <c r="GQ13" s="25">
        <v>1</v>
      </c>
      <c r="GR13" s="25">
        <v>1</v>
      </c>
      <c r="GS13" s="25">
        <v>1</v>
      </c>
      <c r="GT13" s="25">
        <v>1</v>
      </c>
      <c r="GU13" s="25">
        <v>1</v>
      </c>
      <c r="GV13" s="25" t="s">
        <v>455</v>
      </c>
      <c r="GW13" s="25" t="s">
        <v>455</v>
      </c>
      <c r="GX13" s="25" t="s">
        <v>455</v>
      </c>
      <c r="GY13" s="25" t="s">
        <v>455</v>
      </c>
      <c r="GZ13" s="25" t="s">
        <v>455</v>
      </c>
      <c r="HA13" s="25" t="s">
        <v>455</v>
      </c>
      <c r="HB13" s="25" t="s">
        <v>455</v>
      </c>
      <c r="HC13" s="25" t="s">
        <v>455</v>
      </c>
      <c r="HD13" s="25" t="s">
        <v>455</v>
      </c>
      <c r="HE13" s="25" t="s">
        <v>455</v>
      </c>
      <c r="HF13" s="25" t="s">
        <v>455</v>
      </c>
      <c r="HG13" s="25" t="s">
        <v>455</v>
      </c>
      <c r="HH13" s="25" t="s">
        <v>455</v>
      </c>
      <c r="HI13" s="25"/>
      <c r="HJ13" s="25"/>
      <c r="HK13" s="25"/>
      <c r="HL13" s="25"/>
      <c r="HM13" s="25"/>
      <c r="HN13" s="25"/>
      <c r="HO13" s="25"/>
      <c r="HP13" s="25"/>
      <c r="HQ13" s="25"/>
      <c r="HR13" s="25"/>
      <c r="HS13" s="25"/>
      <c r="HT13" s="25"/>
      <c r="HU13" s="13" t="s">
        <v>1037</v>
      </c>
      <c r="HV13" s="13"/>
      <c r="HW13" s="32"/>
      <c r="HX13" s="55"/>
      <c r="HY13" s="55"/>
      <c r="HZ13" s="55"/>
      <c r="IA13" s="55"/>
      <c r="IB13" s="55"/>
      <c r="IC13" s="55"/>
      <c r="ID13" s="55"/>
      <c r="IE13" s="55"/>
      <c r="IF13" s="107">
        <v>113000</v>
      </c>
      <c r="IG13" s="107">
        <v>111349.2</v>
      </c>
      <c r="IH13" s="250">
        <f t="shared" si="3"/>
        <v>0</v>
      </c>
      <c r="II13" s="55"/>
      <c r="IJ13" s="55"/>
      <c r="IK13" s="55"/>
      <c r="IL13" s="55"/>
      <c r="IM13" s="55"/>
      <c r="IN13" s="55"/>
      <c r="IO13" s="55"/>
      <c r="IP13" s="55"/>
      <c r="IQ13" s="55"/>
      <c r="IR13" s="55"/>
      <c r="IS13" s="55"/>
      <c r="IT13" s="55"/>
      <c r="IU13" s="55"/>
      <c r="IV13" s="55"/>
      <c r="IW13" s="55"/>
      <c r="IX13" s="55"/>
      <c r="IY13" s="55"/>
      <c r="IZ13" s="55"/>
      <c r="JA13" s="55"/>
      <c r="JB13" s="55"/>
      <c r="JC13" s="55"/>
      <c r="JD13" s="55">
        <v>2017</v>
      </c>
      <c r="JE13" s="6"/>
      <c r="JF13" s="6"/>
      <c r="JG13" s="6"/>
      <c r="JH13" s="6"/>
      <c r="JI13" s="6"/>
      <c r="JJ13" s="6"/>
      <c r="JK13" s="6"/>
      <c r="JL13" s="6"/>
      <c r="JM13" s="6"/>
      <c r="JN13" s="6"/>
      <c r="JO13" s="6"/>
      <c r="JP13" s="6"/>
      <c r="JQ13" s="6"/>
      <c r="JR13" s="6"/>
      <c r="JS13" s="6"/>
      <c r="JT13" s="6"/>
      <c r="JU13" s="6"/>
      <c r="JV13" s="6"/>
      <c r="JW13" s="6"/>
      <c r="JX13" s="6"/>
      <c r="JY13" s="6"/>
      <c r="JZ13" s="6"/>
      <c r="KA13" s="6"/>
    </row>
    <row r="14" spans="1:411" s="5" customFormat="1" ht="36" hidden="1" customHeight="1">
      <c r="A14" s="13" t="s">
        <v>9</v>
      </c>
      <c r="B14" s="26" t="s">
        <v>1</v>
      </c>
      <c r="C14" s="13" t="s">
        <v>352</v>
      </c>
      <c r="D14" s="13" t="s">
        <v>377</v>
      </c>
      <c r="E14" s="16" t="s">
        <v>353</v>
      </c>
      <c r="F14" s="13" t="s">
        <v>353</v>
      </c>
      <c r="G14" s="39" t="s">
        <v>354</v>
      </c>
      <c r="H14" s="28" t="s">
        <v>1559</v>
      </c>
      <c r="I14" s="14" t="s">
        <v>10</v>
      </c>
      <c r="J14" s="40">
        <v>1</v>
      </c>
      <c r="K14" s="26" t="s">
        <v>375</v>
      </c>
      <c r="L14" s="26" t="s">
        <v>12</v>
      </c>
      <c r="M14" s="20" t="s">
        <v>10</v>
      </c>
      <c r="N14" s="20"/>
      <c r="O14" s="13" t="s">
        <v>3</v>
      </c>
      <c r="P14" s="13" t="s">
        <v>4</v>
      </c>
      <c r="Q14" s="22" t="s">
        <v>1118</v>
      </c>
      <c r="R14" s="22" t="s">
        <v>611</v>
      </c>
      <c r="S14" s="13" t="s">
        <v>599</v>
      </c>
      <c r="T14" s="13" t="s">
        <v>1387</v>
      </c>
      <c r="U14" s="13" t="s">
        <v>479</v>
      </c>
      <c r="V14" s="24" t="s">
        <v>612</v>
      </c>
      <c r="W14" s="13" t="s">
        <v>570</v>
      </c>
      <c r="X14" s="13" t="s">
        <v>570</v>
      </c>
      <c r="Y14" s="13" t="s">
        <v>503</v>
      </c>
      <c r="Z14" s="13" t="s">
        <v>503</v>
      </c>
      <c r="AA14" s="29"/>
      <c r="AB14" s="29">
        <v>232000</v>
      </c>
      <c r="AC14" s="29">
        <v>0</v>
      </c>
      <c r="AD14" s="29">
        <v>232000</v>
      </c>
      <c r="AE14" s="29">
        <v>0</v>
      </c>
      <c r="AF14" s="29">
        <f t="shared" si="4"/>
        <v>232000</v>
      </c>
      <c r="AG14" s="25">
        <v>0.12</v>
      </c>
      <c r="AH14" s="29">
        <f t="shared" si="5"/>
        <v>27840</v>
      </c>
      <c r="AI14" s="29">
        <f t="shared" si="6"/>
        <v>0</v>
      </c>
      <c r="AJ14" s="29">
        <f t="shared" si="0"/>
        <v>259840.00000000003</v>
      </c>
      <c r="AK14" s="126">
        <v>224805</v>
      </c>
      <c r="AL14" s="126">
        <f>AB14-AK14</f>
        <v>7195</v>
      </c>
      <c r="AM14" s="126"/>
      <c r="AN14" s="29"/>
      <c r="AO14" s="29">
        <v>232000</v>
      </c>
      <c r="AP14" s="29"/>
      <c r="AQ14" s="29">
        <v>224805</v>
      </c>
      <c r="AR14" s="35">
        <v>0.14000000000000001</v>
      </c>
      <c r="AS14" s="35"/>
      <c r="AT14" s="29">
        <f t="shared" si="8"/>
        <v>256277.69999999998</v>
      </c>
      <c r="AU14" s="29"/>
      <c r="AV14" s="29"/>
      <c r="AW14" s="29"/>
      <c r="AX14" s="29"/>
      <c r="AY14" s="29"/>
      <c r="AZ14" s="29"/>
      <c r="BA14" s="29"/>
      <c r="BB14" s="29"/>
      <c r="BC14" s="29"/>
      <c r="BD14" s="29"/>
      <c r="BE14" s="29"/>
      <c r="BF14" s="29">
        <f t="shared" si="7"/>
        <v>7195</v>
      </c>
      <c r="BG14" s="29">
        <f t="shared" si="1"/>
        <v>7195</v>
      </c>
      <c r="BH14" s="29" t="s">
        <v>586</v>
      </c>
      <c r="BI14" s="29" t="s">
        <v>570</v>
      </c>
      <c r="BJ14" s="29" t="s">
        <v>570</v>
      </c>
      <c r="BK14" s="29" t="s">
        <v>570</v>
      </c>
      <c r="BL14" s="29" t="s">
        <v>570</v>
      </c>
      <c r="BM14" s="29" t="s">
        <v>570</v>
      </c>
      <c r="BN14" s="23">
        <v>42258</v>
      </c>
      <c r="BO14" s="23">
        <v>42278</v>
      </c>
      <c r="BP14" s="23" t="s">
        <v>613</v>
      </c>
      <c r="BQ14" s="23">
        <v>42300</v>
      </c>
      <c r="BR14" s="13" t="s">
        <v>570</v>
      </c>
      <c r="BS14" s="23">
        <v>42314</v>
      </c>
      <c r="BT14" s="23">
        <v>42318</v>
      </c>
      <c r="BU14" s="13" t="s">
        <v>570</v>
      </c>
      <c r="BV14" s="13" t="s">
        <v>570</v>
      </c>
      <c r="BW14" s="224" t="s">
        <v>570</v>
      </c>
      <c r="BX14" s="23">
        <v>42327</v>
      </c>
      <c r="BY14" s="23" t="s">
        <v>570</v>
      </c>
      <c r="BZ14" s="13" t="s">
        <v>503</v>
      </c>
      <c r="CA14" s="23">
        <v>42577</v>
      </c>
      <c r="CB14" s="224" t="s">
        <v>570</v>
      </c>
      <c r="CC14" s="224" t="s">
        <v>570</v>
      </c>
      <c r="CD14" s="224" t="s">
        <v>570</v>
      </c>
      <c r="CE14" s="23"/>
      <c r="CF14" s="127" t="s">
        <v>829</v>
      </c>
      <c r="CG14" s="23"/>
      <c r="CH14" s="23"/>
      <c r="CI14" s="23"/>
      <c r="CJ14" s="23"/>
      <c r="CK14" s="23"/>
      <c r="CL14" s="23"/>
      <c r="CM14" s="23"/>
      <c r="CN14" s="23"/>
      <c r="CO14" s="23"/>
      <c r="CP14" s="23"/>
      <c r="CQ14" s="23"/>
      <c r="CR14" s="127" t="s">
        <v>829</v>
      </c>
      <c r="CS14" s="13" t="s">
        <v>570</v>
      </c>
      <c r="CT14" s="13" t="s">
        <v>570</v>
      </c>
      <c r="CU14" s="13" t="s">
        <v>570</v>
      </c>
      <c r="CV14" s="23">
        <v>42653</v>
      </c>
      <c r="CW14" s="30">
        <f>AQ14*0.5</f>
        <v>112402.5</v>
      </c>
      <c r="CX14" s="30"/>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31">
        <f t="shared" si="2"/>
        <v>112402.5</v>
      </c>
      <c r="DZ14" s="13"/>
      <c r="EA14" s="13"/>
      <c r="EB14" s="13"/>
      <c r="EC14" s="13"/>
      <c r="ED14" s="13"/>
      <c r="EE14" s="13"/>
      <c r="EF14" s="13"/>
      <c r="EG14" s="13">
        <v>180</v>
      </c>
      <c r="EH14" s="13" t="s">
        <v>588</v>
      </c>
      <c r="EI14" s="23">
        <f t="shared" si="9"/>
        <v>42654</v>
      </c>
      <c r="EJ14" s="23">
        <f t="shared" si="10"/>
        <v>42834</v>
      </c>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25">
        <v>0.05</v>
      </c>
      <c r="FS14" s="25">
        <v>0.1</v>
      </c>
      <c r="FT14" s="25">
        <v>0.15</v>
      </c>
      <c r="FU14" s="25">
        <v>0.2</v>
      </c>
      <c r="FV14" s="25">
        <v>0.2</v>
      </c>
      <c r="FW14" s="25">
        <v>0.4</v>
      </c>
      <c r="FX14" s="25">
        <v>0.9</v>
      </c>
      <c r="FY14" s="25">
        <v>0.9</v>
      </c>
      <c r="FZ14" s="36">
        <v>0.9</v>
      </c>
      <c r="GA14" s="36">
        <v>0.9</v>
      </c>
      <c r="GB14" s="36">
        <v>1</v>
      </c>
      <c r="GC14" s="36">
        <v>1</v>
      </c>
      <c r="GD14" s="36">
        <v>1</v>
      </c>
      <c r="GE14" s="36">
        <v>1</v>
      </c>
      <c r="GF14" s="36">
        <v>1</v>
      </c>
      <c r="GG14" s="36">
        <v>1</v>
      </c>
      <c r="GH14" s="36">
        <v>1</v>
      </c>
      <c r="GI14" s="36">
        <v>1</v>
      </c>
      <c r="GJ14" s="36">
        <v>1</v>
      </c>
      <c r="GK14" s="36">
        <v>1</v>
      </c>
      <c r="GL14" s="36">
        <v>1</v>
      </c>
      <c r="GM14" s="36">
        <v>1</v>
      </c>
      <c r="GN14" s="36">
        <v>1</v>
      </c>
      <c r="GO14" s="36">
        <v>1</v>
      </c>
      <c r="GP14" s="36">
        <v>1</v>
      </c>
      <c r="GQ14" s="36">
        <v>1</v>
      </c>
      <c r="GR14" s="36">
        <v>1</v>
      </c>
      <c r="GS14" s="36">
        <v>1</v>
      </c>
      <c r="GT14" s="36">
        <v>1</v>
      </c>
      <c r="GU14" s="36">
        <v>1</v>
      </c>
      <c r="GV14" s="25" t="s">
        <v>452</v>
      </c>
      <c r="GW14" s="25" t="s">
        <v>452</v>
      </c>
      <c r="GX14" s="25" t="s">
        <v>452</v>
      </c>
      <c r="GY14" s="25" t="s">
        <v>452</v>
      </c>
      <c r="GZ14" s="25" t="s">
        <v>452</v>
      </c>
      <c r="HA14" s="25" t="s">
        <v>452</v>
      </c>
      <c r="HB14" s="25" t="s">
        <v>452</v>
      </c>
      <c r="HC14" s="25" t="s">
        <v>452</v>
      </c>
      <c r="HD14" s="25" t="s">
        <v>452</v>
      </c>
      <c r="HE14" s="25" t="s">
        <v>452</v>
      </c>
      <c r="HF14" s="25" t="s">
        <v>452</v>
      </c>
      <c r="HG14" s="25" t="s">
        <v>452</v>
      </c>
      <c r="HH14" s="25" t="s">
        <v>452</v>
      </c>
      <c r="HI14" s="36"/>
      <c r="HJ14" s="25"/>
      <c r="HK14" s="25"/>
      <c r="HL14" s="25"/>
      <c r="HM14" s="25"/>
      <c r="HN14" s="25"/>
      <c r="HO14" s="25"/>
      <c r="HP14" s="25"/>
      <c r="HQ14" s="25"/>
      <c r="HR14" s="25"/>
      <c r="HS14" s="25"/>
      <c r="HT14" s="25"/>
      <c r="HU14" s="13"/>
      <c r="HV14" s="13"/>
      <c r="HW14" s="32"/>
      <c r="HX14" s="55"/>
      <c r="HY14" s="55"/>
      <c r="HZ14" s="55"/>
      <c r="IA14" s="55"/>
      <c r="IB14" s="55"/>
      <c r="IC14" s="55"/>
      <c r="ID14" s="55"/>
      <c r="IE14" s="55"/>
      <c r="IF14" s="107">
        <v>232000</v>
      </c>
      <c r="IG14" s="107">
        <v>224805</v>
      </c>
      <c r="IH14" s="250">
        <f t="shared" si="3"/>
        <v>0</v>
      </c>
      <c r="II14" s="55"/>
      <c r="IJ14" s="55"/>
      <c r="IK14" s="55"/>
      <c r="IL14" s="55"/>
      <c r="IM14" s="55"/>
      <c r="IN14" s="55"/>
      <c r="IO14" s="55"/>
      <c r="IP14" s="55"/>
      <c r="IQ14" s="55"/>
      <c r="IR14" s="55"/>
      <c r="IS14" s="55"/>
      <c r="IT14" s="55"/>
      <c r="IU14" s="55"/>
      <c r="IV14" s="55"/>
      <c r="IW14" s="55"/>
      <c r="IX14" s="55"/>
      <c r="IY14" s="55"/>
      <c r="IZ14" s="55"/>
      <c r="JA14" s="55"/>
      <c r="JB14" s="55"/>
      <c r="JC14" s="55"/>
      <c r="JD14" s="55">
        <v>2018</v>
      </c>
      <c r="JE14" s="6"/>
      <c r="JF14" s="6"/>
      <c r="JG14" s="6"/>
      <c r="JH14" s="6"/>
      <c r="JI14" s="6"/>
      <c r="JJ14" s="6"/>
      <c r="JK14" s="6"/>
      <c r="JL14" s="6"/>
      <c r="JM14" s="6"/>
      <c r="JN14" s="6"/>
      <c r="JO14" s="6"/>
      <c r="JP14" s="6"/>
      <c r="JQ14" s="6"/>
      <c r="JR14" s="6"/>
      <c r="JS14" s="6"/>
      <c r="JT14" s="6"/>
      <c r="JU14" s="6"/>
      <c r="JV14" s="6"/>
      <c r="JW14" s="6"/>
      <c r="JX14" s="6"/>
      <c r="JY14" s="6"/>
      <c r="JZ14" s="6"/>
      <c r="KA14" s="6"/>
    </row>
    <row r="15" spans="1:411" s="5" customFormat="1" ht="24.95" hidden="1" customHeight="1">
      <c r="A15" s="13" t="s">
        <v>9</v>
      </c>
      <c r="B15" s="26" t="s">
        <v>1</v>
      </c>
      <c r="C15" s="13" t="s">
        <v>349</v>
      </c>
      <c r="D15" s="13" t="s">
        <v>380</v>
      </c>
      <c r="E15" s="16" t="s">
        <v>350</v>
      </c>
      <c r="F15" s="13" t="s">
        <v>350</v>
      </c>
      <c r="G15" s="39" t="s">
        <v>354</v>
      </c>
      <c r="H15" s="28" t="s">
        <v>1559</v>
      </c>
      <c r="I15" s="34" t="s">
        <v>979</v>
      </c>
      <c r="J15" s="13">
        <v>2</v>
      </c>
      <c r="K15" s="26" t="s">
        <v>375</v>
      </c>
      <c r="L15" s="26" t="s">
        <v>1908</v>
      </c>
      <c r="M15" s="20" t="s">
        <v>13</v>
      </c>
      <c r="N15" s="20"/>
      <c r="O15" s="13" t="s">
        <v>14</v>
      </c>
      <c r="P15" s="13" t="s">
        <v>15</v>
      </c>
      <c r="Q15" s="22" t="s">
        <v>364</v>
      </c>
      <c r="R15" s="26" t="s">
        <v>1606</v>
      </c>
      <c r="S15" s="13" t="s">
        <v>1590</v>
      </c>
      <c r="T15" s="13" t="s">
        <v>1387</v>
      </c>
      <c r="U15" s="13" t="s">
        <v>479</v>
      </c>
      <c r="V15" s="24" t="s">
        <v>773</v>
      </c>
      <c r="W15" s="13"/>
      <c r="X15" s="13"/>
      <c r="Y15" s="13"/>
      <c r="Z15" s="13"/>
      <c r="AA15" s="29"/>
      <c r="AB15" s="29">
        <v>900000</v>
      </c>
      <c r="AC15" s="29">
        <v>0</v>
      </c>
      <c r="AD15" s="29">
        <v>899999.99999999988</v>
      </c>
      <c r="AE15" s="29">
        <v>0</v>
      </c>
      <c r="AF15" s="29">
        <f t="shared" si="4"/>
        <v>899999.99999999988</v>
      </c>
      <c r="AG15" s="25">
        <v>0.12</v>
      </c>
      <c r="AH15" s="29">
        <f t="shared" si="5"/>
        <v>107999.99999999999</v>
      </c>
      <c r="AI15" s="29">
        <f t="shared" si="6"/>
        <v>0</v>
      </c>
      <c r="AJ15" s="29">
        <f t="shared" si="0"/>
        <v>1008000</v>
      </c>
      <c r="AK15" s="29">
        <v>881989.06</v>
      </c>
      <c r="AL15" s="29">
        <f>AB15-AK15</f>
        <v>18010.939999999944</v>
      </c>
      <c r="AM15" s="29"/>
      <c r="AN15" s="29"/>
      <c r="AO15" s="29">
        <v>899999.99999999988</v>
      </c>
      <c r="AP15" s="29"/>
      <c r="AQ15" s="29">
        <v>857750</v>
      </c>
      <c r="AR15" s="25">
        <v>0.12</v>
      </c>
      <c r="AS15" s="37">
        <f>AQ15*0.12</f>
        <v>102930</v>
      </c>
      <c r="AT15" s="29">
        <f>AQ15*1.12</f>
        <v>960680.00000000012</v>
      </c>
      <c r="AU15" s="29"/>
      <c r="AV15" s="29"/>
      <c r="AW15" s="29"/>
      <c r="AX15" s="29"/>
      <c r="AY15" s="29"/>
      <c r="AZ15" s="29"/>
      <c r="BA15" s="29"/>
      <c r="BB15" s="29"/>
      <c r="BC15" s="29"/>
      <c r="BD15" s="29"/>
      <c r="BE15" s="29"/>
      <c r="BF15" s="29"/>
      <c r="BG15" s="29">
        <f t="shared" si="1"/>
        <v>0</v>
      </c>
      <c r="BH15" s="29"/>
      <c r="BI15" s="23">
        <v>42874</v>
      </c>
      <c r="BJ15" s="23">
        <v>42880</v>
      </c>
      <c r="BK15" s="29" t="s">
        <v>570</v>
      </c>
      <c r="BL15" s="29" t="s">
        <v>570</v>
      </c>
      <c r="BM15" s="29" t="s">
        <v>570</v>
      </c>
      <c r="BN15" s="23">
        <v>42888</v>
      </c>
      <c r="BO15" s="13"/>
      <c r="BP15" s="13"/>
      <c r="BQ15" s="23">
        <v>42933</v>
      </c>
      <c r="BR15" s="23"/>
      <c r="BS15" s="23"/>
      <c r="BT15" s="23">
        <f>BQ15+10</f>
        <v>42943</v>
      </c>
      <c r="BU15" s="13" t="s">
        <v>570</v>
      </c>
      <c r="BV15" s="13" t="s">
        <v>570</v>
      </c>
      <c r="BW15" s="23">
        <v>43056</v>
      </c>
      <c r="BX15" s="23">
        <v>43056</v>
      </c>
      <c r="BY15" s="13" t="s">
        <v>570</v>
      </c>
      <c r="BZ15" s="23">
        <v>43056</v>
      </c>
      <c r="CA15" s="23">
        <v>43137</v>
      </c>
      <c r="CB15" s="23" t="s">
        <v>503</v>
      </c>
      <c r="CC15" s="23" t="s">
        <v>503</v>
      </c>
      <c r="CD15" s="23" t="s">
        <v>503</v>
      </c>
      <c r="CE15" s="23"/>
      <c r="CF15" s="23"/>
      <c r="CG15" s="23"/>
      <c r="CH15" s="23"/>
      <c r="CI15" s="23"/>
      <c r="CJ15" s="23"/>
      <c r="CK15" s="23"/>
      <c r="CL15" s="23"/>
      <c r="CM15" s="23"/>
      <c r="CN15" s="23"/>
      <c r="CO15" s="23"/>
      <c r="CP15" s="23"/>
      <c r="CQ15" s="23"/>
      <c r="CR15" s="23"/>
      <c r="CS15" s="23"/>
      <c r="CT15" s="29" t="s">
        <v>570</v>
      </c>
      <c r="CU15" s="29" t="s">
        <v>570</v>
      </c>
      <c r="CV15" s="99">
        <v>43179</v>
      </c>
      <c r="CW15" s="229">
        <v>428875</v>
      </c>
      <c r="CX15" s="13" t="s">
        <v>1761</v>
      </c>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31">
        <f t="shared" si="2"/>
        <v>428875</v>
      </c>
      <c r="DZ15" s="13"/>
      <c r="EA15" s="13"/>
      <c r="EB15" s="13"/>
      <c r="EC15" s="13"/>
      <c r="ED15" s="13"/>
      <c r="EE15" s="13"/>
      <c r="EF15" s="13"/>
      <c r="EG15" s="13">
        <v>270</v>
      </c>
      <c r="EH15" s="13" t="s">
        <v>588</v>
      </c>
      <c r="EI15" s="23">
        <f>CV15+1</f>
        <v>43180</v>
      </c>
      <c r="EJ15" s="23">
        <f>EI15+EG15</f>
        <v>43450</v>
      </c>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25">
        <v>0</v>
      </c>
      <c r="FW15" s="25">
        <v>0</v>
      </c>
      <c r="FX15" s="25">
        <v>0</v>
      </c>
      <c r="FY15" s="25">
        <v>0</v>
      </c>
      <c r="FZ15" s="25">
        <v>0</v>
      </c>
      <c r="GA15" s="25">
        <v>0</v>
      </c>
      <c r="GB15" s="25">
        <v>0</v>
      </c>
      <c r="GC15" s="25">
        <v>0</v>
      </c>
      <c r="GD15" s="25">
        <v>0.5</v>
      </c>
      <c r="GE15" s="25">
        <v>0.5</v>
      </c>
      <c r="GF15" s="25">
        <v>0.5</v>
      </c>
      <c r="GG15" s="25">
        <v>0.5</v>
      </c>
      <c r="GH15" s="25">
        <v>0.74</v>
      </c>
      <c r="GI15" s="25">
        <v>0.74</v>
      </c>
      <c r="GJ15" s="25">
        <v>0.74</v>
      </c>
      <c r="GK15" s="25">
        <v>0.74</v>
      </c>
      <c r="GL15" s="25">
        <v>1</v>
      </c>
      <c r="GM15" s="25">
        <v>1</v>
      </c>
      <c r="GN15" s="25">
        <v>1</v>
      </c>
      <c r="GO15" s="25">
        <v>1</v>
      </c>
      <c r="GP15" s="25">
        <v>1</v>
      </c>
      <c r="GQ15" s="25">
        <v>1</v>
      </c>
      <c r="GR15" s="25">
        <v>1</v>
      </c>
      <c r="GS15" s="25">
        <v>1</v>
      </c>
      <c r="GT15" s="25">
        <v>1</v>
      </c>
      <c r="GU15" s="25">
        <v>1</v>
      </c>
      <c r="GV15" s="25" t="s">
        <v>1588</v>
      </c>
      <c r="GW15" s="25" t="s">
        <v>1588</v>
      </c>
      <c r="GX15" s="25" t="s">
        <v>1588</v>
      </c>
      <c r="GY15" s="25" t="s">
        <v>1588</v>
      </c>
      <c r="GZ15" s="25" t="s">
        <v>1588</v>
      </c>
      <c r="HA15" s="25" t="s">
        <v>1588</v>
      </c>
      <c r="HB15" s="25" t="s">
        <v>1588</v>
      </c>
      <c r="HC15" s="25" t="s">
        <v>1588</v>
      </c>
      <c r="HD15" s="25" t="s">
        <v>455</v>
      </c>
      <c r="HE15" s="25" t="s">
        <v>455</v>
      </c>
      <c r="HF15" s="25" t="s">
        <v>455</v>
      </c>
      <c r="HG15" s="25" t="s">
        <v>455</v>
      </c>
      <c r="HH15" s="25" t="s">
        <v>455</v>
      </c>
      <c r="HI15" s="25" t="s">
        <v>1643</v>
      </c>
      <c r="HJ15" s="25"/>
      <c r="HK15" s="25"/>
      <c r="HL15" s="25" t="s">
        <v>1698</v>
      </c>
      <c r="HM15" s="25" t="s">
        <v>1698</v>
      </c>
      <c r="HN15" s="25" t="s">
        <v>1792</v>
      </c>
      <c r="HO15" s="25" t="s">
        <v>1842</v>
      </c>
      <c r="HP15" s="25"/>
      <c r="HQ15" s="25" t="s">
        <v>1793</v>
      </c>
      <c r="HR15" s="25"/>
      <c r="HS15" s="25"/>
      <c r="HT15" s="25"/>
      <c r="HU15" s="13"/>
      <c r="HV15" s="13"/>
      <c r="HW15" s="13" t="s">
        <v>1202</v>
      </c>
      <c r="HX15" s="55"/>
      <c r="HY15" s="55"/>
      <c r="HZ15" s="55"/>
      <c r="IA15" s="55"/>
      <c r="IB15" s="55"/>
      <c r="IC15" s="55"/>
      <c r="ID15" s="55"/>
      <c r="IE15" s="55"/>
      <c r="IF15" s="107">
        <v>900000</v>
      </c>
      <c r="IG15" s="107"/>
      <c r="IH15" s="250">
        <f t="shared" si="3"/>
        <v>881989.06</v>
      </c>
      <c r="II15" s="55"/>
      <c r="IJ15" s="55"/>
      <c r="IK15" s="55"/>
      <c r="IL15" s="55"/>
      <c r="IM15" s="55"/>
      <c r="IN15" s="55"/>
      <c r="IO15" s="55"/>
      <c r="IP15" s="55"/>
      <c r="IQ15" s="55"/>
      <c r="IR15" s="55"/>
      <c r="IS15" s="55"/>
      <c r="IT15" s="55"/>
      <c r="IU15" s="55"/>
      <c r="IV15" s="55"/>
      <c r="IW15" s="55"/>
      <c r="IX15" s="55"/>
      <c r="IY15" s="55"/>
      <c r="IZ15" s="55"/>
      <c r="JA15" s="55"/>
      <c r="JB15" s="55"/>
      <c r="JC15" s="55"/>
      <c r="JD15" s="55">
        <v>2019</v>
      </c>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row>
    <row r="16" spans="1:411" s="5" customFormat="1" ht="24.95" hidden="1" customHeight="1">
      <c r="A16" s="26" t="s">
        <v>16</v>
      </c>
      <c r="B16" s="26" t="s">
        <v>1</v>
      </c>
      <c r="C16" s="13" t="s">
        <v>349</v>
      </c>
      <c r="D16" s="13" t="s">
        <v>380</v>
      </c>
      <c r="E16" s="16" t="s">
        <v>360</v>
      </c>
      <c r="F16" s="13" t="s">
        <v>360</v>
      </c>
      <c r="G16" s="39" t="s">
        <v>354</v>
      </c>
      <c r="H16" s="28" t="s">
        <v>1518</v>
      </c>
      <c r="I16" s="388" t="s">
        <v>18</v>
      </c>
      <c r="J16" s="40">
        <v>1</v>
      </c>
      <c r="K16" s="26" t="s">
        <v>375</v>
      </c>
      <c r="L16" s="26" t="s">
        <v>17</v>
      </c>
      <c r="M16" s="20" t="s">
        <v>18</v>
      </c>
      <c r="N16" s="20" t="s">
        <v>600</v>
      </c>
      <c r="O16" s="13" t="s">
        <v>14</v>
      </c>
      <c r="P16" s="13" t="s">
        <v>15</v>
      </c>
      <c r="Q16" s="22" t="s">
        <v>1118</v>
      </c>
      <c r="R16" s="22" t="s">
        <v>600</v>
      </c>
      <c r="S16" s="13" t="s">
        <v>442</v>
      </c>
      <c r="T16" s="13" t="s">
        <v>1387</v>
      </c>
      <c r="U16" s="13" t="s">
        <v>479</v>
      </c>
      <c r="V16" s="22" t="s">
        <v>602</v>
      </c>
      <c r="W16" s="13" t="s">
        <v>570</v>
      </c>
      <c r="X16" s="13" t="s">
        <v>570</v>
      </c>
      <c r="Y16" s="13" t="s">
        <v>880</v>
      </c>
      <c r="Z16" s="13" t="s">
        <v>923</v>
      </c>
      <c r="AA16" s="29"/>
      <c r="AB16" s="29">
        <v>252112.24</v>
      </c>
      <c r="AC16" s="29">
        <v>0</v>
      </c>
      <c r="AD16" s="29">
        <v>252112.24</v>
      </c>
      <c r="AE16" s="29">
        <v>0</v>
      </c>
      <c r="AF16" s="29">
        <f t="shared" si="4"/>
        <v>252112.24</v>
      </c>
      <c r="AG16" s="25">
        <v>0.12</v>
      </c>
      <c r="AH16" s="29">
        <f t="shared" si="5"/>
        <v>30253.468799999999</v>
      </c>
      <c r="AI16" s="29">
        <f t="shared" si="6"/>
        <v>0</v>
      </c>
      <c r="AJ16" s="29">
        <f t="shared" si="0"/>
        <v>282365.70880000002</v>
      </c>
      <c r="AK16" s="126">
        <v>187320.47</v>
      </c>
      <c r="AL16" s="126">
        <f>AB16-AK16</f>
        <v>64791.76999999999</v>
      </c>
      <c r="AM16" s="126"/>
      <c r="AN16" s="29"/>
      <c r="AO16" s="29">
        <v>252112.22999999998</v>
      </c>
      <c r="AP16" s="29">
        <v>62420.47</v>
      </c>
      <c r="AQ16" s="29">
        <f>AP16+AP17</f>
        <v>187320.47</v>
      </c>
      <c r="AR16" s="35">
        <v>0.14000000000000001</v>
      </c>
      <c r="AS16" s="41">
        <f>AP16*0.14</f>
        <v>8738.8658000000014</v>
      </c>
      <c r="AT16" s="29">
        <f>+AP16*1.14</f>
        <v>71159.335800000001</v>
      </c>
      <c r="AU16" s="29"/>
      <c r="AV16" s="29"/>
      <c r="AW16" s="29"/>
      <c r="AX16" s="29"/>
      <c r="AY16" s="29"/>
      <c r="AZ16" s="29"/>
      <c r="BA16" s="29"/>
      <c r="BB16" s="29"/>
      <c r="BC16" s="29"/>
      <c r="BD16" s="29"/>
      <c r="BE16" s="29"/>
      <c r="BF16" s="29">
        <f>AB16-AQ16</f>
        <v>64791.76999999999</v>
      </c>
      <c r="BG16" s="29">
        <f t="shared" ref="BG16:BG40" si="11">BF16-AW16-AZ16-BC16-BE16</f>
        <v>64791.76999999999</v>
      </c>
      <c r="BH16" s="29" t="s">
        <v>603</v>
      </c>
      <c r="BI16" s="42">
        <v>42440</v>
      </c>
      <c r="BJ16" s="42">
        <v>42444</v>
      </c>
      <c r="BK16" s="29" t="s">
        <v>570</v>
      </c>
      <c r="BL16" s="29" t="s">
        <v>570</v>
      </c>
      <c r="BM16" s="29" t="s">
        <v>570</v>
      </c>
      <c r="BN16" s="23">
        <v>42447</v>
      </c>
      <c r="BO16" s="23">
        <v>42480</v>
      </c>
      <c r="BP16" s="23">
        <v>42485</v>
      </c>
      <c r="BQ16" s="23">
        <v>42496</v>
      </c>
      <c r="BR16" s="23" t="s">
        <v>570</v>
      </c>
      <c r="BS16" s="13" t="s">
        <v>610</v>
      </c>
      <c r="BT16" s="23">
        <v>42518</v>
      </c>
      <c r="BU16" s="13" t="s">
        <v>570</v>
      </c>
      <c r="BV16" s="13" t="s">
        <v>570</v>
      </c>
      <c r="BW16" s="23">
        <v>42622</v>
      </c>
      <c r="BX16" s="23">
        <v>42625</v>
      </c>
      <c r="BY16" s="23" t="s">
        <v>570</v>
      </c>
      <c r="BZ16" s="23">
        <v>42641</v>
      </c>
      <c r="CA16" s="23">
        <v>42641</v>
      </c>
      <c r="CB16" s="23">
        <v>42395</v>
      </c>
      <c r="CC16" s="23" t="s">
        <v>1529</v>
      </c>
      <c r="CD16" s="23" t="s">
        <v>1535</v>
      </c>
      <c r="CE16" s="23"/>
      <c r="CF16" s="23"/>
      <c r="CG16" s="23"/>
      <c r="CH16" s="23"/>
      <c r="CI16" s="23"/>
      <c r="CJ16" s="23"/>
      <c r="CK16" s="23"/>
      <c r="CL16" s="23"/>
      <c r="CM16" s="23"/>
      <c r="CN16" s="23"/>
      <c r="CO16" s="23"/>
      <c r="CP16" s="23"/>
      <c r="CQ16" s="23"/>
      <c r="CR16" s="23"/>
      <c r="CS16" s="23"/>
      <c r="CT16" s="29" t="s">
        <v>574</v>
      </c>
      <c r="CU16" s="29" t="s">
        <v>570</v>
      </c>
      <c r="CV16" s="23">
        <v>42703</v>
      </c>
      <c r="CW16" s="30">
        <f>AP16*0.5</f>
        <v>31210.235000000001</v>
      </c>
      <c r="CX16" s="30"/>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31">
        <f t="shared" ref="DY16:DY40" si="12">CW16+CZ16+DC16+DF16+DI16+DL16+DO16+DR16+DU16+DX16</f>
        <v>31210.235000000001</v>
      </c>
      <c r="DZ16" s="13"/>
      <c r="EA16" s="13"/>
      <c r="EB16" s="13"/>
      <c r="EC16" s="13"/>
      <c r="ED16" s="13"/>
      <c r="EE16" s="13"/>
      <c r="EF16" s="13"/>
      <c r="EG16" s="13">
        <v>90</v>
      </c>
      <c r="EH16" s="13" t="s">
        <v>588</v>
      </c>
      <c r="EI16" s="23">
        <f>CV16+1</f>
        <v>42704</v>
      </c>
      <c r="EJ16" s="23">
        <f>EI16+EG16</f>
        <v>42794</v>
      </c>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25">
        <v>0.75</v>
      </c>
      <c r="FV16" s="25">
        <v>0.75</v>
      </c>
      <c r="FW16" s="25">
        <v>0.75</v>
      </c>
      <c r="FX16" s="25">
        <v>0.75</v>
      </c>
      <c r="FY16" s="25">
        <v>1</v>
      </c>
      <c r="FZ16" s="25">
        <v>1</v>
      </c>
      <c r="GA16" s="25">
        <v>1</v>
      </c>
      <c r="GB16" s="25">
        <v>1</v>
      </c>
      <c r="GC16" s="25">
        <v>1</v>
      </c>
      <c r="GD16" s="25">
        <v>1</v>
      </c>
      <c r="GE16" s="25">
        <v>1</v>
      </c>
      <c r="GF16" s="25">
        <v>1</v>
      </c>
      <c r="GG16" s="25">
        <v>1</v>
      </c>
      <c r="GH16" s="25">
        <v>1</v>
      </c>
      <c r="GI16" s="25">
        <v>1</v>
      </c>
      <c r="GJ16" s="25">
        <v>1</v>
      </c>
      <c r="GK16" s="25">
        <v>1</v>
      </c>
      <c r="GL16" s="25">
        <v>1</v>
      </c>
      <c r="GM16" s="25">
        <v>1</v>
      </c>
      <c r="GN16" s="25">
        <v>1</v>
      </c>
      <c r="GO16" s="25">
        <v>1</v>
      </c>
      <c r="GP16" s="25">
        <v>1</v>
      </c>
      <c r="GQ16" s="25">
        <v>1</v>
      </c>
      <c r="GR16" s="25">
        <v>1</v>
      </c>
      <c r="GS16" s="25">
        <v>1</v>
      </c>
      <c r="GT16" s="25">
        <v>1</v>
      </c>
      <c r="GU16" s="25">
        <v>1</v>
      </c>
      <c r="GV16" s="25" t="s">
        <v>455</v>
      </c>
      <c r="GW16" s="25" t="s">
        <v>455</v>
      </c>
      <c r="GX16" s="25" t="s">
        <v>455</v>
      </c>
      <c r="GY16" s="25" t="s">
        <v>455</v>
      </c>
      <c r="GZ16" s="25" t="s">
        <v>455</v>
      </c>
      <c r="HA16" s="25" t="s">
        <v>455</v>
      </c>
      <c r="HB16" s="25" t="s">
        <v>455</v>
      </c>
      <c r="HC16" s="25" t="s">
        <v>455</v>
      </c>
      <c r="HD16" s="25" t="s">
        <v>455</v>
      </c>
      <c r="HE16" s="25" t="s">
        <v>455</v>
      </c>
      <c r="HF16" s="25" t="s">
        <v>455</v>
      </c>
      <c r="HG16" s="25" t="s">
        <v>455</v>
      </c>
      <c r="HH16" s="25" t="s">
        <v>455</v>
      </c>
      <c r="HI16" s="25"/>
      <c r="HJ16" s="25"/>
      <c r="HK16" s="25"/>
      <c r="HL16" s="25"/>
      <c r="HM16" s="25"/>
      <c r="HN16" s="25"/>
      <c r="HO16" s="25"/>
      <c r="HP16" s="25"/>
      <c r="HQ16" s="25"/>
      <c r="HR16" s="25"/>
      <c r="HS16" s="25"/>
      <c r="HT16" s="25"/>
      <c r="HU16" s="98" t="s">
        <v>609</v>
      </c>
      <c r="HV16" s="98"/>
      <c r="HW16" s="32"/>
      <c r="HX16" s="55"/>
      <c r="HY16" s="55"/>
      <c r="HZ16" s="55"/>
      <c r="IA16" s="55"/>
      <c r="IB16" s="55"/>
      <c r="IC16" s="55"/>
      <c r="ID16" s="55"/>
      <c r="IE16" s="55"/>
      <c r="IF16" s="107">
        <v>252112.24</v>
      </c>
      <c r="IG16" s="107">
        <v>187320.47</v>
      </c>
      <c r="IH16" s="250">
        <f t="shared" si="3"/>
        <v>0</v>
      </c>
      <c r="II16" s="55"/>
      <c r="IJ16" s="55"/>
      <c r="IK16" s="55"/>
      <c r="IL16" s="55"/>
      <c r="IM16" s="55"/>
      <c r="IN16" s="55"/>
      <c r="IO16" s="55"/>
      <c r="IP16" s="55"/>
      <c r="IQ16" s="55"/>
      <c r="IR16" s="55"/>
      <c r="IS16" s="55"/>
      <c r="IT16" s="55"/>
      <c r="IU16" s="55"/>
      <c r="IV16" s="55"/>
      <c r="IW16" s="55"/>
      <c r="IX16" s="55"/>
      <c r="IY16" s="55"/>
      <c r="IZ16" s="55"/>
      <c r="JA16" s="55"/>
      <c r="JB16" s="55"/>
      <c r="JC16" s="55"/>
      <c r="JD16" s="55">
        <v>2017</v>
      </c>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row>
    <row r="17" spans="1:411" s="10" customFormat="1" ht="24.95" hidden="1" customHeight="1">
      <c r="A17" s="26" t="s">
        <v>16</v>
      </c>
      <c r="B17" s="26" t="s">
        <v>1</v>
      </c>
      <c r="C17" s="13" t="s">
        <v>349</v>
      </c>
      <c r="D17" s="13" t="s">
        <v>380</v>
      </c>
      <c r="E17" s="16" t="s">
        <v>360</v>
      </c>
      <c r="F17" s="13" t="s">
        <v>360</v>
      </c>
      <c r="G17" s="39" t="s">
        <v>354</v>
      </c>
      <c r="H17" s="28" t="s">
        <v>1518</v>
      </c>
      <c r="I17" s="388"/>
      <c r="J17" s="40">
        <v>1</v>
      </c>
      <c r="K17" s="26" t="s">
        <v>375</v>
      </c>
      <c r="L17" s="26" t="s">
        <v>17</v>
      </c>
      <c r="M17" s="20" t="s">
        <v>18</v>
      </c>
      <c r="N17" s="20" t="s">
        <v>2004</v>
      </c>
      <c r="O17" s="13" t="s">
        <v>14</v>
      </c>
      <c r="P17" s="13" t="s">
        <v>15</v>
      </c>
      <c r="Q17" s="22" t="s">
        <v>1118</v>
      </c>
      <c r="R17" s="22" t="s">
        <v>601</v>
      </c>
      <c r="S17" s="22" t="s">
        <v>589</v>
      </c>
      <c r="T17" s="13" t="s">
        <v>1387</v>
      </c>
      <c r="U17" s="13" t="s">
        <v>479</v>
      </c>
      <c r="V17" s="24">
        <v>1790051765001</v>
      </c>
      <c r="W17" s="13" t="s">
        <v>570</v>
      </c>
      <c r="X17" s="13" t="s">
        <v>570</v>
      </c>
      <c r="Y17" s="13" t="s">
        <v>880</v>
      </c>
      <c r="Z17" s="13" t="s">
        <v>923</v>
      </c>
      <c r="AA17" s="29"/>
      <c r="AB17" s="29">
        <v>0</v>
      </c>
      <c r="AC17" s="29">
        <v>0</v>
      </c>
      <c r="AD17" s="29"/>
      <c r="AE17" s="29">
        <v>0</v>
      </c>
      <c r="AF17" s="29">
        <f t="shared" si="4"/>
        <v>0</v>
      </c>
      <c r="AG17" s="25">
        <v>0.12</v>
      </c>
      <c r="AH17" s="29">
        <f t="shared" si="5"/>
        <v>0</v>
      </c>
      <c r="AI17" s="29">
        <f t="shared" si="6"/>
        <v>0</v>
      </c>
      <c r="AJ17" s="29">
        <f t="shared" si="0"/>
        <v>0</v>
      </c>
      <c r="AK17" s="126"/>
      <c r="AL17" s="126"/>
      <c r="AM17" s="126"/>
      <c r="AN17" s="29"/>
      <c r="AO17" s="29"/>
      <c r="AP17" s="29">
        <v>124900</v>
      </c>
      <c r="AQ17" s="35"/>
      <c r="AR17" s="35">
        <v>0.14000000000000001</v>
      </c>
      <c r="AS17" s="41">
        <f>AP17*0.14</f>
        <v>17486</v>
      </c>
      <c r="AT17" s="29">
        <f>+AP17*1.14</f>
        <v>142386</v>
      </c>
      <c r="AU17" s="29"/>
      <c r="AV17" s="29"/>
      <c r="AW17" s="29"/>
      <c r="AX17" s="29"/>
      <c r="AY17" s="29"/>
      <c r="AZ17" s="29"/>
      <c r="BA17" s="29"/>
      <c r="BB17" s="29"/>
      <c r="BC17" s="29"/>
      <c r="BD17" s="29"/>
      <c r="BE17" s="29"/>
      <c r="BF17" s="29">
        <f>AB17-AQ17</f>
        <v>0</v>
      </c>
      <c r="BG17" s="29">
        <f t="shared" si="11"/>
        <v>0</v>
      </c>
      <c r="BH17" s="29" t="s">
        <v>603</v>
      </c>
      <c r="BI17" s="42">
        <v>42440</v>
      </c>
      <c r="BJ17" s="42">
        <v>42444</v>
      </c>
      <c r="BK17" s="29" t="s">
        <v>570</v>
      </c>
      <c r="BL17" s="29" t="s">
        <v>570</v>
      </c>
      <c r="BM17" s="29" t="s">
        <v>570</v>
      </c>
      <c r="BN17" s="23">
        <v>42447</v>
      </c>
      <c r="BO17" s="23">
        <v>42480</v>
      </c>
      <c r="BP17" s="23">
        <v>42485</v>
      </c>
      <c r="BQ17" s="23">
        <v>42496</v>
      </c>
      <c r="BR17" s="23" t="s">
        <v>570</v>
      </c>
      <c r="BS17" s="13" t="s">
        <v>610</v>
      </c>
      <c r="BT17" s="23">
        <v>42518</v>
      </c>
      <c r="BU17" s="13" t="s">
        <v>570</v>
      </c>
      <c r="BV17" s="13" t="s">
        <v>570</v>
      </c>
      <c r="BW17" s="23">
        <v>42622</v>
      </c>
      <c r="BX17" s="23">
        <v>42625</v>
      </c>
      <c r="BY17" s="23" t="s">
        <v>570</v>
      </c>
      <c r="BZ17" s="23">
        <v>42641</v>
      </c>
      <c r="CA17" s="23">
        <v>42641</v>
      </c>
      <c r="CB17" s="23">
        <v>42395</v>
      </c>
      <c r="CC17" s="23" t="s">
        <v>1529</v>
      </c>
      <c r="CD17" s="23" t="s">
        <v>1534</v>
      </c>
      <c r="CE17" s="23"/>
      <c r="CF17" s="23"/>
      <c r="CG17" s="23"/>
      <c r="CH17" s="23"/>
      <c r="CI17" s="23"/>
      <c r="CJ17" s="23"/>
      <c r="CK17" s="23"/>
      <c r="CL17" s="23"/>
      <c r="CM17" s="23"/>
      <c r="CN17" s="23"/>
      <c r="CO17" s="23"/>
      <c r="CP17" s="23"/>
      <c r="CQ17" s="23"/>
      <c r="CR17" s="23"/>
      <c r="CS17" s="23"/>
      <c r="CT17" s="29" t="s">
        <v>574</v>
      </c>
      <c r="CU17" s="29" t="s">
        <v>570</v>
      </c>
      <c r="CV17" s="23">
        <v>42689</v>
      </c>
      <c r="CW17" s="30">
        <f>AP17*0.5</f>
        <v>62450</v>
      </c>
      <c r="CX17" s="190" t="s">
        <v>1474</v>
      </c>
      <c r="CY17" s="155">
        <v>42843</v>
      </c>
      <c r="CZ17" s="79">
        <v>62450</v>
      </c>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31">
        <f t="shared" si="12"/>
        <v>124900</v>
      </c>
      <c r="DZ17" s="13"/>
      <c r="EA17" s="13"/>
      <c r="EB17" s="13"/>
      <c r="EC17" s="13"/>
      <c r="ED17" s="13"/>
      <c r="EE17" s="13"/>
      <c r="EF17" s="13"/>
      <c r="EG17" s="13">
        <v>90</v>
      </c>
      <c r="EH17" s="13" t="s">
        <v>588</v>
      </c>
      <c r="EI17" s="23">
        <f>CV17+1</f>
        <v>42690</v>
      </c>
      <c r="EJ17" s="23">
        <f>EI17+EG17</f>
        <v>42780</v>
      </c>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25">
        <v>1</v>
      </c>
      <c r="FV17" s="25">
        <v>1</v>
      </c>
      <c r="FW17" s="25">
        <v>1</v>
      </c>
      <c r="FX17" s="25">
        <v>1</v>
      </c>
      <c r="FY17" s="25">
        <v>1</v>
      </c>
      <c r="FZ17" s="25">
        <v>1</v>
      </c>
      <c r="GA17" s="25">
        <v>1</v>
      </c>
      <c r="GB17" s="25">
        <v>1</v>
      </c>
      <c r="GC17" s="25">
        <v>1</v>
      </c>
      <c r="GD17" s="25">
        <v>1</v>
      </c>
      <c r="GE17" s="25">
        <v>1</v>
      </c>
      <c r="GF17" s="25">
        <v>1</v>
      </c>
      <c r="GG17" s="25">
        <v>1</v>
      </c>
      <c r="GH17" s="25">
        <v>1</v>
      </c>
      <c r="GI17" s="25">
        <v>1</v>
      </c>
      <c r="GJ17" s="25">
        <v>1</v>
      </c>
      <c r="GK17" s="25">
        <v>1</v>
      </c>
      <c r="GL17" s="25">
        <v>1</v>
      </c>
      <c r="GM17" s="25">
        <v>1</v>
      </c>
      <c r="GN17" s="25">
        <v>1</v>
      </c>
      <c r="GO17" s="25">
        <v>1</v>
      </c>
      <c r="GP17" s="25">
        <v>1</v>
      </c>
      <c r="GQ17" s="25">
        <v>1</v>
      </c>
      <c r="GR17" s="25">
        <v>1</v>
      </c>
      <c r="GS17" s="25">
        <v>1</v>
      </c>
      <c r="GT17" s="25">
        <v>1</v>
      </c>
      <c r="GU17" s="25">
        <v>1</v>
      </c>
      <c r="GV17" s="25" t="s">
        <v>455</v>
      </c>
      <c r="GW17" s="25" t="s">
        <v>455</v>
      </c>
      <c r="GX17" s="25" t="s">
        <v>455</v>
      </c>
      <c r="GY17" s="25" t="s">
        <v>455</v>
      </c>
      <c r="GZ17" s="25" t="s">
        <v>455</v>
      </c>
      <c r="HA17" s="25" t="s">
        <v>455</v>
      </c>
      <c r="HB17" s="25" t="s">
        <v>455</v>
      </c>
      <c r="HC17" s="25" t="s">
        <v>455</v>
      </c>
      <c r="HD17" s="25" t="s">
        <v>455</v>
      </c>
      <c r="HE17" s="25" t="s">
        <v>455</v>
      </c>
      <c r="HF17" s="25" t="s">
        <v>455</v>
      </c>
      <c r="HG17" s="25" t="s">
        <v>455</v>
      </c>
      <c r="HH17" s="25" t="s">
        <v>455</v>
      </c>
      <c r="HI17" s="25"/>
      <c r="HJ17" s="25"/>
      <c r="HK17" s="25"/>
      <c r="HL17" s="25"/>
      <c r="HM17" s="25"/>
      <c r="HN17" s="25"/>
      <c r="HO17" s="25"/>
      <c r="HP17" s="25"/>
      <c r="HQ17" s="25"/>
      <c r="HR17" s="25"/>
      <c r="HS17" s="25"/>
      <c r="HT17" s="25"/>
      <c r="HU17" s="98" t="s">
        <v>795</v>
      </c>
      <c r="HV17" s="98"/>
      <c r="HW17" s="32"/>
      <c r="HX17" s="55"/>
      <c r="HY17" s="55"/>
      <c r="HZ17" s="55"/>
      <c r="IA17" s="251"/>
      <c r="IB17" s="251"/>
      <c r="IC17" s="251"/>
      <c r="ID17" s="251"/>
      <c r="IE17" s="251"/>
      <c r="IF17" s="107">
        <v>0</v>
      </c>
      <c r="IG17" s="107"/>
      <c r="IH17" s="250">
        <f t="shared" si="3"/>
        <v>0</v>
      </c>
      <c r="II17" s="251"/>
      <c r="IJ17" s="251"/>
      <c r="IK17" s="251"/>
      <c r="IL17" s="251"/>
      <c r="IM17" s="251"/>
      <c r="IN17" s="251"/>
      <c r="IO17" s="251"/>
      <c r="IP17" s="251"/>
      <c r="IQ17" s="251"/>
      <c r="IR17" s="251"/>
      <c r="IS17" s="251"/>
      <c r="IT17" s="251"/>
      <c r="IU17" s="251"/>
      <c r="IV17" s="251"/>
      <c r="IW17" s="251"/>
      <c r="IX17" s="55"/>
      <c r="IY17" s="55"/>
      <c r="IZ17" s="55"/>
      <c r="JA17" s="55"/>
      <c r="JB17" s="55"/>
      <c r="JC17" s="55"/>
      <c r="JD17" s="55">
        <v>2017</v>
      </c>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row>
    <row r="18" spans="1:411" s="106" customFormat="1" ht="24.95" hidden="1" customHeight="1">
      <c r="A18" s="315" t="s">
        <v>19</v>
      </c>
      <c r="B18" s="315" t="s">
        <v>1</v>
      </c>
      <c r="C18" s="13" t="s">
        <v>349</v>
      </c>
      <c r="D18" s="13" t="s">
        <v>380</v>
      </c>
      <c r="E18" s="16" t="s">
        <v>360</v>
      </c>
      <c r="F18" s="13" t="s">
        <v>360</v>
      </c>
      <c r="G18" s="39" t="s">
        <v>354</v>
      </c>
      <c r="H18" s="39" t="s">
        <v>1580</v>
      </c>
      <c r="I18" s="21" t="s">
        <v>21</v>
      </c>
      <c r="J18" s="40">
        <v>7</v>
      </c>
      <c r="K18" s="26" t="s">
        <v>375</v>
      </c>
      <c r="L18" s="315" t="s">
        <v>20</v>
      </c>
      <c r="M18" s="345" t="s">
        <v>21</v>
      </c>
      <c r="N18" s="345"/>
      <c r="O18" s="346" t="s">
        <v>14</v>
      </c>
      <c r="P18" s="346" t="s">
        <v>15</v>
      </c>
      <c r="Q18" s="347" t="s">
        <v>1118</v>
      </c>
      <c r="R18" s="26" t="s">
        <v>20</v>
      </c>
      <c r="S18" s="13" t="s">
        <v>604</v>
      </c>
      <c r="T18" s="13" t="s">
        <v>1387</v>
      </c>
      <c r="U18" s="13" t="s">
        <v>479</v>
      </c>
      <c r="V18" s="24">
        <v>1791189159001</v>
      </c>
      <c r="W18" s="13" t="s">
        <v>570</v>
      </c>
      <c r="X18" s="13" t="s">
        <v>570</v>
      </c>
      <c r="Y18" s="13" t="s">
        <v>503</v>
      </c>
      <c r="Z18" s="13" t="s">
        <v>503</v>
      </c>
      <c r="AA18" s="29"/>
      <c r="AB18" s="348">
        <f>306943.45-38943.45</f>
        <v>268000</v>
      </c>
      <c r="AC18" s="348">
        <v>0</v>
      </c>
      <c r="AD18" s="348">
        <v>306943.45</v>
      </c>
      <c r="AE18" s="348">
        <v>0</v>
      </c>
      <c r="AF18" s="348">
        <f t="shared" si="4"/>
        <v>306943.45</v>
      </c>
      <c r="AG18" s="349">
        <v>0.12</v>
      </c>
      <c r="AH18" s="348">
        <f t="shared" si="5"/>
        <v>36833.214</v>
      </c>
      <c r="AI18" s="348">
        <f t="shared" si="6"/>
        <v>0</v>
      </c>
      <c r="AJ18" s="348">
        <f t="shared" si="0"/>
        <v>343776.66400000005</v>
      </c>
      <c r="AK18" s="348">
        <v>268000</v>
      </c>
      <c r="AL18" s="348">
        <f>AB18-AK18</f>
        <v>0</v>
      </c>
      <c r="AM18" s="126"/>
      <c r="AN18" s="29"/>
      <c r="AO18" s="29">
        <v>306943.45</v>
      </c>
      <c r="AP18" s="29"/>
      <c r="AQ18" s="29">
        <v>268000</v>
      </c>
      <c r="AR18" s="35">
        <v>0.14000000000000001</v>
      </c>
      <c r="AS18" s="35"/>
      <c r="AT18" s="29">
        <f>+AQ18*1.14</f>
        <v>305520</v>
      </c>
      <c r="AU18" s="29"/>
      <c r="AV18" s="29"/>
      <c r="AW18" s="29"/>
      <c r="AX18" s="29"/>
      <c r="AY18" s="29"/>
      <c r="AZ18" s="29"/>
      <c r="BA18" s="29"/>
      <c r="BB18" s="29"/>
      <c r="BC18" s="29"/>
      <c r="BD18" s="29"/>
      <c r="BE18" s="29"/>
      <c r="BF18" s="29">
        <f>AB18-AQ18</f>
        <v>0</v>
      </c>
      <c r="BG18" s="29">
        <f t="shared" si="11"/>
        <v>0</v>
      </c>
      <c r="BH18" s="37" t="s">
        <v>606</v>
      </c>
      <c r="BI18" s="23">
        <v>42569</v>
      </c>
      <c r="BJ18" s="23">
        <v>42576</v>
      </c>
      <c r="BK18" s="29" t="s">
        <v>570</v>
      </c>
      <c r="BL18" s="29" t="s">
        <v>570</v>
      </c>
      <c r="BM18" s="29" t="s">
        <v>570</v>
      </c>
      <c r="BN18" s="23">
        <v>42577</v>
      </c>
      <c r="BO18" s="23">
        <v>42604</v>
      </c>
      <c r="BP18" s="23">
        <v>42626</v>
      </c>
      <c r="BQ18" s="23">
        <v>42619</v>
      </c>
      <c r="BR18" s="23">
        <v>42653</v>
      </c>
      <c r="BS18" s="23">
        <v>42639</v>
      </c>
      <c r="BT18" s="23">
        <v>42684</v>
      </c>
      <c r="BU18" s="13" t="s">
        <v>570</v>
      </c>
      <c r="BV18" s="13" t="s">
        <v>570</v>
      </c>
      <c r="BW18" s="23">
        <v>42695</v>
      </c>
      <c r="BX18" s="23">
        <v>42695</v>
      </c>
      <c r="BY18" s="13" t="s">
        <v>570</v>
      </c>
      <c r="BZ18" s="23">
        <v>42695</v>
      </c>
      <c r="CA18" s="23">
        <v>42704</v>
      </c>
      <c r="CB18" s="23">
        <v>42395</v>
      </c>
      <c r="CC18" s="23" t="s">
        <v>1529</v>
      </c>
      <c r="CD18" s="23" t="s">
        <v>1531</v>
      </c>
      <c r="CE18" s="23" t="s">
        <v>830</v>
      </c>
      <c r="CF18" s="23" t="s">
        <v>830</v>
      </c>
      <c r="CG18" s="23" t="s">
        <v>830</v>
      </c>
      <c r="CH18" s="127" t="s">
        <v>829</v>
      </c>
      <c r="CI18" s="127" t="s">
        <v>829</v>
      </c>
      <c r="CJ18" s="23" t="s">
        <v>830</v>
      </c>
      <c r="CK18" s="23" t="s">
        <v>830</v>
      </c>
      <c r="CL18" s="23" t="s">
        <v>830</v>
      </c>
      <c r="CM18" s="23" t="s">
        <v>830</v>
      </c>
      <c r="CN18" s="23" t="s">
        <v>830</v>
      </c>
      <c r="CO18" s="23" t="s">
        <v>830</v>
      </c>
      <c r="CP18" s="13" t="s">
        <v>570</v>
      </c>
      <c r="CQ18" s="23" t="s">
        <v>830</v>
      </c>
      <c r="CR18" s="23" t="s">
        <v>830</v>
      </c>
      <c r="CS18" s="13" t="s">
        <v>833</v>
      </c>
      <c r="CT18" s="29" t="s">
        <v>570</v>
      </c>
      <c r="CU18" s="29" t="s">
        <v>570</v>
      </c>
      <c r="CV18" s="23">
        <v>42717</v>
      </c>
      <c r="CW18" s="30">
        <v>134000</v>
      </c>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31">
        <f t="shared" si="12"/>
        <v>134000</v>
      </c>
      <c r="DZ18" s="13"/>
      <c r="EA18" s="13"/>
      <c r="EB18" s="13"/>
      <c r="EC18" s="13"/>
      <c r="ED18" s="13"/>
      <c r="EE18" s="13"/>
      <c r="EF18" s="13"/>
      <c r="EG18" s="13">
        <v>120</v>
      </c>
      <c r="EH18" s="13" t="s">
        <v>588</v>
      </c>
      <c r="EI18" s="23">
        <f>CV18+1</f>
        <v>42718</v>
      </c>
      <c r="EJ18" s="23">
        <f>EI18+EG18</f>
        <v>42838</v>
      </c>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25">
        <v>0</v>
      </c>
      <c r="FW18" s="25">
        <v>0</v>
      </c>
      <c r="FX18" s="25">
        <v>0</v>
      </c>
      <c r="FY18" s="25">
        <v>0</v>
      </c>
      <c r="FZ18" s="25">
        <v>0.95</v>
      </c>
      <c r="GA18" s="25">
        <v>0.95</v>
      </c>
      <c r="GB18" s="25">
        <v>0.98</v>
      </c>
      <c r="GC18" s="25">
        <v>0.98</v>
      </c>
      <c r="GD18" s="25">
        <v>1</v>
      </c>
      <c r="GE18" s="25">
        <v>1</v>
      </c>
      <c r="GF18" s="25">
        <v>1</v>
      </c>
      <c r="GG18" s="25">
        <v>1</v>
      </c>
      <c r="GH18" s="25">
        <v>1</v>
      </c>
      <c r="GI18" s="25">
        <v>1</v>
      </c>
      <c r="GJ18" s="25">
        <v>1</v>
      </c>
      <c r="GK18" s="25">
        <v>1</v>
      </c>
      <c r="GL18" s="25">
        <v>1</v>
      </c>
      <c r="GM18" s="25">
        <v>1</v>
      </c>
      <c r="GN18" s="25">
        <v>1</v>
      </c>
      <c r="GO18" s="25">
        <v>1</v>
      </c>
      <c r="GP18" s="25">
        <v>1</v>
      </c>
      <c r="GQ18" s="25">
        <v>1</v>
      </c>
      <c r="GR18" s="25">
        <v>1</v>
      </c>
      <c r="GS18" s="25">
        <v>1</v>
      </c>
      <c r="GT18" s="349">
        <v>1</v>
      </c>
      <c r="GU18" s="349">
        <v>1</v>
      </c>
      <c r="GV18" s="25" t="s">
        <v>452</v>
      </c>
      <c r="GW18" s="25" t="s">
        <v>452</v>
      </c>
      <c r="GX18" s="25" t="s">
        <v>452</v>
      </c>
      <c r="GY18" s="25" t="s">
        <v>452</v>
      </c>
      <c r="GZ18" s="25" t="s">
        <v>452</v>
      </c>
      <c r="HA18" s="25" t="s">
        <v>452</v>
      </c>
      <c r="HB18" s="25" t="s">
        <v>452</v>
      </c>
      <c r="HC18" s="25" t="s">
        <v>452</v>
      </c>
      <c r="HD18" s="25" t="s">
        <v>452</v>
      </c>
      <c r="HE18" s="25" t="s">
        <v>452</v>
      </c>
      <c r="HF18" s="25" t="s">
        <v>452</v>
      </c>
      <c r="HG18" s="349" t="s">
        <v>452</v>
      </c>
      <c r="HH18" s="349" t="s">
        <v>452</v>
      </c>
      <c r="HI18" s="25"/>
      <c r="HJ18" s="25"/>
      <c r="HK18" s="25"/>
      <c r="HL18" s="25"/>
      <c r="HM18" s="25"/>
      <c r="HN18" s="25"/>
      <c r="HO18" s="25"/>
      <c r="HP18" s="25"/>
      <c r="HQ18" s="25"/>
      <c r="HR18" s="25"/>
      <c r="HS18" s="349"/>
      <c r="HT18" s="349"/>
      <c r="HU18" s="350" t="s">
        <v>339</v>
      </c>
      <c r="HV18" s="350"/>
      <c r="HW18" s="351"/>
      <c r="HX18" s="352">
        <v>42368</v>
      </c>
      <c r="HY18" s="353"/>
      <c r="HZ18" s="353"/>
      <c r="IA18" s="353"/>
      <c r="IB18" s="353"/>
      <c r="IC18" s="353"/>
      <c r="ID18" s="353"/>
      <c r="IE18" s="353"/>
      <c r="IF18" s="107">
        <v>306943.45</v>
      </c>
      <c r="IG18" s="107">
        <v>268000</v>
      </c>
      <c r="IH18" s="354">
        <f t="shared" si="3"/>
        <v>0</v>
      </c>
      <c r="II18" s="353"/>
      <c r="IJ18" s="353"/>
      <c r="IK18" s="353"/>
      <c r="IL18" s="353"/>
      <c r="IM18" s="353"/>
      <c r="IN18" s="353"/>
      <c r="IO18" s="353"/>
      <c r="IP18" s="353"/>
      <c r="IQ18" s="353"/>
      <c r="IR18" s="353"/>
      <c r="IS18" s="353"/>
      <c r="IT18" s="353"/>
      <c r="IU18" s="353"/>
      <c r="IV18" s="353"/>
      <c r="IW18" s="353"/>
      <c r="IX18" s="353"/>
      <c r="IY18" s="55"/>
      <c r="IZ18" s="55"/>
      <c r="JA18" s="55"/>
      <c r="JB18" s="55"/>
      <c r="JC18" s="55"/>
      <c r="JD18" s="353">
        <v>2017</v>
      </c>
      <c r="JE18" s="355"/>
      <c r="JF18" s="355"/>
      <c r="JG18" s="355"/>
      <c r="JH18" s="355"/>
      <c r="JI18" s="355"/>
      <c r="JJ18" s="355"/>
      <c r="JK18" s="355"/>
      <c r="JL18" s="355"/>
      <c r="JM18" s="355"/>
      <c r="JN18" s="355"/>
      <c r="JO18" s="355"/>
      <c r="JP18" s="355"/>
      <c r="JQ18" s="355"/>
      <c r="JR18" s="355"/>
      <c r="JS18" s="355"/>
      <c r="JT18" s="355"/>
      <c r="JU18" s="355"/>
      <c r="JV18" s="355"/>
      <c r="JW18" s="355"/>
      <c r="JX18" s="355"/>
      <c r="JY18" s="355"/>
      <c r="JZ18" s="355"/>
      <c r="KA18" s="355"/>
      <c r="KB18" s="355"/>
      <c r="KC18" s="355"/>
      <c r="KD18" s="355"/>
      <c r="KE18" s="355"/>
      <c r="KF18" s="355"/>
      <c r="KG18" s="355"/>
      <c r="KH18" s="355"/>
      <c r="KI18" s="355"/>
      <c r="KJ18" s="355"/>
      <c r="KK18" s="355"/>
      <c r="KL18" s="355"/>
      <c r="KM18" s="355"/>
      <c r="KN18" s="355"/>
      <c r="KO18" s="355"/>
      <c r="KP18" s="355"/>
      <c r="KQ18" s="355"/>
      <c r="KR18" s="355"/>
      <c r="KS18" s="355"/>
      <c r="KT18" s="355"/>
      <c r="KU18" s="355"/>
      <c r="KV18" s="355"/>
      <c r="KW18" s="355"/>
      <c r="KX18" s="355"/>
      <c r="KY18" s="355"/>
      <c r="KZ18" s="355"/>
      <c r="LA18" s="355"/>
      <c r="LB18" s="355"/>
      <c r="LC18" s="355"/>
      <c r="LD18" s="355"/>
      <c r="LE18" s="355"/>
      <c r="LF18" s="355"/>
      <c r="LG18" s="355"/>
      <c r="LH18" s="355"/>
      <c r="LI18" s="355"/>
      <c r="LJ18" s="355"/>
      <c r="LK18" s="355"/>
      <c r="LL18" s="355"/>
      <c r="LM18" s="355"/>
      <c r="LN18" s="355"/>
      <c r="LO18" s="355"/>
      <c r="LP18" s="355"/>
      <c r="LQ18" s="355"/>
      <c r="LR18" s="355"/>
      <c r="LS18" s="355"/>
      <c r="LT18" s="355"/>
      <c r="LU18" s="355"/>
      <c r="LV18" s="355"/>
      <c r="LW18" s="355"/>
      <c r="LX18" s="355"/>
      <c r="LY18" s="355"/>
      <c r="LZ18" s="355"/>
      <c r="MA18" s="355"/>
      <c r="MB18" s="355"/>
      <c r="MC18" s="355"/>
      <c r="MD18" s="355"/>
      <c r="ME18" s="355"/>
      <c r="MF18" s="355"/>
      <c r="MG18" s="355"/>
      <c r="MH18" s="355"/>
      <c r="MI18" s="355"/>
      <c r="MJ18" s="355"/>
      <c r="MK18" s="355"/>
      <c r="ML18" s="355"/>
      <c r="MM18" s="355"/>
      <c r="MN18" s="355"/>
      <c r="MO18" s="355"/>
      <c r="MP18" s="355"/>
      <c r="MQ18" s="355"/>
      <c r="MR18" s="355"/>
      <c r="MS18" s="355"/>
      <c r="MT18" s="355"/>
      <c r="MU18" s="355"/>
      <c r="MV18" s="355"/>
      <c r="MW18" s="355"/>
      <c r="MX18" s="355"/>
      <c r="MY18" s="355"/>
      <c r="MZ18" s="355"/>
      <c r="NA18" s="355"/>
      <c r="NB18" s="355"/>
      <c r="NC18" s="355"/>
      <c r="ND18" s="355"/>
      <c r="NE18" s="355"/>
      <c r="NF18" s="355"/>
      <c r="NG18" s="355"/>
      <c r="NH18" s="355"/>
      <c r="NI18" s="355"/>
      <c r="NJ18" s="355"/>
      <c r="NK18" s="355"/>
      <c r="NL18" s="355"/>
      <c r="NM18" s="355"/>
      <c r="NN18" s="355"/>
      <c r="NO18" s="355"/>
      <c r="NP18" s="355"/>
      <c r="NQ18" s="355"/>
      <c r="NR18" s="355"/>
      <c r="NS18" s="355"/>
      <c r="NT18" s="355"/>
      <c r="NU18" s="355"/>
      <c r="NV18" s="355"/>
      <c r="NW18" s="355"/>
      <c r="NX18" s="355"/>
      <c r="NY18" s="355"/>
      <c r="NZ18" s="355"/>
      <c r="OA18" s="355"/>
      <c r="OB18" s="355"/>
      <c r="OC18" s="355"/>
      <c r="OD18" s="355"/>
      <c r="OE18" s="355"/>
      <c r="OF18" s="355"/>
      <c r="OG18" s="355"/>
      <c r="OH18" s="355"/>
      <c r="OI18" s="355"/>
      <c r="OJ18" s="355"/>
      <c r="OK18" s="355"/>
      <c r="OL18" s="355"/>
      <c r="OM18" s="355"/>
      <c r="ON18" s="355"/>
      <c r="OO18" s="355"/>
      <c r="OP18" s="355"/>
      <c r="OQ18" s="355"/>
      <c r="OR18" s="355"/>
      <c r="OS18" s="355"/>
      <c r="OT18" s="355"/>
      <c r="OU18" s="355"/>
    </row>
    <row r="19" spans="1:411" s="5" customFormat="1" ht="24.95" hidden="1" customHeight="1">
      <c r="A19" s="26" t="s">
        <v>19</v>
      </c>
      <c r="B19" s="26" t="s">
        <v>1</v>
      </c>
      <c r="C19" s="13" t="s">
        <v>349</v>
      </c>
      <c r="D19" s="13" t="s">
        <v>380</v>
      </c>
      <c r="E19" s="13" t="s">
        <v>350</v>
      </c>
      <c r="F19" s="13" t="s">
        <v>350</v>
      </c>
      <c r="G19" s="39" t="s">
        <v>351</v>
      </c>
      <c r="H19" s="39" t="s">
        <v>1580</v>
      </c>
      <c r="I19" s="21" t="s">
        <v>22</v>
      </c>
      <c r="J19" s="40">
        <v>8</v>
      </c>
      <c r="K19" s="26" t="s">
        <v>375</v>
      </c>
      <c r="L19" s="26" t="s">
        <v>551</v>
      </c>
      <c r="M19" s="20" t="s">
        <v>22</v>
      </c>
      <c r="N19" s="20"/>
      <c r="O19" s="13" t="s">
        <v>14</v>
      </c>
      <c r="P19" s="13" t="s">
        <v>15</v>
      </c>
      <c r="Q19" s="22" t="s">
        <v>1118</v>
      </c>
      <c r="R19" s="26" t="s">
        <v>1386</v>
      </c>
      <c r="S19" s="22" t="s">
        <v>772</v>
      </c>
      <c r="T19" s="13" t="s">
        <v>1387</v>
      </c>
      <c r="U19" s="13" t="s">
        <v>479</v>
      </c>
      <c r="V19" s="24" t="s">
        <v>773</v>
      </c>
      <c r="W19" s="13"/>
      <c r="X19" s="13"/>
      <c r="Y19" s="13" t="s">
        <v>503</v>
      </c>
      <c r="Z19" s="13"/>
      <c r="AA19" s="29"/>
      <c r="AB19" s="29">
        <f>851750-19750</f>
        <v>832000</v>
      </c>
      <c r="AC19" s="29">
        <v>0</v>
      </c>
      <c r="AD19" s="29">
        <f>837592.4</f>
        <v>837592.4</v>
      </c>
      <c r="AE19" s="29">
        <v>0</v>
      </c>
      <c r="AF19" s="29">
        <f t="shared" si="4"/>
        <v>837592.4</v>
      </c>
      <c r="AG19" s="25">
        <v>0.12</v>
      </c>
      <c r="AH19" s="29">
        <f t="shared" si="5"/>
        <v>100511.088</v>
      </c>
      <c r="AI19" s="29">
        <f t="shared" si="6"/>
        <v>0</v>
      </c>
      <c r="AJ19" s="29">
        <f t="shared" si="0"/>
        <v>938103.48800000013</v>
      </c>
      <c r="AK19" s="126">
        <v>832000</v>
      </c>
      <c r="AL19" s="126">
        <f>AB19-AK19</f>
        <v>0</v>
      </c>
      <c r="AM19" s="126"/>
      <c r="AN19" s="29"/>
      <c r="AO19" s="29">
        <f>837592.4</f>
        <v>837592.4</v>
      </c>
      <c r="AP19" s="29"/>
      <c r="AQ19" s="29">
        <v>832000</v>
      </c>
      <c r="AR19" s="25">
        <v>0.14000000000000001</v>
      </c>
      <c r="AS19" s="25"/>
      <c r="AT19" s="29">
        <f>AQ19*1.14</f>
        <v>948479.99999999988</v>
      </c>
      <c r="AU19" s="29"/>
      <c r="AV19" s="29"/>
      <c r="AW19" s="29"/>
      <c r="AX19" s="29"/>
      <c r="AY19" s="29"/>
      <c r="AZ19" s="29"/>
      <c r="BA19" s="29"/>
      <c r="BB19" s="29"/>
      <c r="BC19" s="29"/>
      <c r="BD19" s="29"/>
      <c r="BE19" s="29"/>
      <c r="BF19" s="29">
        <f>AB19-AQ19</f>
        <v>0</v>
      </c>
      <c r="BG19" s="29">
        <f t="shared" si="11"/>
        <v>0</v>
      </c>
      <c r="BH19" s="29" t="s">
        <v>607</v>
      </c>
      <c r="BI19" s="42">
        <v>42661</v>
      </c>
      <c r="BJ19" s="42">
        <v>42664</v>
      </c>
      <c r="BK19" s="29" t="s">
        <v>570</v>
      </c>
      <c r="BL19" s="29" t="s">
        <v>570</v>
      </c>
      <c r="BM19" s="29" t="s">
        <v>570</v>
      </c>
      <c r="BN19" s="23">
        <v>42664</v>
      </c>
      <c r="BO19" s="23">
        <v>42694</v>
      </c>
      <c r="BP19" s="23">
        <v>42699</v>
      </c>
      <c r="BQ19" s="23">
        <v>42709</v>
      </c>
      <c r="BR19" s="13" t="s">
        <v>570</v>
      </c>
      <c r="BS19" s="23">
        <v>42732</v>
      </c>
      <c r="BT19" s="23">
        <v>42734</v>
      </c>
      <c r="BU19" s="13" t="s">
        <v>570</v>
      </c>
      <c r="BV19" s="13" t="s">
        <v>570</v>
      </c>
      <c r="BW19" s="23">
        <v>42751</v>
      </c>
      <c r="BX19" s="23">
        <v>42751</v>
      </c>
      <c r="BY19" s="13" t="s">
        <v>570</v>
      </c>
      <c r="BZ19" s="23">
        <v>42758</v>
      </c>
      <c r="CA19" s="23">
        <f>BX19+15</f>
        <v>42766</v>
      </c>
      <c r="CB19" s="23" t="s">
        <v>503</v>
      </c>
      <c r="CC19" s="23"/>
      <c r="CD19" s="23"/>
      <c r="CE19" s="127" t="s">
        <v>829</v>
      </c>
      <c r="CF19" s="127" t="s">
        <v>829</v>
      </c>
      <c r="CG19" s="23" t="s">
        <v>830</v>
      </c>
      <c r="CH19" s="127" t="s">
        <v>829</v>
      </c>
      <c r="CI19" s="127" t="s">
        <v>829</v>
      </c>
      <c r="CJ19" s="23" t="s">
        <v>570</v>
      </c>
      <c r="CK19" s="23" t="s">
        <v>830</v>
      </c>
      <c r="CL19" s="23" t="s">
        <v>830</v>
      </c>
      <c r="CM19" s="23" t="s">
        <v>830</v>
      </c>
      <c r="CN19" s="23" t="s">
        <v>830</v>
      </c>
      <c r="CO19" s="23" t="s">
        <v>830</v>
      </c>
      <c r="CP19" s="23"/>
      <c r="CQ19" s="23" t="s">
        <v>830</v>
      </c>
      <c r="CR19" s="23" t="s">
        <v>830</v>
      </c>
      <c r="CS19" s="13" t="s">
        <v>833</v>
      </c>
      <c r="CT19" s="37" t="s">
        <v>570</v>
      </c>
      <c r="CU19" s="37" t="s">
        <v>570</v>
      </c>
      <c r="CV19" s="99">
        <v>42802</v>
      </c>
      <c r="CW19" s="30">
        <v>416000</v>
      </c>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31">
        <f t="shared" si="12"/>
        <v>416000</v>
      </c>
      <c r="DZ19" s="13"/>
      <c r="EA19" s="13"/>
      <c r="EB19" s="13"/>
      <c r="EC19" s="13"/>
      <c r="ED19" s="13"/>
      <c r="EE19" s="13"/>
      <c r="EF19" s="13"/>
      <c r="EG19" s="13">
        <v>240</v>
      </c>
      <c r="EH19" s="13" t="s">
        <v>588</v>
      </c>
      <c r="EI19" s="23">
        <f>CV19+1</f>
        <v>42803</v>
      </c>
      <c r="EJ19" s="23">
        <f>EI19+EG19</f>
        <v>43043</v>
      </c>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25">
        <v>1</v>
      </c>
      <c r="FT19" s="25">
        <v>1</v>
      </c>
      <c r="FU19" s="25">
        <v>1</v>
      </c>
      <c r="FV19" s="25">
        <v>1</v>
      </c>
      <c r="FW19" s="25">
        <v>1</v>
      </c>
      <c r="FX19" s="25">
        <v>1</v>
      </c>
      <c r="FY19" s="25">
        <v>1</v>
      </c>
      <c r="FZ19" s="25">
        <v>1</v>
      </c>
      <c r="GA19" s="25">
        <v>1</v>
      </c>
      <c r="GB19" s="25">
        <v>1</v>
      </c>
      <c r="GC19" s="25">
        <v>1</v>
      </c>
      <c r="GD19" s="25">
        <v>1</v>
      </c>
      <c r="GE19" s="25">
        <v>1</v>
      </c>
      <c r="GF19" s="25">
        <v>1</v>
      </c>
      <c r="GG19" s="25">
        <v>1</v>
      </c>
      <c r="GH19" s="25">
        <v>1</v>
      </c>
      <c r="GI19" s="25">
        <v>1</v>
      </c>
      <c r="GJ19" s="25">
        <v>1</v>
      </c>
      <c r="GK19" s="25">
        <v>1</v>
      </c>
      <c r="GL19" s="25">
        <v>1</v>
      </c>
      <c r="GM19" s="25">
        <v>1</v>
      </c>
      <c r="GN19" s="25">
        <v>1</v>
      </c>
      <c r="GO19" s="25">
        <v>1</v>
      </c>
      <c r="GP19" s="25">
        <v>1</v>
      </c>
      <c r="GQ19" s="25">
        <v>1</v>
      </c>
      <c r="GR19" s="25">
        <v>1</v>
      </c>
      <c r="GS19" s="25">
        <v>1</v>
      </c>
      <c r="GT19" s="25">
        <v>1</v>
      </c>
      <c r="GU19" s="25">
        <v>1</v>
      </c>
      <c r="GV19" s="25" t="s">
        <v>1588</v>
      </c>
      <c r="GW19" s="25" t="s">
        <v>1588</v>
      </c>
      <c r="GX19" s="25" t="s">
        <v>1588</v>
      </c>
      <c r="GY19" s="25" t="s">
        <v>1588</v>
      </c>
      <c r="GZ19" s="25" t="s">
        <v>1588</v>
      </c>
      <c r="HA19" s="25" t="s">
        <v>455</v>
      </c>
      <c r="HB19" s="25" t="s">
        <v>455</v>
      </c>
      <c r="HC19" s="25" t="s">
        <v>455</v>
      </c>
      <c r="HD19" s="25" t="s">
        <v>455</v>
      </c>
      <c r="HE19" s="25" t="s">
        <v>455</v>
      </c>
      <c r="HF19" s="25" t="s">
        <v>455</v>
      </c>
      <c r="HG19" s="25" t="s">
        <v>455</v>
      </c>
      <c r="HH19" s="25" t="s">
        <v>455</v>
      </c>
      <c r="HI19" s="25" t="s">
        <v>1659</v>
      </c>
      <c r="HJ19" s="25"/>
      <c r="HK19" s="25"/>
      <c r="HL19" s="25" t="s">
        <v>1696</v>
      </c>
      <c r="HM19" s="25" t="s">
        <v>1768</v>
      </c>
      <c r="HN19" s="25" t="s">
        <v>1779</v>
      </c>
      <c r="HO19" s="25"/>
      <c r="HP19" s="25"/>
      <c r="HQ19" s="25"/>
      <c r="HR19" s="25"/>
      <c r="HS19" s="25"/>
      <c r="HT19" s="25"/>
      <c r="HU19" s="43" t="s">
        <v>339</v>
      </c>
      <c r="HV19" s="43"/>
      <c r="HW19" s="32"/>
      <c r="HX19" s="23">
        <v>42368</v>
      </c>
      <c r="HY19" s="55"/>
      <c r="HZ19" s="55" t="s">
        <v>1603</v>
      </c>
      <c r="IA19" s="55"/>
      <c r="IB19" s="55"/>
      <c r="IC19" s="55"/>
      <c r="ID19" s="55"/>
      <c r="IE19" s="55"/>
      <c r="IF19" s="107">
        <v>851750</v>
      </c>
      <c r="IG19" s="107">
        <v>832000</v>
      </c>
      <c r="IH19" s="250">
        <f t="shared" si="3"/>
        <v>0</v>
      </c>
      <c r="II19" s="55"/>
      <c r="IJ19" s="55"/>
      <c r="IK19" s="55"/>
      <c r="IL19" s="55"/>
      <c r="IM19" s="55"/>
      <c r="IN19" s="55"/>
      <c r="IO19" s="55"/>
      <c r="IP19" s="55"/>
      <c r="IQ19" s="55"/>
      <c r="IR19" s="55"/>
      <c r="IS19" s="55"/>
      <c r="IT19" s="55"/>
      <c r="IU19" s="55"/>
      <c r="IV19" s="55"/>
      <c r="IW19" s="55"/>
      <c r="IX19" s="55"/>
      <c r="IY19" s="55"/>
      <c r="IZ19" s="55"/>
      <c r="JA19" s="55"/>
      <c r="JB19" s="55"/>
      <c r="JC19" s="55"/>
      <c r="JD19" s="55">
        <v>2018</v>
      </c>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row>
    <row r="20" spans="1:411" s="17" customFormat="1" ht="24.95" hidden="1" customHeight="1">
      <c r="A20" s="326" t="s">
        <v>19</v>
      </c>
      <c r="B20" s="326" t="s">
        <v>1</v>
      </c>
      <c r="C20" s="307" t="s">
        <v>349</v>
      </c>
      <c r="D20" s="307" t="s">
        <v>380</v>
      </c>
      <c r="E20" s="307" t="s">
        <v>350</v>
      </c>
      <c r="F20" s="307" t="s">
        <v>350</v>
      </c>
      <c r="G20" s="328" t="s">
        <v>351</v>
      </c>
      <c r="H20" s="328" t="s">
        <v>1580</v>
      </c>
      <c r="I20" s="329" t="s">
        <v>1824</v>
      </c>
      <c r="J20" s="330"/>
      <c r="K20" s="326" t="s">
        <v>375</v>
      </c>
      <c r="L20" s="326" t="s">
        <v>1823</v>
      </c>
      <c r="M20" s="329" t="s">
        <v>1824</v>
      </c>
      <c r="N20" s="332"/>
      <c r="O20" s="307" t="s">
        <v>3</v>
      </c>
      <c r="P20" s="307" t="s">
        <v>4</v>
      </c>
      <c r="Q20" s="333" t="s">
        <v>1667</v>
      </c>
      <c r="R20" s="26"/>
      <c r="S20" s="22"/>
      <c r="T20" s="13"/>
      <c r="U20" s="13"/>
      <c r="V20" s="24"/>
      <c r="W20" s="13"/>
      <c r="X20" s="13"/>
      <c r="Y20" s="13"/>
      <c r="Z20" s="13"/>
      <c r="AA20" s="29"/>
      <c r="AB20" s="335">
        <v>19750</v>
      </c>
      <c r="AC20" s="335">
        <v>19750</v>
      </c>
      <c r="AD20" s="335">
        <v>19750</v>
      </c>
      <c r="AE20" s="335">
        <v>6886.16</v>
      </c>
      <c r="AF20" s="335">
        <f t="shared" si="4"/>
        <v>26636.16</v>
      </c>
      <c r="AG20" s="308">
        <v>0.12</v>
      </c>
      <c r="AH20" s="335">
        <f t="shared" si="5"/>
        <v>2370</v>
      </c>
      <c r="AI20" s="335">
        <f t="shared" si="6"/>
        <v>826.33920000000001</v>
      </c>
      <c r="AJ20" s="335">
        <f t="shared" si="0"/>
        <v>29832.499200000002</v>
      </c>
      <c r="AK20" s="335"/>
      <c r="AL20" s="335"/>
      <c r="AM20" s="29"/>
      <c r="AN20" s="29"/>
      <c r="AO20" s="29"/>
      <c r="AP20" s="29"/>
      <c r="AQ20" s="29"/>
      <c r="AR20" s="25"/>
      <c r="AS20" s="25"/>
      <c r="AT20" s="29"/>
      <c r="AU20" s="29"/>
      <c r="AV20" s="29"/>
      <c r="AW20" s="29"/>
      <c r="AX20" s="29"/>
      <c r="AY20" s="29"/>
      <c r="AZ20" s="29"/>
      <c r="BA20" s="29"/>
      <c r="BB20" s="29"/>
      <c r="BC20" s="29"/>
      <c r="BD20" s="29"/>
      <c r="BE20" s="29"/>
      <c r="BF20" s="29"/>
      <c r="BG20" s="29"/>
      <c r="BH20" s="29"/>
      <c r="BI20" s="42"/>
      <c r="BJ20" s="42"/>
      <c r="BK20" s="29"/>
      <c r="BL20" s="29"/>
      <c r="BM20" s="29"/>
      <c r="BN20" s="23"/>
      <c r="BO20" s="23"/>
      <c r="BP20" s="23"/>
      <c r="BQ20" s="23"/>
      <c r="BR20" s="13"/>
      <c r="BS20" s="23"/>
      <c r="BT20" s="23"/>
      <c r="BU20" s="13"/>
      <c r="BV20" s="13"/>
      <c r="BW20" s="23"/>
      <c r="BX20" s="23"/>
      <c r="BY20" s="13"/>
      <c r="BZ20" s="23"/>
      <c r="CA20" s="23"/>
      <c r="CB20" s="23"/>
      <c r="CC20" s="23"/>
      <c r="CD20" s="23"/>
      <c r="CE20" s="127"/>
      <c r="CF20" s="127"/>
      <c r="CG20" s="23"/>
      <c r="CH20" s="127"/>
      <c r="CI20" s="127"/>
      <c r="CJ20" s="23"/>
      <c r="CK20" s="23"/>
      <c r="CL20" s="23"/>
      <c r="CM20" s="23"/>
      <c r="CN20" s="23"/>
      <c r="CO20" s="23"/>
      <c r="CP20" s="23"/>
      <c r="CQ20" s="23"/>
      <c r="CR20" s="23"/>
      <c r="CS20" s="13"/>
      <c r="CT20" s="37"/>
      <c r="CU20" s="37"/>
      <c r="CV20" s="99"/>
      <c r="CW20" s="30"/>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31"/>
      <c r="DZ20" s="13"/>
      <c r="EA20" s="13"/>
      <c r="EB20" s="13"/>
      <c r="EC20" s="13"/>
      <c r="ED20" s="13"/>
      <c r="EE20" s="13"/>
      <c r="EF20" s="13"/>
      <c r="EG20" s="13"/>
      <c r="EH20" s="13"/>
      <c r="EI20" s="23"/>
      <c r="EJ20" s="2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v>0</v>
      </c>
      <c r="GQ20" s="25">
        <v>0</v>
      </c>
      <c r="GR20" s="25">
        <v>0</v>
      </c>
      <c r="GS20" s="25">
        <v>0</v>
      </c>
      <c r="GT20" s="308">
        <v>0</v>
      </c>
      <c r="GU20" s="308">
        <v>0</v>
      </c>
      <c r="GV20" s="25"/>
      <c r="GW20" s="25" t="s">
        <v>1588</v>
      </c>
      <c r="GX20" s="25"/>
      <c r="GY20" s="25"/>
      <c r="GZ20" s="25"/>
      <c r="HA20" s="25"/>
      <c r="HB20" s="25"/>
      <c r="HC20" s="25"/>
      <c r="HD20" s="25"/>
      <c r="HE20" s="25"/>
      <c r="HF20" s="25" t="s">
        <v>1588</v>
      </c>
      <c r="HG20" s="308" t="s">
        <v>1588</v>
      </c>
      <c r="HH20" s="308" t="s">
        <v>1588</v>
      </c>
      <c r="HI20" s="25"/>
      <c r="HJ20" s="25"/>
      <c r="HK20" s="25"/>
      <c r="HL20" s="25"/>
      <c r="HM20" s="25"/>
      <c r="HN20" s="25"/>
      <c r="HO20" s="25"/>
      <c r="HP20" s="25"/>
      <c r="HQ20" s="25"/>
      <c r="HR20" s="25"/>
      <c r="HS20" s="308" t="s">
        <v>2071</v>
      </c>
      <c r="HT20" s="308" t="s">
        <v>2071</v>
      </c>
      <c r="HU20" s="343"/>
      <c r="HV20" s="343"/>
      <c r="HW20" s="309"/>
      <c r="HX20" s="336"/>
      <c r="HY20" s="310"/>
      <c r="HZ20" s="310"/>
      <c r="IA20" s="310"/>
      <c r="IB20" s="310"/>
      <c r="IC20" s="310"/>
      <c r="ID20" s="310"/>
      <c r="IE20" s="310"/>
      <c r="IF20" s="107">
        <v>0</v>
      </c>
      <c r="IG20" s="107"/>
      <c r="IH20" s="312">
        <f t="shared" si="3"/>
        <v>0</v>
      </c>
      <c r="II20" s="310"/>
      <c r="IJ20" s="310"/>
      <c r="IK20" s="310"/>
      <c r="IL20" s="310"/>
      <c r="IM20" s="310"/>
      <c r="IN20" s="310"/>
      <c r="IO20" s="310"/>
      <c r="IP20" s="310"/>
      <c r="IQ20" s="310"/>
      <c r="IR20" s="310"/>
      <c r="IS20" s="310"/>
      <c r="IT20" s="310"/>
      <c r="IU20" s="310"/>
      <c r="IV20" s="310"/>
      <c r="IW20" s="310"/>
      <c r="IX20" s="310"/>
      <c r="IY20" s="55"/>
      <c r="IZ20" s="55"/>
      <c r="JA20" s="55"/>
      <c r="JB20" s="55"/>
      <c r="JC20" s="55"/>
      <c r="JD20" s="310">
        <v>2020</v>
      </c>
      <c r="JE20" s="344"/>
      <c r="JF20" s="344"/>
      <c r="JG20" s="344"/>
      <c r="JH20" s="344"/>
      <c r="JI20" s="344"/>
      <c r="JJ20" s="344"/>
      <c r="JK20" s="344"/>
      <c r="JL20" s="344"/>
      <c r="JM20" s="344"/>
      <c r="JN20" s="344"/>
      <c r="JO20" s="344"/>
      <c r="JP20" s="344"/>
      <c r="JQ20" s="344"/>
      <c r="JR20" s="344"/>
      <c r="JS20" s="344"/>
      <c r="JT20" s="344"/>
      <c r="JU20" s="344"/>
      <c r="JV20" s="344"/>
      <c r="JW20" s="344"/>
      <c r="JX20" s="344"/>
      <c r="JY20" s="344"/>
      <c r="JZ20" s="344"/>
      <c r="KA20" s="344"/>
      <c r="KB20" s="344"/>
      <c r="KC20" s="344"/>
      <c r="KD20" s="344"/>
      <c r="KE20" s="344"/>
      <c r="KF20" s="344"/>
      <c r="KG20" s="344"/>
      <c r="KH20" s="344"/>
      <c r="KI20" s="344"/>
      <c r="KJ20" s="344"/>
      <c r="KK20" s="344"/>
      <c r="KL20" s="344"/>
      <c r="KM20" s="344"/>
      <c r="KN20" s="344"/>
      <c r="KO20" s="344"/>
      <c r="KP20" s="344"/>
      <c r="KQ20" s="344"/>
      <c r="KR20" s="344"/>
      <c r="KS20" s="344"/>
      <c r="KT20" s="344"/>
      <c r="KU20" s="344"/>
      <c r="KV20" s="344"/>
      <c r="KW20" s="344"/>
      <c r="KX20" s="344"/>
      <c r="KY20" s="344"/>
      <c r="KZ20" s="344"/>
      <c r="LA20" s="344"/>
      <c r="LB20" s="344"/>
      <c r="LC20" s="344"/>
      <c r="LD20" s="344"/>
      <c r="LE20" s="344"/>
      <c r="LF20" s="344"/>
      <c r="LG20" s="344"/>
      <c r="LH20" s="344"/>
      <c r="LI20" s="344"/>
      <c r="LJ20" s="344"/>
      <c r="LK20" s="344"/>
      <c r="LL20" s="344"/>
      <c r="LM20" s="344"/>
      <c r="LN20" s="344"/>
      <c r="LO20" s="344"/>
      <c r="LP20" s="344"/>
      <c r="LQ20" s="344"/>
      <c r="LR20" s="344"/>
      <c r="LS20" s="344"/>
      <c r="LT20" s="344"/>
      <c r="LU20" s="344"/>
      <c r="LV20" s="344"/>
      <c r="LW20" s="344"/>
      <c r="LX20" s="344"/>
      <c r="LY20" s="344"/>
      <c r="LZ20" s="344"/>
      <c r="MA20" s="344"/>
      <c r="MB20" s="344"/>
      <c r="MC20" s="344"/>
      <c r="MD20" s="344"/>
      <c r="ME20" s="344"/>
      <c r="MF20" s="344"/>
      <c r="MG20" s="344"/>
      <c r="MH20" s="344"/>
      <c r="MI20" s="344"/>
      <c r="MJ20" s="344"/>
      <c r="MK20" s="344"/>
      <c r="ML20" s="344"/>
      <c r="MM20" s="344"/>
      <c r="MN20" s="344"/>
      <c r="MO20" s="344"/>
      <c r="MP20" s="344"/>
      <c r="MQ20" s="344"/>
      <c r="MR20" s="344"/>
      <c r="MS20" s="344"/>
      <c r="MT20" s="344"/>
      <c r="MU20" s="344"/>
      <c r="MV20" s="344"/>
      <c r="MW20" s="344"/>
      <c r="MX20" s="344"/>
      <c r="MY20" s="344"/>
      <c r="MZ20" s="344"/>
      <c r="NA20" s="344"/>
      <c r="NB20" s="344"/>
      <c r="NC20" s="344"/>
      <c r="ND20" s="344"/>
      <c r="NE20" s="344"/>
      <c r="NF20" s="344"/>
      <c r="NG20" s="344"/>
      <c r="NH20" s="344"/>
      <c r="NI20" s="344"/>
      <c r="NJ20" s="344"/>
      <c r="NK20" s="344"/>
      <c r="NL20" s="344"/>
      <c r="NM20" s="344"/>
      <c r="NN20" s="344"/>
      <c r="NO20" s="344"/>
      <c r="NP20" s="344"/>
      <c r="NQ20" s="344"/>
      <c r="NR20" s="344"/>
      <c r="NS20" s="344"/>
      <c r="NT20" s="344"/>
      <c r="NU20" s="344"/>
      <c r="NV20" s="344"/>
      <c r="NW20" s="344"/>
      <c r="NX20" s="344"/>
      <c r="NY20" s="344"/>
      <c r="NZ20" s="344"/>
      <c r="OA20" s="344"/>
      <c r="OB20" s="344"/>
      <c r="OC20" s="344"/>
      <c r="OD20" s="344"/>
      <c r="OE20" s="344"/>
      <c r="OF20" s="344"/>
      <c r="OG20" s="344"/>
      <c r="OH20" s="344"/>
      <c r="OI20" s="344"/>
      <c r="OJ20" s="344"/>
      <c r="OK20" s="344"/>
      <c r="OL20" s="344"/>
      <c r="OM20" s="344"/>
      <c r="ON20" s="344"/>
      <c r="OO20" s="344"/>
      <c r="OP20" s="344"/>
      <c r="OQ20" s="344"/>
      <c r="OR20" s="344"/>
      <c r="OS20" s="344"/>
      <c r="OT20" s="344"/>
      <c r="OU20" s="344"/>
    </row>
    <row r="21" spans="1:411" s="5" customFormat="1" ht="24.95" hidden="1" customHeight="1">
      <c r="A21" s="26" t="s">
        <v>23</v>
      </c>
      <c r="B21" s="26" t="s">
        <v>1</v>
      </c>
      <c r="C21" s="13" t="s">
        <v>358</v>
      </c>
      <c r="D21" s="13" t="s">
        <v>379</v>
      </c>
      <c r="E21" s="16" t="s">
        <v>359</v>
      </c>
      <c r="F21" s="13" t="s">
        <v>359</v>
      </c>
      <c r="G21" s="39" t="s">
        <v>354</v>
      </c>
      <c r="H21" s="28" t="s">
        <v>1550</v>
      </c>
      <c r="I21" s="21" t="s">
        <v>25</v>
      </c>
      <c r="J21" s="13" t="s">
        <v>1391</v>
      </c>
      <c r="K21" s="13" t="s">
        <v>1391</v>
      </c>
      <c r="L21" s="26" t="s">
        <v>24</v>
      </c>
      <c r="M21" s="20" t="s">
        <v>25</v>
      </c>
      <c r="N21" s="20"/>
      <c r="O21" s="13" t="s">
        <v>3</v>
      </c>
      <c r="P21" s="13" t="s">
        <v>4</v>
      </c>
      <c r="Q21" s="22" t="s">
        <v>1118</v>
      </c>
      <c r="R21" s="44">
        <v>17395</v>
      </c>
      <c r="S21" s="13" t="s">
        <v>456</v>
      </c>
      <c r="T21" s="13" t="s">
        <v>1387</v>
      </c>
      <c r="U21" s="13" t="s">
        <v>479</v>
      </c>
      <c r="V21" s="13" t="s">
        <v>482</v>
      </c>
      <c r="W21" s="13"/>
      <c r="X21" s="13"/>
      <c r="Y21" s="13"/>
      <c r="Z21" s="13"/>
      <c r="AA21" s="41"/>
      <c r="AB21" s="45">
        <v>0</v>
      </c>
      <c r="AC21" s="29">
        <v>0</v>
      </c>
      <c r="AD21" s="41">
        <v>0</v>
      </c>
      <c r="AE21" s="29">
        <v>0</v>
      </c>
      <c r="AF21" s="29">
        <f t="shared" si="4"/>
        <v>0</v>
      </c>
      <c r="AG21" s="25">
        <v>0.12</v>
      </c>
      <c r="AH21" s="29">
        <f t="shared" si="5"/>
        <v>0</v>
      </c>
      <c r="AI21" s="29">
        <f t="shared" si="6"/>
        <v>0</v>
      </c>
      <c r="AJ21" s="29">
        <f t="shared" si="0"/>
        <v>0</v>
      </c>
      <c r="AK21" s="29"/>
      <c r="AL21" s="29"/>
      <c r="AM21" s="29"/>
      <c r="AN21" s="41"/>
      <c r="AO21" s="41"/>
      <c r="AP21" s="41"/>
      <c r="AQ21" s="128">
        <v>0</v>
      </c>
      <c r="AR21" s="128"/>
      <c r="AS21" s="128"/>
      <c r="AT21" s="128"/>
      <c r="AU21" s="128"/>
      <c r="AV21" s="128"/>
      <c r="AW21" s="128"/>
      <c r="AX21" s="128"/>
      <c r="AY21" s="128"/>
      <c r="AZ21" s="128"/>
      <c r="BA21" s="128"/>
      <c r="BB21" s="128"/>
      <c r="BC21" s="128"/>
      <c r="BD21" s="129"/>
      <c r="BE21" s="129"/>
      <c r="BF21" s="29">
        <f t="shared" ref="BF21:BF40" si="13">AB21-AQ21</f>
        <v>0</v>
      </c>
      <c r="BG21" s="29">
        <f t="shared" si="11"/>
        <v>0</v>
      </c>
      <c r="BH21" s="37"/>
      <c r="BI21" s="29" t="s">
        <v>570</v>
      </c>
      <c r="BJ21" s="29" t="s">
        <v>570</v>
      </c>
      <c r="BK21" s="29" t="s">
        <v>570</v>
      </c>
      <c r="BL21" s="29" t="s">
        <v>570</v>
      </c>
      <c r="BM21" s="29" t="s">
        <v>570</v>
      </c>
      <c r="BN21" s="102">
        <v>42285</v>
      </c>
      <c r="BO21" s="102">
        <v>42306</v>
      </c>
      <c r="BP21" s="102">
        <v>42316</v>
      </c>
      <c r="BQ21" s="102">
        <v>42317</v>
      </c>
      <c r="BR21" s="102"/>
      <c r="BS21" s="102"/>
      <c r="BT21" s="102"/>
      <c r="BU21" s="13" t="s">
        <v>570</v>
      </c>
      <c r="BV21" s="13" t="s">
        <v>570</v>
      </c>
      <c r="BW21" s="224" t="s">
        <v>570</v>
      </c>
      <c r="BX21" s="22"/>
      <c r="BY21" s="22"/>
      <c r="BZ21" s="22">
        <v>42555</v>
      </c>
      <c r="CA21" s="22">
        <v>42599</v>
      </c>
      <c r="CB21" s="224" t="s">
        <v>570</v>
      </c>
      <c r="CC21" s="224" t="s">
        <v>570</v>
      </c>
      <c r="CD21" s="224" t="s">
        <v>570</v>
      </c>
      <c r="CE21" s="22"/>
      <c r="CF21" s="22"/>
      <c r="CG21" s="22"/>
      <c r="CH21" s="22"/>
      <c r="CI21" s="22"/>
      <c r="CJ21" s="22"/>
      <c r="CK21" s="22"/>
      <c r="CL21" s="22"/>
      <c r="CM21" s="22"/>
      <c r="CN21" s="22"/>
      <c r="CO21" s="22"/>
      <c r="CP21" s="22"/>
      <c r="CQ21" s="22"/>
      <c r="CR21" s="127" t="s">
        <v>829</v>
      </c>
      <c r="CS21" s="13" t="s">
        <v>570</v>
      </c>
      <c r="CT21" s="13" t="s">
        <v>570</v>
      </c>
      <c r="CU21" s="13" t="s">
        <v>570</v>
      </c>
      <c r="CV21" s="2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31">
        <f t="shared" si="12"/>
        <v>0</v>
      </c>
      <c r="DZ21" s="13"/>
      <c r="EA21" s="13"/>
      <c r="EB21" s="13"/>
      <c r="EC21" s="13"/>
      <c r="ED21" s="13"/>
      <c r="EE21" s="13"/>
      <c r="EF21" s="13"/>
      <c r="EG21" s="13">
        <v>15</v>
      </c>
      <c r="EH21" s="13"/>
      <c r="EI21" s="13"/>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5">
        <v>1</v>
      </c>
      <c r="FT21" s="25">
        <v>1</v>
      </c>
      <c r="FU21" s="25">
        <v>1</v>
      </c>
      <c r="FV21" s="25">
        <v>1</v>
      </c>
      <c r="FW21" s="25">
        <v>1</v>
      </c>
      <c r="FX21" s="25">
        <v>1</v>
      </c>
      <c r="FY21" s="25">
        <v>1</v>
      </c>
      <c r="FZ21" s="25">
        <v>1</v>
      </c>
      <c r="GA21" s="25">
        <v>1</v>
      </c>
      <c r="GB21" s="25">
        <v>1</v>
      </c>
      <c r="GC21" s="25">
        <v>1</v>
      </c>
      <c r="GD21" s="25">
        <v>1</v>
      </c>
      <c r="GE21" s="25">
        <v>1</v>
      </c>
      <c r="GF21" s="25">
        <v>1</v>
      </c>
      <c r="GG21" s="25">
        <v>1</v>
      </c>
      <c r="GH21" s="25">
        <v>1</v>
      </c>
      <c r="GI21" s="25">
        <v>1</v>
      </c>
      <c r="GJ21" s="25">
        <v>1</v>
      </c>
      <c r="GK21" s="25">
        <v>1</v>
      </c>
      <c r="GL21" s="25">
        <v>1</v>
      </c>
      <c r="GM21" s="25">
        <v>1</v>
      </c>
      <c r="GN21" s="25">
        <v>1</v>
      </c>
      <c r="GO21" s="25">
        <v>1</v>
      </c>
      <c r="GP21" s="25">
        <v>1</v>
      </c>
      <c r="GQ21" s="25">
        <v>1</v>
      </c>
      <c r="GR21" s="25">
        <v>1</v>
      </c>
      <c r="GS21" s="25">
        <v>1</v>
      </c>
      <c r="GT21" s="25">
        <v>1</v>
      </c>
      <c r="GU21" s="25">
        <v>1</v>
      </c>
      <c r="GV21" s="25" t="s">
        <v>455</v>
      </c>
      <c r="GW21" s="25" t="s">
        <v>455</v>
      </c>
      <c r="GX21" s="25" t="s">
        <v>455</v>
      </c>
      <c r="GY21" s="25" t="s">
        <v>455</v>
      </c>
      <c r="GZ21" s="25" t="s">
        <v>455</v>
      </c>
      <c r="HA21" s="25" t="s">
        <v>455</v>
      </c>
      <c r="HB21" s="25" t="s">
        <v>455</v>
      </c>
      <c r="HC21" s="25" t="s">
        <v>455</v>
      </c>
      <c r="HD21" s="25" t="s">
        <v>455</v>
      </c>
      <c r="HE21" s="25" t="s">
        <v>455</v>
      </c>
      <c r="HF21" s="25" t="s">
        <v>455</v>
      </c>
      <c r="HG21" s="25" t="s">
        <v>455</v>
      </c>
      <c r="HH21" s="25" t="s">
        <v>455</v>
      </c>
      <c r="HI21" s="25"/>
      <c r="HJ21" s="25"/>
      <c r="HK21" s="25"/>
      <c r="HL21" s="25"/>
      <c r="HM21" s="25"/>
      <c r="HN21" s="25"/>
      <c r="HO21" s="25"/>
      <c r="HP21" s="25"/>
      <c r="HQ21" s="25"/>
      <c r="HR21" s="25"/>
      <c r="HS21" s="25"/>
      <c r="HT21" s="25"/>
      <c r="HU21" s="13" t="s">
        <v>483</v>
      </c>
      <c r="HV21" s="13"/>
      <c r="HW21" s="32"/>
      <c r="HX21" s="55"/>
      <c r="HY21" s="55"/>
      <c r="HZ21" s="55"/>
      <c r="IA21" s="55"/>
      <c r="IB21" s="55"/>
      <c r="IC21" s="55"/>
      <c r="ID21" s="55"/>
      <c r="IE21" s="55"/>
      <c r="IF21" s="55"/>
      <c r="IG21" s="55"/>
      <c r="IH21" s="250">
        <f t="shared" si="3"/>
        <v>0</v>
      </c>
      <c r="II21" s="55"/>
      <c r="IJ21" s="55"/>
      <c r="IK21" s="55"/>
      <c r="IL21" s="55"/>
      <c r="IM21" s="55"/>
      <c r="IN21" s="55"/>
      <c r="IO21" s="55"/>
      <c r="IP21" s="55"/>
      <c r="IQ21" s="55"/>
      <c r="IR21" s="55"/>
      <c r="IS21" s="55"/>
      <c r="IT21" s="55"/>
      <c r="IU21" s="55"/>
      <c r="IV21" s="55"/>
      <c r="IW21" s="55"/>
      <c r="IX21" s="55"/>
      <c r="IY21" s="55"/>
      <c r="IZ21" s="55"/>
      <c r="JA21" s="55"/>
      <c r="JB21" s="55"/>
      <c r="JC21" s="55"/>
      <c r="JD21" s="55">
        <v>2016</v>
      </c>
    </row>
    <row r="22" spans="1:411" s="5" customFormat="1" ht="24.95" hidden="1" customHeight="1">
      <c r="A22" s="26" t="s">
        <v>19</v>
      </c>
      <c r="B22" s="26" t="s">
        <v>1</v>
      </c>
      <c r="C22" s="13" t="s">
        <v>358</v>
      </c>
      <c r="D22" s="13" t="s">
        <v>379</v>
      </c>
      <c r="E22" s="16" t="s">
        <v>359</v>
      </c>
      <c r="F22" s="13" t="s">
        <v>359</v>
      </c>
      <c r="G22" s="39" t="s">
        <v>354</v>
      </c>
      <c r="H22" s="39" t="s">
        <v>1580</v>
      </c>
      <c r="I22" s="21" t="s">
        <v>25</v>
      </c>
      <c r="J22" s="13" t="s">
        <v>1391</v>
      </c>
      <c r="K22" s="13" t="s">
        <v>1391</v>
      </c>
      <c r="L22" s="26" t="s">
        <v>24</v>
      </c>
      <c r="M22" s="20" t="s">
        <v>25</v>
      </c>
      <c r="N22" s="20"/>
      <c r="O22" s="13" t="s">
        <v>3</v>
      </c>
      <c r="P22" s="13" t="s">
        <v>4</v>
      </c>
      <c r="Q22" s="22" t="s">
        <v>1118</v>
      </c>
      <c r="R22" s="44">
        <v>17395</v>
      </c>
      <c r="S22" s="13" t="s">
        <v>456</v>
      </c>
      <c r="T22" s="13" t="s">
        <v>1387</v>
      </c>
      <c r="U22" s="13" t="s">
        <v>479</v>
      </c>
      <c r="V22" s="13" t="s">
        <v>482</v>
      </c>
      <c r="W22" s="13"/>
      <c r="X22" s="13"/>
      <c r="Y22" s="13"/>
      <c r="Z22" s="13"/>
      <c r="AA22" s="41"/>
      <c r="AB22" s="29">
        <v>2790.9</v>
      </c>
      <c r="AC22" s="29">
        <v>0</v>
      </c>
      <c r="AD22" s="29">
        <v>2790.9</v>
      </c>
      <c r="AE22" s="29">
        <v>0</v>
      </c>
      <c r="AF22" s="29">
        <f t="shared" si="4"/>
        <v>2790.9</v>
      </c>
      <c r="AG22" s="25">
        <v>0.12</v>
      </c>
      <c r="AH22" s="29">
        <f t="shared" si="5"/>
        <v>334.90800000000002</v>
      </c>
      <c r="AI22" s="29">
        <f t="shared" si="6"/>
        <v>0</v>
      </c>
      <c r="AJ22" s="29">
        <f t="shared" si="0"/>
        <v>3125.8080000000004</v>
      </c>
      <c r="AK22" s="126">
        <v>2790.9</v>
      </c>
      <c r="AL22" s="126">
        <f t="shared" ref="AL22:AL40" si="14">AB22-AK22</f>
        <v>0</v>
      </c>
      <c r="AM22" s="126"/>
      <c r="AN22" s="41"/>
      <c r="AO22" s="29">
        <v>2790.9</v>
      </c>
      <c r="AP22" s="41"/>
      <c r="AQ22" s="29">
        <v>2790.9</v>
      </c>
      <c r="AR22" s="29"/>
      <c r="AS22" s="29"/>
      <c r="AT22" s="29"/>
      <c r="AU22" s="128"/>
      <c r="AV22" s="128"/>
      <c r="AW22" s="128"/>
      <c r="AX22" s="128"/>
      <c r="AY22" s="128"/>
      <c r="AZ22" s="128"/>
      <c r="BA22" s="128"/>
      <c r="BB22" s="128"/>
      <c r="BC22" s="128"/>
      <c r="BD22" s="129"/>
      <c r="BE22" s="129"/>
      <c r="BF22" s="29">
        <f t="shared" si="13"/>
        <v>0</v>
      </c>
      <c r="BG22" s="29">
        <f t="shared" si="11"/>
        <v>0</v>
      </c>
      <c r="BH22" s="37"/>
      <c r="BI22" s="29" t="s">
        <v>570</v>
      </c>
      <c r="BJ22" s="29" t="s">
        <v>570</v>
      </c>
      <c r="BK22" s="29" t="s">
        <v>570</v>
      </c>
      <c r="BL22" s="29" t="s">
        <v>570</v>
      </c>
      <c r="BM22" s="29" t="s">
        <v>570</v>
      </c>
      <c r="BN22" s="102">
        <v>42285</v>
      </c>
      <c r="BO22" s="102">
        <v>42306</v>
      </c>
      <c r="BP22" s="102">
        <v>42316</v>
      </c>
      <c r="BQ22" s="102">
        <v>42317</v>
      </c>
      <c r="BR22" s="102"/>
      <c r="BS22" s="102"/>
      <c r="BT22" s="102"/>
      <c r="BU22" s="13" t="s">
        <v>570</v>
      </c>
      <c r="BV22" s="13" t="s">
        <v>570</v>
      </c>
      <c r="BW22" s="224" t="s">
        <v>570</v>
      </c>
      <c r="BX22" s="22"/>
      <c r="BY22" s="22"/>
      <c r="BZ22" s="22">
        <v>42555</v>
      </c>
      <c r="CA22" s="22">
        <v>42599</v>
      </c>
      <c r="CB22" s="224" t="s">
        <v>570</v>
      </c>
      <c r="CC22" s="224" t="s">
        <v>570</v>
      </c>
      <c r="CD22" s="224" t="s">
        <v>570</v>
      </c>
      <c r="CE22" s="22"/>
      <c r="CF22" s="22"/>
      <c r="CG22" s="22"/>
      <c r="CH22" s="22"/>
      <c r="CI22" s="22"/>
      <c r="CJ22" s="22"/>
      <c r="CK22" s="22"/>
      <c r="CL22" s="22"/>
      <c r="CM22" s="22"/>
      <c r="CN22" s="22"/>
      <c r="CO22" s="22"/>
      <c r="CP22" s="22"/>
      <c r="CQ22" s="22"/>
      <c r="CR22" s="127" t="s">
        <v>829</v>
      </c>
      <c r="CS22" s="13" t="s">
        <v>570</v>
      </c>
      <c r="CT22" s="13" t="s">
        <v>570</v>
      </c>
      <c r="CU22" s="13" t="s">
        <v>570</v>
      </c>
      <c r="CV22" s="23"/>
      <c r="CW22" s="13"/>
      <c r="CX22" s="170" t="s">
        <v>1004</v>
      </c>
      <c r="CY22" s="99">
        <v>42711</v>
      </c>
      <c r="CZ22" s="30">
        <v>2790.9</v>
      </c>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31">
        <f t="shared" si="12"/>
        <v>2790.9</v>
      </c>
      <c r="DZ22" s="13"/>
      <c r="EA22" s="13"/>
      <c r="EB22" s="13"/>
      <c r="EC22" s="13"/>
      <c r="ED22" s="13"/>
      <c r="EE22" s="13"/>
      <c r="EF22" s="13"/>
      <c r="EG22" s="13">
        <v>15</v>
      </c>
      <c r="EH22" s="13"/>
      <c r="EI22" s="13"/>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5">
        <v>1</v>
      </c>
      <c r="FT22" s="25">
        <v>1</v>
      </c>
      <c r="FU22" s="25">
        <v>1</v>
      </c>
      <c r="FV22" s="25">
        <v>1</v>
      </c>
      <c r="FW22" s="25">
        <v>1</v>
      </c>
      <c r="FX22" s="25">
        <v>1</v>
      </c>
      <c r="FY22" s="25">
        <v>1</v>
      </c>
      <c r="FZ22" s="25">
        <v>1</v>
      </c>
      <c r="GA22" s="25">
        <v>1</v>
      </c>
      <c r="GB22" s="25">
        <v>1</v>
      </c>
      <c r="GC22" s="25">
        <v>1</v>
      </c>
      <c r="GD22" s="25">
        <v>1</v>
      </c>
      <c r="GE22" s="25">
        <v>1</v>
      </c>
      <c r="GF22" s="25">
        <v>1</v>
      </c>
      <c r="GG22" s="25">
        <v>1</v>
      </c>
      <c r="GH22" s="25">
        <v>1</v>
      </c>
      <c r="GI22" s="25">
        <v>1</v>
      </c>
      <c r="GJ22" s="25">
        <v>1</v>
      </c>
      <c r="GK22" s="25">
        <v>1</v>
      </c>
      <c r="GL22" s="25">
        <v>1</v>
      </c>
      <c r="GM22" s="25">
        <v>1</v>
      </c>
      <c r="GN22" s="25">
        <v>1</v>
      </c>
      <c r="GO22" s="25">
        <v>1</v>
      </c>
      <c r="GP22" s="25">
        <v>1</v>
      </c>
      <c r="GQ22" s="25">
        <v>1</v>
      </c>
      <c r="GR22" s="25">
        <v>1</v>
      </c>
      <c r="GS22" s="25">
        <v>1</v>
      </c>
      <c r="GT22" s="25">
        <v>1</v>
      </c>
      <c r="GU22" s="25">
        <v>1</v>
      </c>
      <c r="GV22" s="25" t="s">
        <v>455</v>
      </c>
      <c r="GW22" s="25" t="s">
        <v>455</v>
      </c>
      <c r="GX22" s="25" t="s">
        <v>455</v>
      </c>
      <c r="GY22" s="25" t="s">
        <v>455</v>
      </c>
      <c r="GZ22" s="25" t="s">
        <v>455</v>
      </c>
      <c r="HA22" s="25" t="s">
        <v>455</v>
      </c>
      <c r="HB22" s="25" t="s">
        <v>455</v>
      </c>
      <c r="HC22" s="25" t="s">
        <v>455</v>
      </c>
      <c r="HD22" s="25" t="s">
        <v>455</v>
      </c>
      <c r="HE22" s="25" t="s">
        <v>455</v>
      </c>
      <c r="HF22" s="25" t="s">
        <v>455</v>
      </c>
      <c r="HG22" s="25" t="s">
        <v>455</v>
      </c>
      <c r="HH22" s="25" t="s">
        <v>455</v>
      </c>
      <c r="HI22" s="25"/>
      <c r="HJ22" s="25"/>
      <c r="HK22" s="25"/>
      <c r="HL22" s="25"/>
      <c r="HM22" s="25"/>
      <c r="HN22" s="25"/>
      <c r="HO22" s="25"/>
      <c r="HP22" s="25"/>
      <c r="HQ22" s="25"/>
      <c r="HR22" s="25"/>
      <c r="HS22" s="25"/>
      <c r="HT22" s="25"/>
      <c r="HU22" s="13" t="s">
        <v>483</v>
      </c>
      <c r="HV22" s="13"/>
      <c r="HW22" s="32"/>
      <c r="HX22" s="55"/>
      <c r="HY22" s="55"/>
      <c r="HZ22" s="55"/>
      <c r="IA22" s="55"/>
      <c r="IB22" s="55"/>
      <c r="IC22" s="55"/>
      <c r="ID22" s="55"/>
      <c r="IE22" s="55"/>
      <c r="IF22" s="107">
        <v>2790.9</v>
      </c>
      <c r="IG22" s="107">
        <v>2790.9</v>
      </c>
      <c r="IH22" s="250">
        <f t="shared" si="3"/>
        <v>0</v>
      </c>
      <c r="II22" s="55"/>
      <c r="IJ22" s="55"/>
      <c r="IK22" s="55"/>
      <c r="IL22" s="55"/>
      <c r="IM22" s="55"/>
      <c r="IN22" s="55"/>
      <c r="IO22" s="55"/>
      <c r="IP22" s="55"/>
      <c r="IQ22" s="55"/>
      <c r="IR22" s="55"/>
      <c r="IS22" s="55"/>
      <c r="IT22" s="55"/>
      <c r="IU22" s="55"/>
      <c r="IV22" s="55"/>
      <c r="IW22" s="55"/>
      <c r="IX22" s="55"/>
      <c r="IY22" s="55"/>
      <c r="IZ22" s="55"/>
      <c r="JA22" s="55"/>
      <c r="JB22" s="55"/>
      <c r="JC22" s="55"/>
      <c r="JD22" s="55">
        <v>2016</v>
      </c>
    </row>
    <row r="23" spans="1:411" s="5" customFormat="1" ht="24.95" hidden="1" customHeight="1">
      <c r="A23" s="26" t="s">
        <v>168</v>
      </c>
      <c r="B23" s="26" t="s">
        <v>1</v>
      </c>
      <c r="C23" s="13" t="s">
        <v>358</v>
      </c>
      <c r="D23" s="13" t="s">
        <v>379</v>
      </c>
      <c r="E23" s="16" t="s">
        <v>359</v>
      </c>
      <c r="F23" s="13" t="s">
        <v>359</v>
      </c>
      <c r="G23" s="39" t="s">
        <v>354</v>
      </c>
      <c r="H23" s="13" t="s">
        <v>1551</v>
      </c>
      <c r="I23" s="21" t="s">
        <v>25</v>
      </c>
      <c r="J23" s="13" t="s">
        <v>1391</v>
      </c>
      <c r="K23" s="13" t="s">
        <v>1391</v>
      </c>
      <c r="L23" s="26" t="s">
        <v>24</v>
      </c>
      <c r="M23" s="20" t="s">
        <v>25</v>
      </c>
      <c r="N23" s="20"/>
      <c r="O23" s="13" t="s">
        <v>3</v>
      </c>
      <c r="P23" s="13" t="s">
        <v>4</v>
      </c>
      <c r="Q23" s="22" t="s">
        <v>1118</v>
      </c>
      <c r="R23" s="44">
        <v>17395</v>
      </c>
      <c r="S23" s="13" t="s">
        <v>456</v>
      </c>
      <c r="T23" s="13" t="s">
        <v>1387</v>
      </c>
      <c r="U23" s="13" t="s">
        <v>479</v>
      </c>
      <c r="V23" s="13" t="s">
        <v>482</v>
      </c>
      <c r="W23" s="13"/>
      <c r="X23" s="13"/>
      <c r="Y23" s="13"/>
      <c r="Z23" s="13"/>
      <c r="AA23" s="41"/>
      <c r="AB23" s="29">
        <v>6991.07</v>
      </c>
      <c r="AC23" s="29">
        <v>0</v>
      </c>
      <c r="AD23" s="29">
        <v>6991.07</v>
      </c>
      <c r="AE23" s="29">
        <v>0</v>
      </c>
      <c r="AF23" s="29">
        <f t="shared" si="4"/>
        <v>6991.07</v>
      </c>
      <c r="AG23" s="25">
        <v>0.12</v>
      </c>
      <c r="AH23" s="29">
        <f t="shared" si="5"/>
        <v>838.9283999999999</v>
      </c>
      <c r="AI23" s="29">
        <f t="shared" si="6"/>
        <v>0</v>
      </c>
      <c r="AJ23" s="29">
        <f t="shared" si="0"/>
        <v>7829.9984000000004</v>
      </c>
      <c r="AK23" s="126">
        <v>6991.07</v>
      </c>
      <c r="AL23" s="126">
        <f t="shared" si="14"/>
        <v>0</v>
      </c>
      <c r="AM23" s="126"/>
      <c r="AN23" s="41"/>
      <c r="AO23" s="29">
        <v>6991.07</v>
      </c>
      <c r="AP23" s="41"/>
      <c r="AQ23" s="29">
        <v>6991.07</v>
      </c>
      <c r="AR23" s="128"/>
      <c r="AS23" s="128"/>
      <c r="AT23" s="128"/>
      <c r="AU23" s="128"/>
      <c r="AV23" s="128"/>
      <c r="AW23" s="128"/>
      <c r="AX23" s="128"/>
      <c r="AY23" s="128"/>
      <c r="AZ23" s="128"/>
      <c r="BA23" s="128"/>
      <c r="BB23" s="128"/>
      <c r="BC23" s="128"/>
      <c r="BD23" s="129"/>
      <c r="BE23" s="129"/>
      <c r="BF23" s="29">
        <f t="shared" si="13"/>
        <v>0</v>
      </c>
      <c r="BG23" s="29">
        <f t="shared" si="11"/>
        <v>0</v>
      </c>
      <c r="BH23" s="37"/>
      <c r="BI23" s="29" t="s">
        <v>570</v>
      </c>
      <c r="BJ23" s="29" t="s">
        <v>570</v>
      </c>
      <c r="BK23" s="29" t="s">
        <v>570</v>
      </c>
      <c r="BL23" s="29" t="s">
        <v>570</v>
      </c>
      <c r="BM23" s="29" t="s">
        <v>570</v>
      </c>
      <c r="BN23" s="102">
        <v>42285</v>
      </c>
      <c r="BO23" s="102">
        <v>42306</v>
      </c>
      <c r="BP23" s="102">
        <v>42316</v>
      </c>
      <c r="BQ23" s="102">
        <v>42317</v>
      </c>
      <c r="BR23" s="102"/>
      <c r="BS23" s="102"/>
      <c r="BT23" s="102"/>
      <c r="BU23" s="13" t="s">
        <v>570</v>
      </c>
      <c r="BV23" s="13" t="s">
        <v>570</v>
      </c>
      <c r="BW23" s="224" t="s">
        <v>570</v>
      </c>
      <c r="BX23" s="22"/>
      <c r="BY23" s="22"/>
      <c r="BZ23" s="22">
        <v>42555</v>
      </c>
      <c r="CA23" s="22">
        <v>42599</v>
      </c>
      <c r="CB23" s="224" t="s">
        <v>570</v>
      </c>
      <c r="CC23" s="224" t="s">
        <v>570</v>
      </c>
      <c r="CD23" s="224" t="s">
        <v>570</v>
      </c>
      <c r="CE23" s="22"/>
      <c r="CF23" s="22"/>
      <c r="CG23" s="22"/>
      <c r="CH23" s="22"/>
      <c r="CI23" s="22"/>
      <c r="CJ23" s="22"/>
      <c r="CK23" s="22"/>
      <c r="CL23" s="22"/>
      <c r="CM23" s="22"/>
      <c r="CN23" s="22"/>
      <c r="CO23" s="22"/>
      <c r="CP23" s="22"/>
      <c r="CQ23" s="22"/>
      <c r="CR23" s="127" t="s">
        <v>829</v>
      </c>
      <c r="CS23" s="13" t="s">
        <v>570</v>
      </c>
      <c r="CT23" s="13" t="s">
        <v>570</v>
      </c>
      <c r="CU23" s="13" t="s">
        <v>570</v>
      </c>
      <c r="CV23" s="23"/>
      <c r="CW23" s="13"/>
      <c r="CX23" s="13"/>
      <c r="CY23" s="23">
        <v>42646</v>
      </c>
      <c r="CZ23" s="30">
        <v>6991.07</v>
      </c>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31">
        <f t="shared" si="12"/>
        <v>6991.07</v>
      </c>
      <c r="DZ23" s="13"/>
      <c r="EA23" s="13"/>
      <c r="EB23" s="13"/>
      <c r="EC23" s="13"/>
      <c r="ED23" s="13"/>
      <c r="EE23" s="13"/>
      <c r="EF23" s="13"/>
      <c r="EG23" s="13">
        <v>15</v>
      </c>
      <c r="EH23" s="13"/>
      <c r="EI23" s="13"/>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5">
        <v>1</v>
      </c>
      <c r="FT23" s="25">
        <v>1</v>
      </c>
      <c r="FU23" s="25">
        <v>1</v>
      </c>
      <c r="FV23" s="25">
        <v>1</v>
      </c>
      <c r="FW23" s="25">
        <v>1</v>
      </c>
      <c r="FX23" s="25">
        <v>1</v>
      </c>
      <c r="FY23" s="25">
        <v>1</v>
      </c>
      <c r="FZ23" s="25">
        <v>1</v>
      </c>
      <c r="GA23" s="25">
        <v>1</v>
      </c>
      <c r="GB23" s="25">
        <v>1</v>
      </c>
      <c r="GC23" s="25">
        <v>1</v>
      </c>
      <c r="GD23" s="25">
        <v>1</v>
      </c>
      <c r="GE23" s="25">
        <v>1</v>
      </c>
      <c r="GF23" s="25">
        <v>1</v>
      </c>
      <c r="GG23" s="25">
        <v>1</v>
      </c>
      <c r="GH23" s="25">
        <v>1</v>
      </c>
      <c r="GI23" s="25">
        <v>1</v>
      </c>
      <c r="GJ23" s="25">
        <v>1</v>
      </c>
      <c r="GK23" s="25">
        <v>1</v>
      </c>
      <c r="GL23" s="25">
        <v>1</v>
      </c>
      <c r="GM23" s="25">
        <v>1</v>
      </c>
      <c r="GN23" s="25">
        <v>1</v>
      </c>
      <c r="GO23" s="25">
        <v>1</v>
      </c>
      <c r="GP23" s="25">
        <v>1</v>
      </c>
      <c r="GQ23" s="25">
        <v>1</v>
      </c>
      <c r="GR23" s="25">
        <v>1</v>
      </c>
      <c r="GS23" s="25">
        <v>1</v>
      </c>
      <c r="GT23" s="25">
        <v>1</v>
      </c>
      <c r="GU23" s="25">
        <v>1</v>
      </c>
      <c r="GV23" s="25" t="s">
        <v>455</v>
      </c>
      <c r="GW23" s="25" t="s">
        <v>455</v>
      </c>
      <c r="GX23" s="25" t="s">
        <v>455</v>
      </c>
      <c r="GY23" s="25" t="s">
        <v>455</v>
      </c>
      <c r="GZ23" s="25" t="s">
        <v>455</v>
      </c>
      <c r="HA23" s="25" t="s">
        <v>455</v>
      </c>
      <c r="HB23" s="25" t="s">
        <v>455</v>
      </c>
      <c r="HC23" s="25" t="s">
        <v>455</v>
      </c>
      <c r="HD23" s="25" t="s">
        <v>455</v>
      </c>
      <c r="HE23" s="25" t="s">
        <v>455</v>
      </c>
      <c r="HF23" s="25" t="s">
        <v>455</v>
      </c>
      <c r="HG23" s="25" t="s">
        <v>455</v>
      </c>
      <c r="HH23" s="25" t="s">
        <v>455</v>
      </c>
      <c r="HI23" s="25"/>
      <c r="HJ23" s="25"/>
      <c r="HK23" s="25"/>
      <c r="HL23" s="25"/>
      <c r="HM23" s="25"/>
      <c r="HN23" s="25"/>
      <c r="HO23" s="25"/>
      <c r="HP23" s="25"/>
      <c r="HQ23" s="25"/>
      <c r="HR23" s="25"/>
      <c r="HS23" s="25"/>
      <c r="HT23" s="25"/>
      <c r="HU23" s="13" t="s">
        <v>483</v>
      </c>
      <c r="HV23" s="13"/>
      <c r="HW23" s="32"/>
      <c r="HX23" s="55"/>
      <c r="HY23" s="55"/>
      <c r="HZ23" s="55"/>
      <c r="IA23" s="55"/>
      <c r="IB23" s="55"/>
      <c r="IC23" s="55"/>
      <c r="ID23" s="55"/>
      <c r="IE23" s="55"/>
      <c r="IF23" s="107">
        <v>6991.07</v>
      </c>
      <c r="IG23" s="107">
        <v>6991.07</v>
      </c>
      <c r="IH23" s="250">
        <f t="shared" si="3"/>
        <v>0</v>
      </c>
      <c r="II23" s="55"/>
      <c r="IJ23" s="55"/>
      <c r="IK23" s="55"/>
      <c r="IL23" s="55"/>
      <c r="IM23" s="55"/>
      <c r="IN23" s="55"/>
      <c r="IO23" s="55"/>
      <c r="IP23" s="55"/>
      <c r="IQ23" s="55"/>
      <c r="IR23" s="55"/>
      <c r="IS23" s="55"/>
      <c r="IT23" s="55"/>
      <c r="IU23" s="55"/>
      <c r="IV23" s="55"/>
      <c r="IW23" s="55"/>
      <c r="IX23" s="55"/>
      <c r="IY23" s="55"/>
      <c r="IZ23" s="55"/>
      <c r="JA23" s="55"/>
      <c r="JB23" s="55"/>
      <c r="JC23" s="55"/>
      <c r="JD23" s="55">
        <v>2016</v>
      </c>
    </row>
    <row r="24" spans="1:411" s="5" customFormat="1" ht="24.95" hidden="1" customHeight="1">
      <c r="A24" s="26" t="s">
        <v>155</v>
      </c>
      <c r="B24" s="26" t="s">
        <v>1</v>
      </c>
      <c r="C24" s="13" t="s">
        <v>358</v>
      </c>
      <c r="D24" s="13" t="s">
        <v>379</v>
      </c>
      <c r="E24" s="16" t="s">
        <v>359</v>
      </c>
      <c r="F24" s="13" t="s">
        <v>359</v>
      </c>
      <c r="G24" s="39" t="s">
        <v>354</v>
      </c>
      <c r="H24" s="39" t="s">
        <v>1581</v>
      </c>
      <c r="I24" s="21" t="s">
        <v>25</v>
      </c>
      <c r="J24" s="13" t="s">
        <v>1391</v>
      </c>
      <c r="K24" s="13" t="s">
        <v>1391</v>
      </c>
      <c r="L24" s="26" t="s">
        <v>24</v>
      </c>
      <c r="M24" s="20" t="s">
        <v>25</v>
      </c>
      <c r="N24" s="20"/>
      <c r="O24" s="13" t="s">
        <v>3</v>
      </c>
      <c r="P24" s="13" t="s">
        <v>4</v>
      </c>
      <c r="Q24" s="22" t="s">
        <v>1118</v>
      </c>
      <c r="R24" s="44">
        <v>17395</v>
      </c>
      <c r="S24" s="13" t="s">
        <v>456</v>
      </c>
      <c r="T24" s="13" t="s">
        <v>1387</v>
      </c>
      <c r="U24" s="13" t="s">
        <v>479</v>
      </c>
      <c r="V24" s="13" t="s">
        <v>482</v>
      </c>
      <c r="W24" s="13"/>
      <c r="X24" s="13"/>
      <c r="Y24" s="13"/>
      <c r="Z24" s="13"/>
      <c r="AA24" s="41"/>
      <c r="AB24" s="29">
        <v>6991.07</v>
      </c>
      <c r="AC24" s="29">
        <v>0</v>
      </c>
      <c r="AD24" s="29">
        <v>6991.07</v>
      </c>
      <c r="AE24" s="29">
        <v>0</v>
      </c>
      <c r="AF24" s="29">
        <f t="shared" si="4"/>
        <v>6991.07</v>
      </c>
      <c r="AG24" s="25">
        <v>0.12</v>
      </c>
      <c r="AH24" s="29">
        <f t="shared" si="5"/>
        <v>838.9283999999999</v>
      </c>
      <c r="AI24" s="29">
        <f t="shared" si="6"/>
        <v>0</v>
      </c>
      <c r="AJ24" s="29">
        <f t="shared" si="0"/>
        <v>7829.9984000000004</v>
      </c>
      <c r="AK24" s="126">
        <v>6991.07</v>
      </c>
      <c r="AL24" s="126">
        <f t="shared" si="14"/>
        <v>0</v>
      </c>
      <c r="AM24" s="126"/>
      <c r="AN24" s="41"/>
      <c r="AO24" s="29">
        <v>6991.07</v>
      </c>
      <c r="AP24" s="41"/>
      <c r="AQ24" s="29">
        <v>6991.07</v>
      </c>
      <c r="AR24" s="128"/>
      <c r="AS24" s="128"/>
      <c r="AT24" s="128"/>
      <c r="AU24" s="128"/>
      <c r="AV24" s="128"/>
      <c r="AW24" s="128"/>
      <c r="AX24" s="128"/>
      <c r="AY24" s="128"/>
      <c r="AZ24" s="128"/>
      <c r="BA24" s="128"/>
      <c r="BB24" s="128"/>
      <c r="BC24" s="128"/>
      <c r="BD24" s="129"/>
      <c r="BE24" s="129"/>
      <c r="BF24" s="29">
        <f t="shared" si="13"/>
        <v>0</v>
      </c>
      <c r="BG24" s="29">
        <f t="shared" si="11"/>
        <v>0</v>
      </c>
      <c r="BH24" s="37"/>
      <c r="BI24" s="29" t="s">
        <v>570</v>
      </c>
      <c r="BJ24" s="29" t="s">
        <v>570</v>
      </c>
      <c r="BK24" s="29" t="s">
        <v>570</v>
      </c>
      <c r="BL24" s="29" t="s">
        <v>570</v>
      </c>
      <c r="BM24" s="29" t="s">
        <v>570</v>
      </c>
      <c r="BN24" s="102">
        <v>42285</v>
      </c>
      <c r="BO24" s="102">
        <v>42306</v>
      </c>
      <c r="BP24" s="102">
        <v>42316</v>
      </c>
      <c r="BQ24" s="102">
        <v>42317</v>
      </c>
      <c r="BR24" s="102"/>
      <c r="BS24" s="102"/>
      <c r="BT24" s="102"/>
      <c r="BU24" s="13" t="s">
        <v>570</v>
      </c>
      <c r="BV24" s="13" t="s">
        <v>570</v>
      </c>
      <c r="BW24" s="224" t="s">
        <v>570</v>
      </c>
      <c r="BX24" s="22"/>
      <c r="BY24" s="22"/>
      <c r="BZ24" s="22">
        <v>42555</v>
      </c>
      <c r="CA24" s="22">
        <v>42599</v>
      </c>
      <c r="CB24" s="224" t="s">
        <v>570</v>
      </c>
      <c r="CC24" s="224" t="s">
        <v>570</v>
      </c>
      <c r="CD24" s="224" t="s">
        <v>570</v>
      </c>
      <c r="CE24" s="22"/>
      <c r="CF24" s="22"/>
      <c r="CG24" s="22"/>
      <c r="CH24" s="22"/>
      <c r="CI24" s="22"/>
      <c r="CJ24" s="22"/>
      <c r="CK24" s="22"/>
      <c r="CL24" s="22"/>
      <c r="CM24" s="22"/>
      <c r="CN24" s="22"/>
      <c r="CO24" s="22"/>
      <c r="CP24" s="22"/>
      <c r="CQ24" s="22"/>
      <c r="CR24" s="127" t="s">
        <v>829</v>
      </c>
      <c r="CS24" s="13" t="s">
        <v>570</v>
      </c>
      <c r="CT24" s="13" t="s">
        <v>570</v>
      </c>
      <c r="CU24" s="13" t="s">
        <v>570</v>
      </c>
      <c r="CV24" s="23"/>
      <c r="CW24" s="13"/>
      <c r="CX24" s="13"/>
      <c r="CY24" s="155">
        <v>42579</v>
      </c>
      <c r="CZ24" s="30">
        <v>6991.07</v>
      </c>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31">
        <f t="shared" si="12"/>
        <v>6991.07</v>
      </c>
      <c r="DZ24" s="13"/>
      <c r="EA24" s="13"/>
      <c r="EB24" s="13"/>
      <c r="EC24" s="13"/>
      <c r="ED24" s="13"/>
      <c r="EE24" s="13"/>
      <c r="EF24" s="13"/>
      <c r="EG24" s="13">
        <v>15</v>
      </c>
      <c r="EH24" s="13"/>
      <c r="EI24" s="13"/>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5">
        <v>1</v>
      </c>
      <c r="FT24" s="25">
        <v>1</v>
      </c>
      <c r="FU24" s="25">
        <v>1</v>
      </c>
      <c r="FV24" s="25">
        <v>1</v>
      </c>
      <c r="FW24" s="25">
        <v>1</v>
      </c>
      <c r="FX24" s="25">
        <v>1</v>
      </c>
      <c r="FY24" s="25">
        <v>1</v>
      </c>
      <c r="FZ24" s="25">
        <v>1</v>
      </c>
      <c r="GA24" s="25">
        <v>1</v>
      </c>
      <c r="GB24" s="25">
        <v>1</v>
      </c>
      <c r="GC24" s="25">
        <v>1</v>
      </c>
      <c r="GD24" s="25">
        <v>1</v>
      </c>
      <c r="GE24" s="25">
        <v>1</v>
      </c>
      <c r="GF24" s="25">
        <v>1</v>
      </c>
      <c r="GG24" s="25">
        <v>1</v>
      </c>
      <c r="GH24" s="25">
        <v>1</v>
      </c>
      <c r="GI24" s="25">
        <v>1</v>
      </c>
      <c r="GJ24" s="25">
        <v>1</v>
      </c>
      <c r="GK24" s="25">
        <v>1</v>
      </c>
      <c r="GL24" s="25">
        <v>1</v>
      </c>
      <c r="GM24" s="25">
        <v>1</v>
      </c>
      <c r="GN24" s="25">
        <v>1</v>
      </c>
      <c r="GO24" s="25">
        <v>1</v>
      </c>
      <c r="GP24" s="25">
        <v>1</v>
      </c>
      <c r="GQ24" s="25">
        <v>1</v>
      </c>
      <c r="GR24" s="25">
        <v>1</v>
      </c>
      <c r="GS24" s="25">
        <v>1</v>
      </c>
      <c r="GT24" s="25">
        <v>1</v>
      </c>
      <c r="GU24" s="25">
        <v>1</v>
      </c>
      <c r="GV24" s="25" t="s">
        <v>455</v>
      </c>
      <c r="GW24" s="25" t="s">
        <v>455</v>
      </c>
      <c r="GX24" s="25" t="s">
        <v>455</v>
      </c>
      <c r="GY24" s="25" t="s">
        <v>455</v>
      </c>
      <c r="GZ24" s="25" t="s">
        <v>455</v>
      </c>
      <c r="HA24" s="25" t="s">
        <v>455</v>
      </c>
      <c r="HB24" s="25" t="s">
        <v>455</v>
      </c>
      <c r="HC24" s="25" t="s">
        <v>455</v>
      </c>
      <c r="HD24" s="25" t="s">
        <v>455</v>
      </c>
      <c r="HE24" s="25" t="s">
        <v>455</v>
      </c>
      <c r="HF24" s="25" t="s">
        <v>455</v>
      </c>
      <c r="HG24" s="25" t="s">
        <v>455</v>
      </c>
      <c r="HH24" s="25" t="s">
        <v>455</v>
      </c>
      <c r="HI24" s="25"/>
      <c r="HJ24" s="25"/>
      <c r="HK24" s="25"/>
      <c r="HL24" s="25"/>
      <c r="HM24" s="25"/>
      <c r="HN24" s="25"/>
      <c r="HO24" s="25"/>
      <c r="HP24" s="25"/>
      <c r="HQ24" s="25"/>
      <c r="HR24" s="25"/>
      <c r="HS24" s="25"/>
      <c r="HT24" s="25"/>
      <c r="HU24" s="13" t="s">
        <v>483</v>
      </c>
      <c r="HV24" s="13"/>
      <c r="HW24" s="32"/>
      <c r="HX24" s="55"/>
      <c r="HY24" s="55"/>
      <c r="HZ24" s="55"/>
      <c r="IA24" s="55"/>
      <c r="IB24" s="55"/>
      <c r="IC24" s="55"/>
      <c r="ID24" s="55"/>
      <c r="IE24" s="55"/>
      <c r="IF24" s="107">
        <v>6991.07</v>
      </c>
      <c r="IG24" s="107">
        <v>6991.07</v>
      </c>
      <c r="IH24" s="250">
        <f t="shared" si="3"/>
        <v>0</v>
      </c>
      <c r="II24" s="55"/>
      <c r="IJ24" s="55"/>
      <c r="IK24" s="55"/>
      <c r="IL24" s="55"/>
      <c r="IM24" s="55"/>
      <c r="IN24" s="55"/>
      <c r="IO24" s="55"/>
      <c r="IP24" s="55"/>
      <c r="IQ24" s="55"/>
      <c r="IR24" s="55"/>
      <c r="IS24" s="55"/>
      <c r="IT24" s="55"/>
      <c r="IU24" s="55"/>
      <c r="IV24" s="55"/>
      <c r="IW24" s="55"/>
      <c r="IX24" s="55"/>
      <c r="IY24" s="55"/>
      <c r="IZ24" s="55"/>
      <c r="JA24" s="55"/>
      <c r="JB24" s="55"/>
      <c r="JC24" s="55"/>
      <c r="JD24" s="55">
        <v>2016</v>
      </c>
    </row>
    <row r="25" spans="1:411" s="5" customFormat="1" ht="24.95" hidden="1" customHeight="1">
      <c r="A25" s="26" t="s">
        <v>175</v>
      </c>
      <c r="B25" s="26" t="s">
        <v>1</v>
      </c>
      <c r="C25" s="13" t="s">
        <v>358</v>
      </c>
      <c r="D25" s="13" t="s">
        <v>379</v>
      </c>
      <c r="E25" s="16" t="s">
        <v>359</v>
      </c>
      <c r="F25" s="13" t="s">
        <v>359</v>
      </c>
      <c r="G25" s="39" t="s">
        <v>354</v>
      </c>
      <c r="H25" s="13" t="s">
        <v>1552</v>
      </c>
      <c r="I25" s="21" t="s">
        <v>25</v>
      </c>
      <c r="J25" s="13" t="s">
        <v>1391</v>
      </c>
      <c r="K25" s="13" t="s">
        <v>1391</v>
      </c>
      <c r="L25" s="26" t="s">
        <v>24</v>
      </c>
      <c r="M25" s="20" t="s">
        <v>25</v>
      </c>
      <c r="N25" s="20"/>
      <c r="O25" s="13" t="s">
        <v>3</v>
      </c>
      <c r="P25" s="13" t="s">
        <v>4</v>
      </c>
      <c r="Q25" s="22" t="s">
        <v>1118</v>
      </c>
      <c r="R25" s="44">
        <v>17395</v>
      </c>
      <c r="S25" s="13" t="s">
        <v>456</v>
      </c>
      <c r="T25" s="13" t="s">
        <v>1387</v>
      </c>
      <c r="U25" s="13" t="s">
        <v>479</v>
      </c>
      <c r="V25" s="13" t="s">
        <v>482</v>
      </c>
      <c r="W25" s="13"/>
      <c r="X25" s="13"/>
      <c r="Y25" s="13"/>
      <c r="Z25" s="13"/>
      <c r="AA25" s="41"/>
      <c r="AB25" s="29">
        <v>28360.84</v>
      </c>
      <c r="AC25" s="29">
        <v>0</v>
      </c>
      <c r="AD25" s="29">
        <v>28360.840000000004</v>
      </c>
      <c r="AE25" s="29">
        <v>0</v>
      </c>
      <c r="AF25" s="29">
        <f t="shared" si="4"/>
        <v>28360.840000000004</v>
      </c>
      <c r="AG25" s="25">
        <v>0.12</v>
      </c>
      <c r="AH25" s="29">
        <f t="shared" si="5"/>
        <v>3403.3008000000004</v>
      </c>
      <c r="AI25" s="29">
        <f t="shared" si="6"/>
        <v>0</v>
      </c>
      <c r="AJ25" s="29">
        <f t="shared" si="0"/>
        <v>31764.140800000008</v>
      </c>
      <c r="AK25" s="126">
        <v>28360.84</v>
      </c>
      <c r="AL25" s="126">
        <f t="shared" si="14"/>
        <v>0</v>
      </c>
      <c r="AM25" s="126"/>
      <c r="AN25" s="41"/>
      <c r="AO25" s="29">
        <v>28360.840000000004</v>
      </c>
      <c r="AP25" s="41"/>
      <c r="AQ25" s="29">
        <v>28360.84</v>
      </c>
      <c r="AR25" s="128"/>
      <c r="AS25" s="128"/>
      <c r="AT25" s="128"/>
      <c r="AU25" s="128"/>
      <c r="AV25" s="128"/>
      <c r="AW25" s="128"/>
      <c r="AX25" s="128"/>
      <c r="AY25" s="128"/>
      <c r="AZ25" s="128"/>
      <c r="BA25" s="128"/>
      <c r="BB25" s="128"/>
      <c r="BC25" s="128"/>
      <c r="BD25" s="129"/>
      <c r="BE25" s="129"/>
      <c r="BF25" s="29">
        <f t="shared" si="13"/>
        <v>0</v>
      </c>
      <c r="BG25" s="29">
        <f t="shared" si="11"/>
        <v>0</v>
      </c>
      <c r="BH25" s="37" t="s">
        <v>594</v>
      </c>
      <c r="BI25" s="29" t="s">
        <v>570</v>
      </c>
      <c r="BJ25" s="29" t="s">
        <v>570</v>
      </c>
      <c r="BK25" s="29" t="s">
        <v>570</v>
      </c>
      <c r="BL25" s="29" t="s">
        <v>570</v>
      </c>
      <c r="BM25" s="29" t="s">
        <v>570</v>
      </c>
      <c r="BN25" s="102">
        <v>42285</v>
      </c>
      <c r="BO25" s="102">
        <v>42306</v>
      </c>
      <c r="BP25" s="102">
        <v>42316</v>
      </c>
      <c r="BQ25" s="102">
        <v>42317</v>
      </c>
      <c r="BR25" s="102"/>
      <c r="BS25" s="102"/>
      <c r="BT25" s="102"/>
      <c r="BU25" s="13" t="s">
        <v>570</v>
      </c>
      <c r="BV25" s="13" t="s">
        <v>570</v>
      </c>
      <c r="BW25" s="224" t="s">
        <v>570</v>
      </c>
      <c r="BX25" s="22"/>
      <c r="BY25" s="22"/>
      <c r="BZ25" s="22">
        <v>42555</v>
      </c>
      <c r="CA25" s="22">
        <v>42599</v>
      </c>
      <c r="CB25" s="224" t="s">
        <v>570</v>
      </c>
      <c r="CC25" s="224" t="s">
        <v>570</v>
      </c>
      <c r="CD25" s="224" t="s">
        <v>570</v>
      </c>
      <c r="CE25" s="22"/>
      <c r="CF25" s="127" t="s">
        <v>829</v>
      </c>
      <c r="CG25" s="22"/>
      <c r="CH25" s="22"/>
      <c r="CI25" s="22"/>
      <c r="CJ25" s="22"/>
      <c r="CK25" s="22"/>
      <c r="CL25" s="22"/>
      <c r="CM25" s="22"/>
      <c r="CN25" s="22"/>
      <c r="CO25" s="22"/>
      <c r="CP25" s="22"/>
      <c r="CQ25" s="22"/>
      <c r="CR25" s="127" t="s">
        <v>829</v>
      </c>
      <c r="CS25" s="13" t="s">
        <v>570</v>
      </c>
      <c r="CT25" s="13" t="s">
        <v>570</v>
      </c>
      <c r="CU25" s="13" t="s">
        <v>570</v>
      </c>
      <c r="CV25" s="23"/>
      <c r="CW25" s="13"/>
      <c r="CX25" s="13"/>
      <c r="CY25" s="155">
        <v>42592</v>
      </c>
      <c r="CZ25" s="30">
        <v>28360.84</v>
      </c>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31">
        <f t="shared" si="12"/>
        <v>28360.84</v>
      </c>
      <c r="DZ25" s="13"/>
      <c r="EA25" s="13"/>
      <c r="EB25" s="13"/>
      <c r="EC25" s="13"/>
      <c r="ED25" s="13"/>
      <c r="EE25" s="13"/>
      <c r="EF25" s="13"/>
      <c r="EG25" s="13">
        <v>15</v>
      </c>
      <c r="EH25" s="13"/>
      <c r="EI25" s="13"/>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5">
        <v>1</v>
      </c>
      <c r="FT25" s="25">
        <v>1</v>
      </c>
      <c r="FU25" s="25">
        <v>1</v>
      </c>
      <c r="FV25" s="25">
        <v>1</v>
      </c>
      <c r="FW25" s="25">
        <v>1</v>
      </c>
      <c r="FX25" s="25">
        <v>1</v>
      </c>
      <c r="FY25" s="25">
        <v>1</v>
      </c>
      <c r="FZ25" s="25">
        <v>1</v>
      </c>
      <c r="GA25" s="25">
        <v>1</v>
      </c>
      <c r="GB25" s="25">
        <v>1</v>
      </c>
      <c r="GC25" s="25">
        <v>1</v>
      </c>
      <c r="GD25" s="25">
        <v>1</v>
      </c>
      <c r="GE25" s="25">
        <v>1</v>
      </c>
      <c r="GF25" s="25">
        <v>1</v>
      </c>
      <c r="GG25" s="25">
        <v>1</v>
      </c>
      <c r="GH25" s="25">
        <v>1</v>
      </c>
      <c r="GI25" s="25">
        <v>1</v>
      </c>
      <c r="GJ25" s="25">
        <v>1</v>
      </c>
      <c r="GK25" s="25">
        <v>1</v>
      </c>
      <c r="GL25" s="25">
        <v>1</v>
      </c>
      <c r="GM25" s="25">
        <v>1</v>
      </c>
      <c r="GN25" s="25">
        <v>1</v>
      </c>
      <c r="GO25" s="25">
        <v>1</v>
      </c>
      <c r="GP25" s="25">
        <v>1</v>
      </c>
      <c r="GQ25" s="25">
        <v>1</v>
      </c>
      <c r="GR25" s="25">
        <v>1</v>
      </c>
      <c r="GS25" s="25">
        <v>1</v>
      </c>
      <c r="GT25" s="25">
        <v>1</v>
      </c>
      <c r="GU25" s="25">
        <v>1</v>
      </c>
      <c r="GV25" s="25" t="s">
        <v>455</v>
      </c>
      <c r="GW25" s="25" t="s">
        <v>455</v>
      </c>
      <c r="GX25" s="25" t="s">
        <v>455</v>
      </c>
      <c r="GY25" s="25" t="s">
        <v>455</v>
      </c>
      <c r="GZ25" s="25" t="s">
        <v>455</v>
      </c>
      <c r="HA25" s="25" t="s">
        <v>455</v>
      </c>
      <c r="HB25" s="25" t="s">
        <v>455</v>
      </c>
      <c r="HC25" s="25" t="s">
        <v>455</v>
      </c>
      <c r="HD25" s="25" t="s">
        <v>455</v>
      </c>
      <c r="HE25" s="25" t="s">
        <v>455</v>
      </c>
      <c r="HF25" s="25" t="s">
        <v>455</v>
      </c>
      <c r="HG25" s="25" t="s">
        <v>455</v>
      </c>
      <c r="HH25" s="25" t="s">
        <v>455</v>
      </c>
      <c r="HI25" s="25"/>
      <c r="HJ25" s="25"/>
      <c r="HK25" s="25"/>
      <c r="HL25" s="25"/>
      <c r="HM25" s="25"/>
      <c r="HN25" s="25"/>
      <c r="HO25" s="25"/>
      <c r="HP25" s="25"/>
      <c r="HQ25" s="25"/>
      <c r="HR25" s="25"/>
      <c r="HS25" s="25"/>
      <c r="HT25" s="25"/>
      <c r="HU25" s="13" t="s">
        <v>483</v>
      </c>
      <c r="HV25" s="13"/>
      <c r="HW25" s="32"/>
      <c r="HX25" s="55"/>
      <c r="HY25" s="55"/>
      <c r="HZ25" s="55"/>
      <c r="IA25" s="55"/>
      <c r="IB25" s="55"/>
      <c r="IC25" s="55"/>
      <c r="ID25" s="55"/>
      <c r="IE25" s="55"/>
      <c r="IF25" s="107">
        <v>28360.84</v>
      </c>
      <c r="IG25" s="107">
        <v>28360.84</v>
      </c>
      <c r="IH25" s="250">
        <f t="shared" si="3"/>
        <v>0</v>
      </c>
      <c r="II25" s="55"/>
      <c r="IJ25" s="55"/>
      <c r="IK25" s="55"/>
      <c r="IL25" s="55"/>
      <c r="IM25" s="55"/>
      <c r="IN25" s="55"/>
      <c r="IO25" s="55"/>
      <c r="IP25" s="55"/>
      <c r="IQ25" s="55"/>
      <c r="IR25" s="55"/>
      <c r="IS25" s="55"/>
      <c r="IT25" s="55"/>
      <c r="IU25" s="55"/>
      <c r="IV25" s="55"/>
      <c r="IW25" s="55"/>
      <c r="IX25" s="55"/>
      <c r="IY25" s="55"/>
      <c r="IZ25" s="55"/>
      <c r="JA25" s="55"/>
      <c r="JB25" s="55"/>
      <c r="JC25" s="55"/>
      <c r="JD25" s="55">
        <v>2016</v>
      </c>
    </row>
    <row r="26" spans="1:411" s="5" customFormat="1" ht="24.95" hidden="1" customHeight="1">
      <c r="A26" s="26" t="s">
        <v>183</v>
      </c>
      <c r="B26" s="26" t="s">
        <v>1</v>
      </c>
      <c r="C26" s="13" t="s">
        <v>358</v>
      </c>
      <c r="D26" s="13" t="s">
        <v>379</v>
      </c>
      <c r="E26" s="16" t="s">
        <v>359</v>
      </c>
      <c r="F26" s="13" t="s">
        <v>359</v>
      </c>
      <c r="G26" s="39" t="s">
        <v>354</v>
      </c>
      <c r="H26" s="13" t="s">
        <v>1553</v>
      </c>
      <c r="I26" s="21" t="s">
        <v>25</v>
      </c>
      <c r="J26" s="13" t="s">
        <v>1391</v>
      </c>
      <c r="K26" s="13" t="s">
        <v>1391</v>
      </c>
      <c r="L26" s="26" t="s">
        <v>24</v>
      </c>
      <c r="M26" s="20" t="s">
        <v>25</v>
      </c>
      <c r="N26" s="20"/>
      <c r="O26" s="13" t="s">
        <v>3</v>
      </c>
      <c r="P26" s="13" t="s">
        <v>4</v>
      </c>
      <c r="Q26" s="22" t="s">
        <v>1118</v>
      </c>
      <c r="R26" s="44">
        <v>17395</v>
      </c>
      <c r="S26" s="13" t="s">
        <v>456</v>
      </c>
      <c r="T26" s="13" t="s">
        <v>1387</v>
      </c>
      <c r="U26" s="13" t="s">
        <v>479</v>
      </c>
      <c r="V26" s="13" t="s">
        <v>482</v>
      </c>
      <c r="W26" s="13"/>
      <c r="X26" s="13"/>
      <c r="Y26" s="13"/>
      <c r="Z26" s="13"/>
      <c r="AA26" s="41"/>
      <c r="AB26" s="29">
        <v>6991.07</v>
      </c>
      <c r="AC26" s="29">
        <v>0</v>
      </c>
      <c r="AD26" s="29">
        <v>6991.07</v>
      </c>
      <c r="AE26" s="29">
        <v>0</v>
      </c>
      <c r="AF26" s="29">
        <f t="shared" si="4"/>
        <v>6991.07</v>
      </c>
      <c r="AG26" s="25">
        <v>0.12</v>
      </c>
      <c r="AH26" s="29">
        <f t="shared" si="5"/>
        <v>838.9283999999999</v>
      </c>
      <c r="AI26" s="29">
        <f t="shared" si="6"/>
        <v>0</v>
      </c>
      <c r="AJ26" s="29">
        <f t="shared" si="0"/>
        <v>7829.9984000000004</v>
      </c>
      <c r="AK26" s="126">
        <v>6991.07</v>
      </c>
      <c r="AL26" s="126">
        <f t="shared" si="14"/>
        <v>0</v>
      </c>
      <c r="AM26" s="126"/>
      <c r="AN26" s="41"/>
      <c r="AO26" s="29">
        <v>6991.07</v>
      </c>
      <c r="AP26" s="41"/>
      <c r="AQ26" s="29">
        <v>6991.07</v>
      </c>
      <c r="AR26" s="128"/>
      <c r="AS26" s="128"/>
      <c r="AT26" s="128"/>
      <c r="AU26" s="128"/>
      <c r="AV26" s="128"/>
      <c r="AW26" s="128"/>
      <c r="AX26" s="128"/>
      <c r="AY26" s="128"/>
      <c r="AZ26" s="128"/>
      <c r="BA26" s="128"/>
      <c r="BB26" s="128"/>
      <c r="BC26" s="128"/>
      <c r="BD26" s="129"/>
      <c r="BE26" s="129"/>
      <c r="BF26" s="29">
        <f t="shared" si="13"/>
        <v>0</v>
      </c>
      <c r="BG26" s="29">
        <f t="shared" si="11"/>
        <v>0</v>
      </c>
      <c r="BH26" s="37"/>
      <c r="BI26" s="29" t="s">
        <v>570</v>
      </c>
      <c r="BJ26" s="29" t="s">
        <v>570</v>
      </c>
      <c r="BK26" s="29" t="s">
        <v>570</v>
      </c>
      <c r="BL26" s="29" t="s">
        <v>570</v>
      </c>
      <c r="BM26" s="29" t="s">
        <v>570</v>
      </c>
      <c r="BN26" s="102">
        <v>42285</v>
      </c>
      <c r="BO26" s="102">
        <v>42306</v>
      </c>
      <c r="BP26" s="102">
        <v>42316</v>
      </c>
      <c r="BQ26" s="102">
        <v>42317</v>
      </c>
      <c r="BR26" s="102"/>
      <c r="BS26" s="102"/>
      <c r="BT26" s="102"/>
      <c r="BU26" s="13" t="s">
        <v>570</v>
      </c>
      <c r="BV26" s="13" t="s">
        <v>570</v>
      </c>
      <c r="BW26" s="224" t="s">
        <v>570</v>
      </c>
      <c r="BX26" s="22"/>
      <c r="BY26" s="22"/>
      <c r="BZ26" s="22">
        <v>42555</v>
      </c>
      <c r="CA26" s="22">
        <v>42599</v>
      </c>
      <c r="CB26" s="224" t="s">
        <v>570</v>
      </c>
      <c r="CC26" s="224" t="s">
        <v>570</v>
      </c>
      <c r="CD26" s="224" t="s">
        <v>570</v>
      </c>
      <c r="CE26" s="22"/>
      <c r="CF26" s="22"/>
      <c r="CG26" s="22"/>
      <c r="CH26" s="22"/>
      <c r="CI26" s="22"/>
      <c r="CJ26" s="22"/>
      <c r="CK26" s="22"/>
      <c r="CL26" s="22"/>
      <c r="CM26" s="22"/>
      <c r="CN26" s="22"/>
      <c r="CO26" s="22"/>
      <c r="CP26" s="22"/>
      <c r="CQ26" s="22"/>
      <c r="CR26" s="127" t="s">
        <v>829</v>
      </c>
      <c r="CS26" s="13" t="s">
        <v>570</v>
      </c>
      <c r="CT26" s="13" t="s">
        <v>570</v>
      </c>
      <c r="CU26" s="13" t="s">
        <v>570</v>
      </c>
      <c r="CV26" s="23"/>
      <c r="CW26" s="13"/>
      <c r="CX26" s="13"/>
      <c r="CY26" s="155">
        <v>42640</v>
      </c>
      <c r="CZ26" s="30">
        <v>6991.07</v>
      </c>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31">
        <f t="shared" si="12"/>
        <v>6991.07</v>
      </c>
      <c r="DZ26" s="13"/>
      <c r="EA26" s="13"/>
      <c r="EB26" s="13"/>
      <c r="EC26" s="13"/>
      <c r="ED26" s="13"/>
      <c r="EE26" s="13"/>
      <c r="EF26" s="13"/>
      <c r="EG26" s="13">
        <v>15</v>
      </c>
      <c r="EH26" s="13"/>
      <c r="EI26" s="13"/>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5">
        <v>1</v>
      </c>
      <c r="FT26" s="25">
        <v>1</v>
      </c>
      <c r="FU26" s="25">
        <v>1</v>
      </c>
      <c r="FV26" s="25">
        <v>1</v>
      </c>
      <c r="FW26" s="25">
        <v>1</v>
      </c>
      <c r="FX26" s="25">
        <v>1</v>
      </c>
      <c r="FY26" s="25">
        <v>1</v>
      </c>
      <c r="FZ26" s="25">
        <v>1</v>
      </c>
      <c r="GA26" s="25">
        <v>1</v>
      </c>
      <c r="GB26" s="25">
        <v>1</v>
      </c>
      <c r="GC26" s="25">
        <v>1</v>
      </c>
      <c r="GD26" s="25">
        <v>1</v>
      </c>
      <c r="GE26" s="25">
        <v>1</v>
      </c>
      <c r="GF26" s="25">
        <v>1</v>
      </c>
      <c r="GG26" s="25">
        <v>1</v>
      </c>
      <c r="GH26" s="25">
        <v>1</v>
      </c>
      <c r="GI26" s="25">
        <v>1</v>
      </c>
      <c r="GJ26" s="25">
        <v>1</v>
      </c>
      <c r="GK26" s="25">
        <v>1</v>
      </c>
      <c r="GL26" s="25">
        <v>1</v>
      </c>
      <c r="GM26" s="25">
        <v>1</v>
      </c>
      <c r="GN26" s="25">
        <v>1</v>
      </c>
      <c r="GO26" s="25">
        <v>1</v>
      </c>
      <c r="GP26" s="25">
        <v>1</v>
      </c>
      <c r="GQ26" s="25">
        <v>1</v>
      </c>
      <c r="GR26" s="25">
        <v>1</v>
      </c>
      <c r="GS26" s="25">
        <v>1</v>
      </c>
      <c r="GT26" s="25">
        <v>1</v>
      </c>
      <c r="GU26" s="25">
        <v>1</v>
      </c>
      <c r="GV26" s="25" t="s">
        <v>455</v>
      </c>
      <c r="GW26" s="25" t="s">
        <v>455</v>
      </c>
      <c r="GX26" s="25" t="s">
        <v>455</v>
      </c>
      <c r="GY26" s="25" t="s">
        <v>455</v>
      </c>
      <c r="GZ26" s="25" t="s">
        <v>455</v>
      </c>
      <c r="HA26" s="25" t="s">
        <v>455</v>
      </c>
      <c r="HB26" s="25" t="s">
        <v>455</v>
      </c>
      <c r="HC26" s="25" t="s">
        <v>455</v>
      </c>
      <c r="HD26" s="25" t="s">
        <v>455</v>
      </c>
      <c r="HE26" s="25" t="s">
        <v>455</v>
      </c>
      <c r="HF26" s="25" t="s">
        <v>455</v>
      </c>
      <c r="HG26" s="25" t="s">
        <v>455</v>
      </c>
      <c r="HH26" s="25" t="s">
        <v>455</v>
      </c>
      <c r="HI26" s="25"/>
      <c r="HJ26" s="25"/>
      <c r="HK26" s="25"/>
      <c r="HL26" s="25"/>
      <c r="HM26" s="25"/>
      <c r="HN26" s="25"/>
      <c r="HO26" s="25"/>
      <c r="HP26" s="25"/>
      <c r="HQ26" s="25"/>
      <c r="HR26" s="25"/>
      <c r="HS26" s="25"/>
      <c r="HT26" s="25"/>
      <c r="HU26" s="13" t="s">
        <v>483</v>
      </c>
      <c r="HV26" s="13"/>
      <c r="HW26" s="32"/>
      <c r="HX26" s="55"/>
      <c r="HY26" s="55"/>
      <c r="HZ26" s="55"/>
      <c r="IA26" s="55"/>
      <c r="IB26" s="55"/>
      <c r="IC26" s="55"/>
      <c r="ID26" s="55"/>
      <c r="IE26" s="55"/>
      <c r="IF26" s="107">
        <v>6991.07</v>
      </c>
      <c r="IG26" s="107">
        <v>6991.07</v>
      </c>
      <c r="IH26" s="250">
        <f t="shared" si="3"/>
        <v>0</v>
      </c>
      <c r="II26" s="55"/>
      <c r="IJ26" s="55"/>
      <c r="IK26" s="55"/>
      <c r="IL26" s="55"/>
      <c r="IM26" s="55"/>
      <c r="IN26" s="55"/>
      <c r="IO26" s="55"/>
      <c r="IP26" s="55"/>
      <c r="IQ26" s="55"/>
      <c r="IR26" s="55"/>
      <c r="IS26" s="55"/>
      <c r="IT26" s="55"/>
      <c r="IU26" s="55"/>
      <c r="IV26" s="55"/>
      <c r="IW26" s="55"/>
      <c r="IX26" s="55"/>
      <c r="IY26" s="55"/>
      <c r="IZ26" s="55"/>
      <c r="JA26" s="55"/>
      <c r="JB26" s="55"/>
      <c r="JC26" s="55"/>
      <c r="JD26" s="55">
        <v>2016</v>
      </c>
    </row>
    <row r="27" spans="1:411" s="5" customFormat="1" ht="24.95" hidden="1" customHeight="1">
      <c r="A27" s="26" t="s">
        <v>188</v>
      </c>
      <c r="B27" s="26" t="s">
        <v>1</v>
      </c>
      <c r="C27" s="13" t="s">
        <v>358</v>
      </c>
      <c r="D27" s="13" t="s">
        <v>379</v>
      </c>
      <c r="E27" s="16" t="s">
        <v>359</v>
      </c>
      <c r="F27" s="13" t="s">
        <v>359</v>
      </c>
      <c r="G27" s="39" t="s">
        <v>354</v>
      </c>
      <c r="H27" s="13" t="s">
        <v>1554</v>
      </c>
      <c r="I27" s="21" t="s">
        <v>25</v>
      </c>
      <c r="J27" s="13" t="s">
        <v>1391</v>
      </c>
      <c r="K27" s="13" t="s">
        <v>1391</v>
      </c>
      <c r="L27" s="26" t="s">
        <v>24</v>
      </c>
      <c r="M27" s="20" t="s">
        <v>25</v>
      </c>
      <c r="N27" s="20"/>
      <c r="O27" s="13" t="s">
        <v>3</v>
      </c>
      <c r="P27" s="13" t="s">
        <v>4</v>
      </c>
      <c r="Q27" s="22" t="s">
        <v>1118</v>
      </c>
      <c r="R27" s="44">
        <v>17395</v>
      </c>
      <c r="S27" s="13" t="s">
        <v>456</v>
      </c>
      <c r="T27" s="13" t="s">
        <v>1387</v>
      </c>
      <c r="U27" s="13" t="s">
        <v>479</v>
      </c>
      <c r="V27" s="13" t="s">
        <v>482</v>
      </c>
      <c r="W27" s="13"/>
      <c r="X27" s="13"/>
      <c r="Y27" s="13"/>
      <c r="Z27" s="13"/>
      <c r="AA27" s="41"/>
      <c r="AB27" s="29">
        <v>4200.24</v>
      </c>
      <c r="AC27" s="29">
        <v>0</v>
      </c>
      <c r="AD27" s="29">
        <v>4200.24</v>
      </c>
      <c r="AE27" s="29">
        <v>0</v>
      </c>
      <c r="AF27" s="29">
        <f t="shared" si="4"/>
        <v>4200.24</v>
      </c>
      <c r="AG27" s="25">
        <v>0.12</v>
      </c>
      <c r="AH27" s="29">
        <f t="shared" si="5"/>
        <v>504.02879999999993</v>
      </c>
      <c r="AI27" s="29">
        <f t="shared" si="6"/>
        <v>0</v>
      </c>
      <c r="AJ27" s="29">
        <f t="shared" si="0"/>
        <v>4704.2687999999998</v>
      </c>
      <c r="AK27" s="126">
        <v>4200.17</v>
      </c>
      <c r="AL27" s="126">
        <f t="shared" si="14"/>
        <v>6.9999999999708962E-2</v>
      </c>
      <c r="AM27" s="126"/>
      <c r="AN27" s="41"/>
      <c r="AO27" s="29">
        <v>4200.24</v>
      </c>
      <c r="AP27" s="41"/>
      <c r="AQ27" s="29">
        <v>4200.17</v>
      </c>
      <c r="AR27" s="128"/>
      <c r="AS27" s="128"/>
      <c r="AT27" s="128"/>
      <c r="AU27" s="128"/>
      <c r="AV27" s="128"/>
      <c r="AW27" s="128"/>
      <c r="AX27" s="128"/>
      <c r="AY27" s="128"/>
      <c r="AZ27" s="128"/>
      <c r="BA27" s="128"/>
      <c r="BB27" s="128"/>
      <c r="BC27" s="128"/>
      <c r="BD27" s="129"/>
      <c r="BE27" s="129"/>
      <c r="BF27" s="29">
        <f t="shared" si="13"/>
        <v>6.9999999999708962E-2</v>
      </c>
      <c r="BG27" s="29">
        <f t="shared" si="11"/>
        <v>6.9999999999708962E-2</v>
      </c>
      <c r="BH27" s="37"/>
      <c r="BI27" s="29" t="s">
        <v>570</v>
      </c>
      <c r="BJ27" s="29" t="s">
        <v>570</v>
      </c>
      <c r="BK27" s="29" t="s">
        <v>570</v>
      </c>
      <c r="BL27" s="29" t="s">
        <v>570</v>
      </c>
      <c r="BM27" s="29" t="s">
        <v>570</v>
      </c>
      <c r="BN27" s="102">
        <v>42285</v>
      </c>
      <c r="BO27" s="102">
        <v>42306</v>
      </c>
      <c r="BP27" s="102">
        <v>42316</v>
      </c>
      <c r="BQ27" s="102">
        <v>42317</v>
      </c>
      <c r="BR27" s="102"/>
      <c r="BS27" s="102"/>
      <c r="BT27" s="102"/>
      <c r="BU27" s="13" t="s">
        <v>570</v>
      </c>
      <c r="BV27" s="13" t="s">
        <v>570</v>
      </c>
      <c r="BW27" s="224" t="s">
        <v>570</v>
      </c>
      <c r="BX27" s="22"/>
      <c r="BY27" s="22"/>
      <c r="BZ27" s="22">
        <v>42555</v>
      </c>
      <c r="CA27" s="22">
        <v>42599</v>
      </c>
      <c r="CB27" s="224" t="s">
        <v>570</v>
      </c>
      <c r="CC27" s="224" t="s">
        <v>570</v>
      </c>
      <c r="CD27" s="224" t="s">
        <v>570</v>
      </c>
      <c r="CE27" s="22"/>
      <c r="CF27" s="22"/>
      <c r="CG27" s="22"/>
      <c r="CH27" s="22"/>
      <c r="CI27" s="22"/>
      <c r="CJ27" s="22"/>
      <c r="CK27" s="22"/>
      <c r="CL27" s="22"/>
      <c r="CM27" s="22"/>
      <c r="CN27" s="22"/>
      <c r="CO27" s="22"/>
      <c r="CP27" s="22"/>
      <c r="CQ27" s="22"/>
      <c r="CR27" s="127" t="s">
        <v>829</v>
      </c>
      <c r="CS27" s="13" t="s">
        <v>570</v>
      </c>
      <c r="CT27" s="13" t="s">
        <v>570</v>
      </c>
      <c r="CU27" s="13" t="s">
        <v>570</v>
      </c>
      <c r="CV27" s="23"/>
      <c r="CW27" s="13"/>
      <c r="CX27" s="13"/>
      <c r="CY27" s="155">
        <v>42650</v>
      </c>
      <c r="CZ27" s="30">
        <v>4200.17</v>
      </c>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31">
        <f t="shared" si="12"/>
        <v>4200.17</v>
      </c>
      <c r="DZ27" s="13"/>
      <c r="EA27" s="13"/>
      <c r="EB27" s="13"/>
      <c r="EC27" s="13"/>
      <c r="ED27" s="13"/>
      <c r="EE27" s="13"/>
      <c r="EF27" s="13"/>
      <c r="EG27" s="13">
        <v>15</v>
      </c>
      <c r="EH27" s="13"/>
      <c r="EI27" s="13"/>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5">
        <v>1</v>
      </c>
      <c r="FT27" s="25">
        <v>1</v>
      </c>
      <c r="FU27" s="25">
        <v>1</v>
      </c>
      <c r="FV27" s="25">
        <v>1</v>
      </c>
      <c r="FW27" s="25">
        <v>1</v>
      </c>
      <c r="FX27" s="25">
        <v>1</v>
      </c>
      <c r="FY27" s="25">
        <v>1</v>
      </c>
      <c r="FZ27" s="25">
        <v>1</v>
      </c>
      <c r="GA27" s="25">
        <v>1</v>
      </c>
      <c r="GB27" s="25">
        <v>1</v>
      </c>
      <c r="GC27" s="25">
        <v>1</v>
      </c>
      <c r="GD27" s="25">
        <v>1</v>
      </c>
      <c r="GE27" s="25">
        <v>1</v>
      </c>
      <c r="GF27" s="25">
        <v>1</v>
      </c>
      <c r="GG27" s="25">
        <v>1</v>
      </c>
      <c r="GH27" s="25">
        <v>1</v>
      </c>
      <c r="GI27" s="25">
        <v>1</v>
      </c>
      <c r="GJ27" s="25">
        <v>1</v>
      </c>
      <c r="GK27" s="25">
        <v>1</v>
      </c>
      <c r="GL27" s="25">
        <v>1</v>
      </c>
      <c r="GM27" s="25">
        <v>1</v>
      </c>
      <c r="GN27" s="25">
        <v>1</v>
      </c>
      <c r="GO27" s="25">
        <v>1</v>
      </c>
      <c r="GP27" s="25">
        <v>1</v>
      </c>
      <c r="GQ27" s="25">
        <v>1</v>
      </c>
      <c r="GR27" s="25">
        <v>1</v>
      </c>
      <c r="GS27" s="25">
        <v>1</v>
      </c>
      <c r="GT27" s="25">
        <v>1</v>
      </c>
      <c r="GU27" s="25">
        <v>1</v>
      </c>
      <c r="GV27" s="25" t="s">
        <v>455</v>
      </c>
      <c r="GW27" s="25" t="s">
        <v>455</v>
      </c>
      <c r="GX27" s="25" t="s">
        <v>455</v>
      </c>
      <c r="GY27" s="25" t="s">
        <v>455</v>
      </c>
      <c r="GZ27" s="25" t="s">
        <v>455</v>
      </c>
      <c r="HA27" s="25" t="s">
        <v>455</v>
      </c>
      <c r="HB27" s="25" t="s">
        <v>455</v>
      </c>
      <c r="HC27" s="25" t="s">
        <v>455</v>
      </c>
      <c r="HD27" s="25" t="s">
        <v>455</v>
      </c>
      <c r="HE27" s="25" t="s">
        <v>455</v>
      </c>
      <c r="HF27" s="25" t="s">
        <v>455</v>
      </c>
      <c r="HG27" s="25" t="s">
        <v>455</v>
      </c>
      <c r="HH27" s="25" t="s">
        <v>455</v>
      </c>
      <c r="HI27" s="25"/>
      <c r="HJ27" s="25"/>
      <c r="HK27" s="25"/>
      <c r="HL27" s="25"/>
      <c r="HM27" s="25"/>
      <c r="HN27" s="25"/>
      <c r="HO27" s="25"/>
      <c r="HP27" s="25"/>
      <c r="HQ27" s="25"/>
      <c r="HR27" s="25"/>
      <c r="HS27" s="25"/>
      <c r="HT27" s="25"/>
      <c r="HU27" s="13" t="s">
        <v>483</v>
      </c>
      <c r="HV27" s="13"/>
      <c r="HW27" s="32"/>
      <c r="HX27" s="55"/>
      <c r="HY27" s="55"/>
      <c r="HZ27" s="55"/>
      <c r="IA27" s="55"/>
      <c r="IB27" s="55"/>
      <c r="IC27" s="55"/>
      <c r="ID27" s="55"/>
      <c r="IE27" s="55"/>
      <c r="IF27" s="107">
        <v>4200.24</v>
      </c>
      <c r="IG27" s="107">
        <v>4200.17</v>
      </c>
      <c r="IH27" s="250">
        <f t="shared" si="3"/>
        <v>0</v>
      </c>
      <c r="II27" s="55"/>
      <c r="IJ27" s="55"/>
      <c r="IK27" s="55"/>
      <c r="IL27" s="55"/>
      <c r="IM27" s="55"/>
      <c r="IN27" s="55"/>
      <c r="IO27" s="55"/>
      <c r="IP27" s="55"/>
      <c r="IQ27" s="55"/>
      <c r="IR27" s="55"/>
      <c r="IS27" s="55"/>
      <c r="IT27" s="55"/>
      <c r="IU27" s="55"/>
      <c r="IV27" s="55"/>
      <c r="IW27" s="55"/>
      <c r="IX27" s="55"/>
      <c r="IY27" s="55"/>
      <c r="IZ27" s="55"/>
      <c r="JA27" s="55"/>
      <c r="JB27" s="55"/>
      <c r="JC27" s="55"/>
      <c r="JD27" s="55">
        <v>2016</v>
      </c>
    </row>
    <row r="28" spans="1:411" s="5" customFormat="1" ht="24.95" hidden="1" customHeight="1">
      <c r="A28" s="26" t="s">
        <v>26</v>
      </c>
      <c r="B28" s="26" t="s">
        <v>1</v>
      </c>
      <c r="C28" s="13" t="s">
        <v>358</v>
      </c>
      <c r="D28" s="13" t="s">
        <v>379</v>
      </c>
      <c r="E28" s="16" t="s">
        <v>359</v>
      </c>
      <c r="F28" s="13" t="s">
        <v>359</v>
      </c>
      <c r="G28" s="39" t="s">
        <v>354</v>
      </c>
      <c r="H28" s="13" t="s">
        <v>1557</v>
      </c>
      <c r="I28" s="21" t="s">
        <v>25</v>
      </c>
      <c r="J28" s="13" t="s">
        <v>1391</v>
      </c>
      <c r="K28" s="13" t="s">
        <v>1391</v>
      </c>
      <c r="L28" s="26" t="s">
        <v>24</v>
      </c>
      <c r="M28" s="20" t="s">
        <v>25</v>
      </c>
      <c r="N28" s="20"/>
      <c r="O28" s="13" t="s">
        <v>3</v>
      </c>
      <c r="P28" s="13" t="s">
        <v>4</v>
      </c>
      <c r="Q28" s="22" t="s">
        <v>1118</v>
      </c>
      <c r="R28" s="44">
        <v>17395</v>
      </c>
      <c r="S28" s="13" t="s">
        <v>456</v>
      </c>
      <c r="T28" s="13" t="s">
        <v>1387</v>
      </c>
      <c r="U28" s="13" t="s">
        <v>479</v>
      </c>
      <c r="V28" s="13" t="s">
        <v>482</v>
      </c>
      <c r="W28" s="13" t="s">
        <v>570</v>
      </c>
      <c r="X28" s="13" t="s">
        <v>570</v>
      </c>
      <c r="Y28" s="13" t="s">
        <v>503</v>
      </c>
      <c r="Z28" s="13" t="s">
        <v>503</v>
      </c>
      <c r="AA28" s="41"/>
      <c r="AB28" s="29">
        <v>6991.07</v>
      </c>
      <c r="AC28" s="29">
        <v>0</v>
      </c>
      <c r="AD28" s="29">
        <v>6991.07</v>
      </c>
      <c r="AE28" s="29">
        <v>0</v>
      </c>
      <c r="AF28" s="29">
        <f t="shared" si="4"/>
        <v>6991.07</v>
      </c>
      <c r="AG28" s="25">
        <v>0.12</v>
      </c>
      <c r="AH28" s="29">
        <f t="shared" si="5"/>
        <v>838.9283999999999</v>
      </c>
      <c r="AI28" s="29">
        <f t="shared" si="6"/>
        <v>0</v>
      </c>
      <c r="AJ28" s="29">
        <f t="shared" si="0"/>
        <v>7829.9984000000004</v>
      </c>
      <c r="AK28" s="126">
        <v>6991.07</v>
      </c>
      <c r="AL28" s="126">
        <f t="shared" si="14"/>
        <v>0</v>
      </c>
      <c r="AM28" s="126"/>
      <c r="AN28" s="41"/>
      <c r="AO28" s="41">
        <v>6991.07</v>
      </c>
      <c r="AP28" s="41"/>
      <c r="AQ28" s="41">
        <v>6991.07</v>
      </c>
      <c r="AR28" s="35">
        <v>0.14000000000000001</v>
      </c>
      <c r="AS28" s="41">
        <f t="shared" ref="AS28:AS38" si="15">AQ28*0.14</f>
        <v>978.74980000000005</v>
      </c>
      <c r="AT28" s="41">
        <f t="shared" ref="AT28:AT37" si="16">AQ28*1.14</f>
        <v>7969.8197999999993</v>
      </c>
      <c r="AU28" s="128"/>
      <c r="AV28" s="128"/>
      <c r="AW28" s="128"/>
      <c r="AX28" s="128"/>
      <c r="AY28" s="128"/>
      <c r="AZ28" s="128"/>
      <c r="BA28" s="128"/>
      <c r="BB28" s="128"/>
      <c r="BC28" s="128"/>
      <c r="BD28" s="129"/>
      <c r="BE28" s="129"/>
      <c r="BF28" s="29">
        <f t="shared" si="13"/>
        <v>0</v>
      </c>
      <c r="BG28" s="29">
        <f t="shared" si="11"/>
        <v>0</v>
      </c>
      <c r="BH28" s="37"/>
      <c r="BI28" s="29" t="s">
        <v>570</v>
      </c>
      <c r="BJ28" s="29" t="s">
        <v>570</v>
      </c>
      <c r="BK28" s="29" t="s">
        <v>570</v>
      </c>
      <c r="BL28" s="29" t="s">
        <v>570</v>
      </c>
      <c r="BM28" s="29" t="s">
        <v>570</v>
      </c>
      <c r="BN28" s="102">
        <v>42285</v>
      </c>
      <c r="BO28" s="102">
        <v>42306</v>
      </c>
      <c r="BP28" s="102">
        <v>42316</v>
      </c>
      <c r="BQ28" s="102">
        <v>42317</v>
      </c>
      <c r="BR28" s="102"/>
      <c r="BS28" s="102"/>
      <c r="BT28" s="102"/>
      <c r="BU28" s="13" t="s">
        <v>570</v>
      </c>
      <c r="BV28" s="13" t="s">
        <v>570</v>
      </c>
      <c r="BW28" s="224" t="s">
        <v>570</v>
      </c>
      <c r="BX28" s="22"/>
      <c r="BY28" s="22"/>
      <c r="BZ28" s="22">
        <v>42555</v>
      </c>
      <c r="CA28" s="22">
        <v>42599</v>
      </c>
      <c r="CB28" s="224" t="s">
        <v>570</v>
      </c>
      <c r="CC28" s="224" t="s">
        <v>570</v>
      </c>
      <c r="CD28" s="224" t="s">
        <v>570</v>
      </c>
      <c r="CE28" s="22"/>
      <c r="CF28" s="22"/>
      <c r="CG28" s="22"/>
      <c r="CH28" s="22"/>
      <c r="CI28" s="22"/>
      <c r="CJ28" s="22"/>
      <c r="CK28" s="22"/>
      <c r="CL28" s="22"/>
      <c r="CM28" s="22"/>
      <c r="CN28" s="22"/>
      <c r="CO28" s="22"/>
      <c r="CP28" s="22"/>
      <c r="CQ28" s="22"/>
      <c r="CR28" s="127" t="s">
        <v>829</v>
      </c>
      <c r="CS28" s="13" t="s">
        <v>570</v>
      </c>
      <c r="CT28" s="13" t="s">
        <v>570</v>
      </c>
      <c r="CU28" s="13" t="s">
        <v>570</v>
      </c>
      <c r="CV28" s="23"/>
      <c r="CW28" s="13"/>
      <c r="CX28" s="170" t="s">
        <v>1403</v>
      </c>
      <c r="CY28" s="230">
        <v>42780</v>
      </c>
      <c r="CZ28" s="54">
        <v>6991.07</v>
      </c>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31">
        <f t="shared" si="12"/>
        <v>6991.07</v>
      </c>
      <c r="DZ28" s="13"/>
      <c r="EA28" s="13"/>
      <c r="EB28" s="13"/>
      <c r="EC28" s="13"/>
      <c r="ED28" s="13"/>
      <c r="EE28" s="13"/>
      <c r="EF28" s="13"/>
      <c r="EG28" s="13">
        <v>15</v>
      </c>
      <c r="EH28" s="13"/>
      <c r="EI28" s="13"/>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5">
        <v>1</v>
      </c>
      <c r="FT28" s="25">
        <v>1</v>
      </c>
      <c r="FU28" s="25">
        <v>1</v>
      </c>
      <c r="FV28" s="25">
        <v>1</v>
      </c>
      <c r="FW28" s="25">
        <v>1</v>
      </c>
      <c r="FX28" s="25">
        <v>1</v>
      </c>
      <c r="FY28" s="25">
        <v>1</v>
      </c>
      <c r="FZ28" s="25">
        <v>1</v>
      </c>
      <c r="GA28" s="25">
        <v>1</v>
      </c>
      <c r="GB28" s="25">
        <v>1</v>
      </c>
      <c r="GC28" s="25">
        <v>1</v>
      </c>
      <c r="GD28" s="25">
        <v>1</v>
      </c>
      <c r="GE28" s="25">
        <v>1</v>
      </c>
      <c r="GF28" s="25">
        <v>1</v>
      </c>
      <c r="GG28" s="25">
        <v>1</v>
      </c>
      <c r="GH28" s="25">
        <v>1</v>
      </c>
      <c r="GI28" s="25">
        <v>1</v>
      </c>
      <c r="GJ28" s="25">
        <v>1</v>
      </c>
      <c r="GK28" s="25">
        <v>1</v>
      </c>
      <c r="GL28" s="25">
        <v>1</v>
      </c>
      <c r="GM28" s="25">
        <v>1</v>
      </c>
      <c r="GN28" s="25">
        <v>1</v>
      </c>
      <c r="GO28" s="25">
        <v>1</v>
      </c>
      <c r="GP28" s="25">
        <v>1</v>
      </c>
      <c r="GQ28" s="25">
        <v>1</v>
      </c>
      <c r="GR28" s="25">
        <v>1</v>
      </c>
      <c r="GS28" s="25">
        <v>1</v>
      </c>
      <c r="GT28" s="25">
        <v>1</v>
      </c>
      <c r="GU28" s="25">
        <v>1</v>
      </c>
      <c r="GV28" s="25" t="s">
        <v>455</v>
      </c>
      <c r="GW28" s="25" t="s">
        <v>455</v>
      </c>
      <c r="GX28" s="25" t="s">
        <v>455</v>
      </c>
      <c r="GY28" s="25" t="s">
        <v>455</v>
      </c>
      <c r="GZ28" s="25" t="s">
        <v>455</v>
      </c>
      <c r="HA28" s="25" t="s">
        <v>455</v>
      </c>
      <c r="HB28" s="25" t="s">
        <v>455</v>
      </c>
      <c r="HC28" s="25" t="s">
        <v>455</v>
      </c>
      <c r="HD28" s="25" t="s">
        <v>455</v>
      </c>
      <c r="HE28" s="25" t="s">
        <v>455</v>
      </c>
      <c r="HF28" s="25" t="s">
        <v>455</v>
      </c>
      <c r="HG28" s="25" t="s">
        <v>455</v>
      </c>
      <c r="HH28" s="25" t="s">
        <v>455</v>
      </c>
      <c r="HI28" s="25"/>
      <c r="HJ28" s="25"/>
      <c r="HK28" s="25"/>
      <c r="HL28" s="25"/>
      <c r="HM28" s="25"/>
      <c r="HN28" s="25"/>
      <c r="HO28" s="25"/>
      <c r="HP28" s="25"/>
      <c r="HQ28" s="25"/>
      <c r="HR28" s="25"/>
      <c r="HS28" s="25"/>
      <c r="HT28" s="25"/>
      <c r="HU28" s="13" t="s">
        <v>483</v>
      </c>
      <c r="HV28" s="13"/>
      <c r="HW28" s="13"/>
      <c r="HX28" s="55"/>
      <c r="HY28" s="55"/>
      <c r="HZ28" s="55"/>
      <c r="IA28" s="55"/>
      <c r="IB28" s="55"/>
      <c r="IC28" s="55"/>
      <c r="ID28" s="55"/>
      <c r="IE28" s="55"/>
      <c r="IF28" s="107">
        <v>6991.07</v>
      </c>
      <c r="IG28" s="107">
        <v>6991.07</v>
      </c>
      <c r="IH28" s="250">
        <f t="shared" si="3"/>
        <v>0</v>
      </c>
      <c r="II28" s="55"/>
      <c r="IJ28" s="55"/>
      <c r="IK28" s="55"/>
      <c r="IL28" s="55"/>
      <c r="IM28" s="55"/>
      <c r="IN28" s="55"/>
      <c r="IO28" s="55"/>
      <c r="IP28" s="55"/>
      <c r="IQ28" s="55"/>
      <c r="IR28" s="55"/>
      <c r="IS28" s="55"/>
      <c r="IT28" s="55"/>
      <c r="IU28" s="55"/>
      <c r="IV28" s="55"/>
      <c r="IW28" s="55"/>
      <c r="IX28" s="55"/>
      <c r="IY28" s="55"/>
      <c r="IZ28" s="55"/>
      <c r="JA28" s="55"/>
      <c r="JB28" s="55"/>
      <c r="JC28" s="55"/>
      <c r="JD28" s="55">
        <v>2016</v>
      </c>
    </row>
    <row r="29" spans="1:411" s="5" customFormat="1" ht="24.95" hidden="1" customHeight="1">
      <c r="A29" s="26" t="s">
        <v>0</v>
      </c>
      <c r="B29" s="26" t="s">
        <v>1</v>
      </c>
      <c r="C29" s="13" t="s">
        <v>358</v>
      </c>
      <c r="D29" s="13" t="s">
        <v>379</v>
      </c>
      <c r="E29" s="16" t="s">
        <v>359</v>
      </c>
      <c r="F29" s="13" t="s">
        <v>359</v>
      </c>
      <c r="G29" s="39" t="s">
        <v>354</v>
      </c>
      <c r="H29" s="13" t="s">
        <v>1558</v>
      </c>
      <c r="I29" s="21" t="s">
        <v>25</v>
      </c>
      <c r="J29" s="13" t="s">
        <v>1391</v>
      </c>
      <c r="K29" s="13" t="s">
        <v>1391</v>
      </c>
      <c r="L29" s="26" t="s">
        <v>24</v>
      </c>
      <c r="M29" s="20" t="s">
        <v>25</v>
      </c>
      <c r="N29" s="20"/>
      <c r="O29" s="13" t="s">
        <v>3</v>
      </c>
      <c r="P29" s="13" t="s">
        <v>4</v>
      </c>
      <c r="Q29" s="22" t="s">
        <v>1118</v>
      </c>
      <c r="R29" s="44">
        <v>17395</v>
      </c>
      <c r="S29" s="13" t="s">
        <v>456</v>
      </c>
      <c r="T29" s="13" t="s">
        <v>1387</v>
      </c>
      <c r="U29" s="13" t="s">
        <v>479</v>
      </c>
      <c r="V29" s="13" t="s">
        <v>482</v>
      </c>
      <c r="W29" s="13" t="s">
        <v>570</v>
      </c>
      <c r="X29" s="13" t="s">
        <v>570</v>
      </c>
      <c r="Y29" s="13" t="s">
        <v>503</v>
      </c>
      <c r="Z29" s="13" t="s">
        <v>503</v>
      </c>
      <c r="AA29" s="41"/>
      <c r="AB29" s="29">
        <v>6991.07</v>
      </c>
      <c r="AC29" s="29">
        <v>0</v>
      </c>
      <c r="AD29" s="29">
        <v>6991.07</v>
      </c>
      <c r="AE29" s="29">
        <v>0</v>
      </c>
      <c r="AF29" s="29">
        <f t="shared" si="4"/>
        <v>6991.07</v>
      </c>
      <c r="AG29" s="25">
        <v>0.12</v>
      </c>
      <c r="AH29" s="29">
        <f t="shared" si="5"/>
        <v>838.9283999999999</v>
      </c>
      <c r="AI29" s="29">
        <f t="shared" si="6"/>
        <v>0</v>
      </c>
      <c r="AJ29" s="29">
        <f t="shared" si="0"/>
        <v>7829.9984000000004</v>
      </c>
      <c r="AK29" s="126">
        <v>6991.07</v>
      </c>
      <c r="AL29" s="126">
        <f t="shared" si="14"/>
        <v>0</v>
      </c>
      <c r="AM29" s="126"/>
      <c r="AN29" s="41"/>
      <c r="AO29" s="41">
        <v>6991.07</v>
      </c>
      <c r="AP29" s="41"/>
      <c r="AQ29" s="41">
        <v>6991.07</v>
      </c>
      <c r="AR29" s="35">
        <v>0.14000000000000001</v>
      </c>
      <c r="AS29" s="41">
        <f t="shared" si="15"/>
        <v>978.74980000000005</v>
      </c>
      <c r="AT29" s="41">
        <f t="shared" si="16"/>
        <v>7969.8197999999993</v>
      </c>
      <c r="AU29" s="128"/>
      <c r="AV29" s="128"/>
      <c r="AW29" s="128"/>
      <c r="AX29" s="128"/>
      <c r="AY29" s="128"/>
      <c r="AZ29" s="128"/>
      <c r="BA29" s="128"/>
      <c r="BB29" s="128"/>
      <c r="BC29" s="128"/>
      <c r="BD29" s="129"/>
      <c r="BE29" s="129"/>
      <c r="BF29" s="29">
        <f t="shared" si="13"/>
        <v>0</v>
      </c>
      <c r="BG29" s="29">
        <f t="shared" si="11"/>
        <v>0</v>
      </c>
      <c r="BH29" s="37"/>
      <c r="BI29" s="29" t="s">
        <v>570</v>
      </c>
      <c r="BJ29" s="29" t="s">
        <v>570</v>
      </c>
      <c r="BK29" s="29" t="s">
        <v>570</v>
      </c>
      <c r="BL29" s="29" t="s">
        <v>570</v>
      </c>
      <c r="BM29" s="29" t="s">
        <v>570</v>
      </c>
      <c r="BN29" s="102">
        <v>42285</v>
      </c>
      <c r="BO29" s="102">
        <v>42306</v>
      </c>
      <c r="BP29" s="102">
        <v>42316</v>
      </c>
      <c r="BQ29" s="102">
        <v>42317</v>
      </c>
      <c r="BR29" s="102"/>
      <c r="BS29" s="102"/>
      <c r="BT29" s="102"/>
      <c r="BU29" s="13" t="s">
        <v>570</v>
      </c>
      <c r="BV29" s="13" t="s">
        <v>570</v>
      </c>
      <c r="BW29" s="224" t="s">
        <v>570</v>
      </c>
      <c r="BX29" s="22"/>
      <c r="BY29" s="22"/>
      <c r="BZ29" s="22">
        <v>42555</v>
      </c>
      <c r="CA29" s="22">
        <v>42599</v>
      </c>
      <c r="CB29" s="224" t="s">
        <v>570</v>
      </c>
      <c r="CC29" s="224" t="s">
        <v>570</v>
      </c>
      <c r="CD29" s="224" t="s">
        <v>570</v>
      </c>
      <c r="CE29" s="22"/>
      <c r="CF29" s="22"/>
      <c r="CG29" s="22"/>
      <c r="CH29" s="22"/>
      <c r="CI29" s="22"/>
      <c r="CJ29" s="22"/>
      <c r="CK29" s="22"/>
      <c r="CL29" s="22"/>
      <c r="CM29" s="22"/>
      <c r="CN29" s="22"/>
      <c r="CO29" s="22"/>
      <c r="CP29" s="22"/>
      <c r="CQ29" s="22"/>
      <c r="CR29" s="127" t="s">
        <v>829</v>
      </c>
      <c r="CS29" s="13" t="s">
        <v>570</v>
      </c>
      <c r="CT29" s="13" t="s">
        <v>570</v>
      </c>
      <c r="CU29" s="13" t="s">
        <v>570</v>
      </c>
      <c r="CV29" s="23"/>
      <c r="CW29" s="13"/>
      <c r="CX29" s="134" t="s">
        <v>1404</v>
      </c>
      <c r="CY29" s="23">
        <v>42786</v>
      </c>
      <c r="CZ29" s="132">
        <v>6991.07</v>
      </c>
      <c r="DA29" s="13"/>
      <c r="DB29" s="13"/>
      <c r="DC29" s="37"/>
      <c r="DD29" s="13"/>
      <c r="DE29" s="13"/>
      <c r="DF29" s="13"/>
      <c r="DG29" s="13"/>
      <c r="DH29" s="13"/>
      <c r="DI29" s="13"/>
      <c r="DJ29" s="13"/>
      <c r="DK29" s="13"/>
      <c r="DL29" s="13"/>
      <c r="DM29" s="13"/>
      <c r="DN29" s="13"/>
      <c r="DO29" s="13"/>
      <c r="DP29" s="13"/>
      <c r="DQ29" s="13"/>
      <c r="DR29" s="13"/>
      <c r="DS29" s="13"/>
      <c r="DT29" s="13"/>
      <c r="DU29" s="13"/>
      <c r="DV29" s="13"/>
      <c r="DW29" s="13"/>
      <c r="DX29" s="13"/>
      <c r="DY29" s="31">
        <f t="shared" si="12"/>
        <v>6991.07</v>
      </c>
      <c r="DZ29" s="13"/>
      <c r="EA29" s="13"/>
      <c r="EB29" s="13"/>
      <c r="EC29" s="13"/>
      <c r="ED29" s="13"/>
      <c r="EE29" s="13"/>
      <c r="EF29" s="13"/>
      <c r="EG29" s="13">
        <v>15</v>
      </c>
      <c r="EH29" s="13"/>
      <c r="EI29" s="13"/>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5">
        <v>1</v>
      </c>
      <c r="FT29" s="25">
        <v>1</v>
      </c>
      <c r="FU29" s="25">
        <v>1</v>
      </c>
      <c r="FV29" s="25">
        <v>1</v>
      </c>
      <c r="FW29" s="25">
        <v>1</v>
      </c>
      <c r="FX29" s="25">
        <v>1</v>
      </c>
      <c r="FY29" s="25">
        <v>1</v>
      </c>
      <c r="FZ29" s="25">
        <v>1</v>
      </c>
      <c r="GA29" s="25">
        <v>1</v>
      </c>
      <c r="GB29" s="25">
        <v>1</v>
      </c>
      <c r="GC29" s="25">
        <v>1</v>
      </c>
      <c r="GD29" s="25">
        <v>1</v>
      </c>
      <c r="GE29" s="25">
        <v>1</v>
      </c>
      <c r="GF29" s="25">
        <v>1</v>
      </c>
      <c r="GG29" s="25">
        <v>1</v>
      </c>
      <c r="GH29" s="25">
        <v>1</v>
      </c>
      <c r="GI29" s="25">
        <v>1</v>
      </c>
      <c r="GJ29" s="25">
        <v>1</v>
      </c>
      <c r="GK29" s="25">
        <v>1</v>
      </c>
      <c r="GL29" s="25">
        <v>1</v>
      </c>
      <c r="GM29" s="25">
        <v>1</v>
      </c>
      <c r="GN29" s="25">
        <v>1</v>
      </c>
      <c r="GO29" s="25">
        <v>1</v>
      </c>
      <c r="GP29" s="25">
        <v>1</v>
      </c>
      <c r="GQ29" s="25">
        <v>1</v>
      </c>
      <c r="GR29" s="25">
        <v>1</v>
      </c>
      <c r="GS29" s="25">
        <v>1</v>
      </c>
      <c r="GT29" s="25">
        <v>1</v>
      </c>
      <c r="GU29" s="25">
        <v>1</v>
      </c>
      <c r="GV29" s="25" t="s">
        <v>455</v>
      </c>
      <c r="GW29" s="25" t="s">
        <v>455</v>
      </c>
      <c r="GX29" s="25" t="s">
        <v>455</v>
      </c>
      <c r="GY29" s="25" t="s">
        <v>455</v>
      </c>
      <c r="GZ29" s="25" t="s">
        <v>455</v>
      </c>
      <c r="HA29" s="25" t="s">
        <v>455</v>
      </c>
      <c r="HB29" s="25" t="s">
        <v>455</v>
      </c>
      <c r="HC29" s="25" t="s">
        <v>455</v>
      </c>
      <c r="HD29" s="25" t="s">
        <v>455</v>
      </c>
      <c r="HE29" s="25" t="s">
        <v>455</v>
      </c>
      <c r="HF29" s="25" t="s">
        <v>455</v>
      </c>
      <c r="HG29" s="25" t="s">
        <v>455</v>
      </c>
      <c r="HH29" s="25" t="s">
        <v>455</v>
      </c>
      <c r="HI29" s="25"/>
      <c r="HJ29" s="25"/>
      <c r="HK29" s="25"/>
      <c r="HL29" s="25"/>
      <c r="HM29" s="25"/>
      <c r="HN29" s="25"/>
      <c r="HO29" s="25"/>
      <c r="HP29" s="25"/>
      <c r="HQ29" s="25"/>
      <c r="HR29" s="25"/>
      <c r="HS29" s="25"/>
      <c r="HT29" s="25"/>
      <c r="HU29" s="13" t="s">
        <v>483</v>
      </c>
      <c r="HV29" s="13"/>
      <c r="HW29" s="32"/>
      <c r="HX29" s="55"/>
      <c r="HY29" s="55"/>
      <c r="HZ29" s="55"/>
      <c r="IA29" s="55"/>
      <c r="IB29" s="55"/>
      <c r="IC29" s="55"/>
      <c r="ID29" s="55"/>
      <c r="IE29" s="55"/>
      <c r="IF29" s="107">
        <v>6991.07</v>
      </c>
      <c r="IG29" s="107">
        <v>6991.07</v>
      </c>
      <c r="IH29" s="250">
        <f t="shared" si="3"/>
        <v>0</v>
      </c>
      <c r="II29" s="55"/>
      <c r="IJ29" s="55"/>
      <c r="IK29" s="55"/>
      <c r="IL29" s="55"/>
      <c r="IM29" s="55"/>
      <c r="IN29" s="55"/>
      <c r="IO29" s="55"/>
      <c r="IP29" s="55"/>
      <c r="IQ29" s="55"/>
      <c r="IR29" s="55"/>
      <c r="IS29" s="55"/>
      <c r="IT29" s="55"/>
      <c r="IU29" s="55"/>
      <c r="IV29" s="55"/>
      <c r="IW29" s="55"/>
      <c r="IX29" s="55"/>
      <c r="IY29" s="55"/>
      <c r="IZ29" s="55"/>
      <c r="JA29" s="55"/>
      <c r="JB29" s="55"/>
      <c r="JC29" s="55"/>
      <c r="JD29" s="55">
        <v>2016</v>
      </c>
    </row>
    <row r="30" spans="1:411" s="5" customFormat="1" ht="24.95" hidden="1" customHeight="1">
      <c r="A30" s="26" t="s">
        <v>44</v>
      </c>
      <c r="B30" s="26" t="s">
        <v>1</v>
      </c>
      <c r="C30" s="13" t="s">
        <v>358</v>
      </c>
      <c r="D30" s="13" t="s">
        <v>379</v>
      </c>
      <c r="E30" s="16" t="s">
        <v>359</v>
      </c>
      <c r="F30" s="13" t="s">
        <v>359</v>
      </c>
      <c r="G30" s="39" t="s">
        <v>354</v>
      </c>
      <c r="H30" s="13" t="s">
        <v>1556</v>
      </c>
      <c r="I30" s="21" t="s">
        <v>25</v>
      </c>
      <c r="J30" s="13" t="s">
        <v>1391</v>
      </c>
      <c r="K30" s="13" t="s">
        <v>1391</v>
      </c>
      <c r="L30" s="26" t="s">
        <v>24</v>
      </c>
      <c r="M30" s="20" t="s">
        <v>25</v>
      </c>
      <c r="N30" s="20"/>
      <c r="O30" s="13" t="s">
        <v>3</v>
      </c>
      <c r="P30" s="13" t="s">
        <v>4</v>
      </c>
      <c r="Q30" s="22" t="s">
        <v>1118</v>
      </c>
      <c r="R30" s="44">
        <v>17395</v>
      </c>
      <c r="S30" s="13" t="s">
        <v>456</v>
      </c>
      <c r="T30" s="13" t="s">
        <v>1387</v>
      </c>
      <c r="U30" s="13" t="s">
        <v>479</v>
      </c>
      <c r="V30" s="13" t="s">
        <v>482</v>
      </c>
      <c r="W30" s="13" t="s">
        <v>570</v>
      </c>
      <c r="X30" s="13" t="s">
        <v>570</v>
      </c>
      <c r="Y30" s="13" t="s">
        <v>503</v>
      </c>
      <c r="Z30" s="13" t="s">
        <v>503</v>
      </c>
      <c r="AA30" s="41"/>
      <c r="AB30" s="45">
        <v>6991.07</v>
      </c>
      <c r="AC30" s="29">
        <v>0</v>
      </c>
      <c r="AD30" s="41">
        <v>6991.07</v>
      </c>
      <c r="AE30" s="29">
        <v>0</v>
      </c>
      <c r="AF30" s="29">
        <f t="shared" si="4"/>
        <v>6991.07</v>
      </c>
      <c r="AG30" s="25">
        <v>0.12</v>
      </c>
      <c r="AH30" s="29">
        <f t="shared" si="5"/>
        <v>838.9283999999999</v>
      </c>
      <c r="AI30" s="29">
        <f t="shared" si="6"/>
        <v>0</v>
      </c>
      <c r="AJ30" s="29">
        <f t="shared" si="0"/>
        <v>7829.9984000000004</v>
      </c>
      <c r="AK30" s="126">
        <v>6991.07</v>
      </c>
      <c r="AL30" s="126">
        <f t="shared" si="14"/>
        <v>0</v>
      </c>
      <c r="AM30" s="126"/>
      <c r="AN30" s="41"/>
      <c r="AO30" s="41">
        <v>6991.07</v>
      </c>
      <c r="AP30" s="41"/>
      <c r="AQ30" s="41">
        <v>6991.07</v>
      </c>
      <c r="AR30" s="35">
        <v>0.14000000000000001</v>
      </c>
      <c r="AS30" s="41">
        <f t="shared" si="15"/>
        <v>978.74980000000005</v>
      </c>
      <c r="AT30" s="41">
        <f t="shared" si="16"/>
        <v>7969.8197999999993</v>
      </c>
      <c r="AU30" s="41"/>
      <c r="AV30" s="41"/>
      <c r="AW30" s="41"/>
      <c r="AX30" s="41"/>
      <c r="AY30" s="41"/>
      <c r="AZ30" s="41"/>
      <c r="BA30" s="41"/>
      <c r="BB30" s="41"/>
      <c r="BC30" s="41"/>
      <c r="BD30" s="37"/>
      <c r="BE30" s="37"/>
      <c r="BF30" s="29">
        <f t="shared" si="13"/>
        <v>0</v>
      </c>
      <c r="BG30" s="29">
        <f t="shared" si="11"/>
        <v>0</v>
      </c>
      <c r="BH30" s="37" t="s">
        <v>1563</v>
      </c>
      <c r="BI30" s="29" t="s">
        <v>570</v>
      </c>
      <c r="BJ30" s="29" t="s">
        <v>570</v>
      </c>
      <c r="BK30" s="29" t="s">
        <v>570</v>
      </c>
      <c r="BL30" s="29" t="s">
        <v>570</v>
      </c>
      <c r="BM30" s="29" t="s">
        <v>570</v>
      </c>
      <c r="BN30" s="102">
        <v>42285</v>
      </c>
      <c r="BO30" s="102">
        <v>42306</v>
      </c>
      <c r="BP30" s="102">
        <v>42316</v>
      </c>
      <c r="BQ30" s="102">
        <v>42317</v>
      </c>
      <c r="BR30" s="102" t="s">
        <v>570</v>
      </c>
      <c r="BS30" s="102" t="s">
        <v>503</v>
      </c>
      <c r="BT30" s="102" t="s">
        <v>503</v>
      </c>
      <c r="BU30" s="13" t="s">
        <v>570</v>
      </c>
      <c r="BV30" s="13" t="s">
        <v>570</v>
      </c>
      <c r="BW30" s="224" t="s">
        <v>570</v>
      </c>
      <c r="BX30" s="22" t="s">
        <v>503</v>
      </c>
      <c r="BY30" s="22" t="s">
        <v>570</v>
      </c>
      <c r="BZ30" s="22">
        <v>42555</v>
      </c>
      <c r="CA30" s="22">
        <v>42599</v>
      </c>
      <c r="CB30" s="224" t="s">
        <v>570</v>
      </c>
      <c r="CC30" s="224" t="s">
        <v>570</v>
      </c>
      <c r="CD30" s="224" t="s">
        <v>570</v>
      </c>
      <c r="CE30" s="22"/>
      <c r="CF30" s="127" t="s">
        <v>829</v>
      </c>
      <c r="CG30" s="22"/>
      <c r="CH30" s="22"/>
      <c r="CI30" s="22"/>
      <c r="CJ30" s="22"/>
      <c r="CK30" s="22"/>
      <c r="CL30" s="22"/>
      <c r="CM30" s="22"/>
      <c r="CN30" s="22"/>
      <c r="CO30" s="22"/>
      <c r="CP30" s="22"/>
      <c r="CQ30" s="22"/>
      <c r="CR30" s="127" t="s">
        <v>829</v>
      </c>
      <c r="CS30" s="13" t="s">
        <v>570</v>
      </c>
      <c r="CT30" s="13" t="s">
        <v>570</v>
      </c>
      <c r="CU30" s="13" t="s">
        <v>570</v>
      </c>
      <c r="CV30" s="23"/>
      <c r="CW30" s="13"/>
      <c r="CX30" s="46" t="s">
        <v>1418</v>
      </c>
      <c r="CY30" s="155">
        <v>42786</v>
      </c>
      <c r="CZ30" s="231">
        <v>6991.07</v>
      </c>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31">
        <f t="shared" si="12"/>
        <v>6991.07</v>
      </c>
      <c r="DZ30" s="13"/>
      <c r="EA30" s="13"/>
      <c r="EB30" s="13"/>
      <c r="EC30" s="13"/>
      <c r="ED30" s="13"/>
      <c r="EE30" s="13"/>
      <c r="EF30" s="13"/>
      <c r="EG30" s="13">
        <v>15</v>
      </c>
      <c r="EH30" s="13"/>
      <c r="EI30" s="13"/>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5">
        <v>1</v>
      </c>
      <c r="FT30" s="25">
        <v>1</v>
      </c>
      <c r="FU30" s="25">
        <v>1</v>
      </c>
      <c r="FV30" s="25">
        <v>1</v>
      </c>
      <c r="FW30" s="25">
        <v>1</v>
      </c>
      <c r="FX30" s="25">
        <v>1</v>
      </c>
      <c r="FY30" s="25">
        <v>1</v>
      </c>
      <c r="FZ30" s="25">
        <v>1</v>
      </c>
      <c r="GA30" s="25">
        <v>1</v>
      </c>
      <c r="GB30" s="25">
        <v>1</v>
      </c>
      <c r="GC30" s="25">
        <v>1</v>
      </c>
      <c r="GD30" s="25">
        <v>1</v>
      </c>
      <c r="GE30" s="25">
        <v>1</v>
      </c>
      <c r="GF30" s="25">
        <v>1</v>
      </c>
      <c r="GG30" s="25">
        <v>1</v>
      </c>
      <c r="GH30" s="25">
        <v>1</v>
      </c>
      <c r="GI30" s="25">
        <v>1</v>
      </c>
      <c r="GJ30" s="25">
        <v>1</v>
      </c>
      <c r="GK30" s="25">
        <v>1</v>
      </c>
      <c r="GL30" s="25">
        <v>1</v>
      </c>
      <c r="GM30" s="25">
        <v>1</v>
      </c>
      <c r="GN30" s="25">
        <v>1</v>
      </c>
      <c r="GO30" s="25">
        <v>1</v>
      </c>
      <c r="GP30" s="25">
        <v>1</v>
      </c>
      <c r="GQ30" s="25">
        <v>1</v>
      </c>
      <c r="GR30" s="25">
        <v>1</v>
      </c>
      <c r="GS30" s="25">
        <v>1</v>
      </c>
      <c r="GT30" s="25">
        <v>1</v>
      </c>
      <c r="GU30" s="25">
        <v>1</v>
      </c>
      <c r="GV30" s="25" t="s">
        <v>455</v>
      </c>
      <c r="GW30" s="25" t="s">
        <v>455</v>
      </c>
      <c r="GX30" s="25" t="s">
        <v>455</v>
      </c>
      <c r="GY30" s="25" t="s">
        <v>455</v>
      </c>
      <c r="GZ30" s="25" t="s">
        <v>455</v>
      </c>
      <c r="HA30" s="25" t="s">
        <v>455</v>
      </c>
      <c r="HB30" s="25" t="s">
        <v>455</v>
      </c>
      <c r="HC30" s="25" t="s">
        <v>455</v>
      </c>
      <c r="HD30" s="25" t="s">
        <v>455</v>
      </c>
      <c r="HE30" s="25" t="s">
        <v>455</v>
      </c>
      <c r="HF30" s="25" t="s">
        <v>455</v>
      </c>
      <c r="HG30" s="25" t="s">
        <v>455</v>
      </c>
      <c r="HH30" s="25" t="s">
        <v>455</v>
      </c>
      <c r="HI30" s="25"/>
      <c r="HJ30" s="25"/>
      <c r="HK30" s="25"/>
      <c r="HL30" s="25"/>
      <c r="HM30" s="25"/>
      <c r="HN30" s="25"/>
      <c r="HO30" s="25"/>
      <c r="HP30" s="25"/>
      <c r="HQ30" s="25"/>
      <c r="HR30" s="25"/>
      <c r="HS30" s="25"/>
      <c r="HT30" s="25"/>
      <c r="HU30" s="13" t="s">
        <v>483</v>
      </c>
      <c r="HV30" s="13"/>
      <c r="HW30" s="32"/>
      <c r="HX30" s="55"/>
      <c r="HY30" s="55"/>
      <c r="HZ30" s="55"/>
      <c r="IA30" s="55"/>
      <c r="IB30" s="55"/>
      <c r="IC30" s="55"/>
      <c r="ID30" s="55"/>
      <c r="IE30" s="55"/>
      <c r="IF30" s="107">
        <v>6991.07</v>
      </c>
      <c r="IG30" s="107">
        <v>6991.07</v>
      </c>
      <c r="IH30" s="250">
        <f t="shared" si="3"/>
        <v>0</v>
      </c>
      <c r="II30" s="55"/>
      <c r="IJ30" s="55"/>
      <c r="IK30" s="55"/>
      <c r="IL30" s="55"/>
      <c r="IM30" s="55"/>
      <c r="IN30" s="55"/>
      <c r="IO30" s="55"/>
      <c r="IP30" s="55"/>
      <c r="IQ30" s="55"/>
      <c r="IR30" s="55"/>
      <c r="IS30" s="55"/>
      <c r="IT30" s="55"/>
      <c r="IU30" s="55"/>
      <c r="IV30" s="55"/>
      <c r="IW30" s="55"/>
      <c r="IX30" s="55"/>
      <c r="IY30" s="55"/>
      <c r="IZ30" s="55"/>
      <c r="JA30" s="55"/>
      <c r="JB30" s="55"/>
      <c r="JC30" s="55"/>
      <c r="JD30" s="55">
        <v>2016</v>
      </c>
    </row>
    <row r="31" spans="1:411" s="5" customFormat="1" ht="24.95" hidden="1" customHeight="1">
      <c r="A31" s="26" t="s">
        <v>56</v>
      </c>
      <c r="B31" s="26" t="s">
        <v>1</v>
      </c>
      <c r="C31" s="13" t="s">
        <v>358</v>
      </c>
      <c r="D31" s="13" t="s">
        <v>379</v>
      </c>
      <c r="E31" s="16" t="s">
        <v>359</v>
      </c>
      <c r="F31" s="13" t="s">
        <v>359</v>
      </c>
      <c r="G31" s="39" t="s">
        <v>354</v>
      </c>
      <c r="H31" s="13" t="s">
        <v>1516</v>
      </c>
      <c r="I31" s="21" t="s">
        <v>25</v>
      </c>
      <c r="J31" s="13" t="s">
        <v>1391</v>
      </c>
      <c r="K31" s="13" t="s">
        <v>1391</v>
      </c>
      <c r="L31" s="26" t="s">
        <v>24</v>
      </c>
      <c r="M31" s="20" t="s">
        <v>25</v>
      </c>
      <c r="N31" s="20"/>
      <c r="O31" s="13" t="s">
        <v>3</v>
      </c>
      <c r="P31" s="13" t="s">
        <v>4</v>
      </c>
      <c r="Q31" s="22" t="s">
        <v>1118</v>
      </c>
      <c r="R31" s="44">
        <v>17395</v>
      </c>
      <c r="S31" s="13" t="s">
        <v>456</v>
      </c>
      <c r="T31" s="13" t="s">
        <v>1387</v>
      </c>
      <c r="U31" s="13" t="s">
        <v>479</v>
      </c>
      <c r="V31" s="13" t="s">
        <v>482</v>
      </c>
      <c r="W31" s="13" t="s">
        <v>570</v>
      </c>
      <c r="X31" s="13" t="s">
        <v>570</v>
      </c>
      <c r="Y31" s="13" t="s">
        <v>503</v>
      </c>
      <c r="Z31" s="13" t="s">
        <v>503</v>
      </c>
      <c r="AA31" s="41"/>
      <c r="AB31" s="29">
        <v>2790.9</v>
      </c>
      <c r="AC31" s="29">
        <v>0</v>
      </c>
      <c r="AD31" s="29">
        <v>2790.9</v>
      </c>
      <c r="AE31" s="29">
        <v>0</v>
      </c>
      <c r="AF31" s="29">
        <f t="shared" si="4"/>
        <v>2790.9</v>
      </c>
      <c r="AG31" s="25">
        <v>0.12</v>
      </c>
      <c r="AH31" s="29">
        <f t="shared" si="5"/>
        <v>334.90800000000002</v>
      </c>
      <c r="AI31" s="29">
        <f t="shared" si="6"/>
        <v>0</v>
      </c>
      <c r="AJ31" s="29">
        <f t="shared" si="0"/>
        <v>3125.8080000000004</v>
      </c>
      <c r="AK31" s="126">
        <v>2790.9</v>
      </c>
      <c r="AL31" s="126">
        <f t="shared" si="14"/>
        <v>0</v>
      </c>
      <c r="AM31" s="126"/>
      <c r="AN31" s="41"/>
      <c r="AO31" s="41">
        <v>2790.9</v>
      </c>
      <c r="AP31" s="41"/>
      <c r="AQ31" s="41">
        <v>2790.9</v>
      </c>
      <c r="AR31" s="35">
        <v>0.14000000000000001</v>
      </c>
      <c r="AS31" s="41">
        <f t="shared" si="15"/>
        <v>390.72600000000006</v>
      </c>
      <c r="AT31" s="41">
        <f t="shared" si="16"/>
        <v>3181.6259999999997</v>
      </c>
      <c r="AU31" s="128"/>
      <c r="AV31" s="128"/>
      <c r="AW31" s="128"/>
      <c r="AX31" s="128"/>
      <c r="AY31" s="128"/>
      <c r="AZ31" s="128"/>
      <c r="BA31" s="128"/>
      <c r="BB31" s="128"/>
      <c r="BC31" s="128"/>
      <c r="BD31" s="129"/>
      <c r="BE31" s="129"/>
      <c r="BF31" s="29">
        <f t="shared" si="13"/>
        <v>0</v>
      </c>
      <c r="BG31" s="29">
        <f t="shared" si="11"/>
        <v>0</v>
      </c>
      <c r="BH31" s="37"/>
      <c r="BI31" s="29" t="s">
        <v>570</v>
      </c>
      <c r="BJ31" s="29" t="s">
        <v>570</v>
      </c>
      <c r="BK31" s="29" t="s">
        <v>570</v>
      </c>
      <c r="BL31" s="29" t="s">
        <v>570</v>
      </c>
      <c r="BM31" s="29" t="s">
        <v>570</v>
      </c>
      <c r="BN31" s="102">
        <v>42285</v>
      </c>
      <c r="BO31" s="102">
        <v>42306</v>
      </c>
      <c r="BP31" s="102">
        <v>42316</v>
      </c>
      <c r="BQ31" s="102">
        <v>42317</v>
      </c>
      <c r="BR31" s="102"/>
      <c r="BS31" s="102"/>
      <c r="BT31" s="102"/>
      <c r="BU31" s="13" t="s">
        <v>570</v>
      </c>
      <c r="BV31" s="13" t="s">
        <v>570</v>
      </c>
      <c r="BW31" s="224" t="s">
        <v>570</v>
      </c>
      <c r="BX31" s="22"/>
      <c r="BY31" s="22"/>
      <c r="BZ31" s="22">
        <v>42555</v>
      </c>
      <c r="CA31" s="22">
        <v>42599</v>
      </c>
      <c r="CB31" s="224" t="s">
        <v>570</v>
      </c>
      <c r="CC31" s="224" t="s">
        <v>570</v>
      </c>
      <c r="CD31" s="224" t="s">
        <v>570</v>
      </c>
      <c r="CE31" s="22"/>
      <c r="CF31" s="22"/>
      <c r="CG31" s="22"/>
      <c r="CH31" s="22"/>
      <c r="CI31" s="22"/>
      <c r="CJ31" s="22"/>
      <c r="CK31" s="22"/>
      <c r="CL31" s="22"/>
      <c r="CM31" s="22"/>
      <c r="CN31" s="22"/>
      <c r="CO31" s="22"/>
      <c r="CP31" s="22"/>
      <c r="CQ31" s="22"/>
      <c r="CR31" s="127" t="s">
        <v>829</v>
      </c>
      <c r="CS31" s="13" t="s">
        <v>570</v>
      </c>
      <c r="CT31" s="13" t="s">
        <v>570</v>
      </c>
      <c r="CU31" s="13" t="s">
        <v>570</v>
      </c>
      <c r="CV31" s="23"/>
      <c r="CW31" s="13"/>
      <c r="CX31" s="133" t="s">
        <v>1419</v>
      </c>
      <c r="CY31" s="99">
        <v>42786</v>
      </c>
      <c r="CZ31" s="79">
        <v>2790.9</v>
      </c>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31">
        <f t="shared" si="12"/>
        <v>2790.9</v>
      </c>
      <c r="DZ31" s="13"/>
      <c r="EA31" s="13"/>
      <c r="EB31" s="13"/>
      <c r="EC31" s="13"/>
      <c r="ED31" s="13"/>
      <c r="EE31" s="13"/>
      <c r="EF31" s="13"/>
      <c r="EG31" s="13">
        <v>15</v>
      </c>
      <c r="EH31" s="13"/>
      <c r="EI31" s="13"/>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5">
        <v>1</v>
      </c>
      <c r="FT31" s="25">
        <v>1</v>
      </c>
      <c r="FU31" s="25">
        <v>1</v>
      </c>
      <c r="FV31" s="25">
        <v>1</v>
      </c>
      <c r="FW31" s="25">
        <v>1</v>
      </c>
      <c r="FX31" s="25">
        <v>1</v>
      </c>
      <c r="FY31" s="25">
        <v>1</v>
      </c>
      <c r="FZ31" s="25">
        <v>1</v>
      </c>
      <c r="GA31" s="25">
        <v>1</v>
      </c>
      <c r="GB31" s="25">
        <v>1</v>
      </c>
      <c r="GC31" s="25">
        <v>1</v>
      </c>
      <c r="GD31" s="25">
        <v>1</v>
      </c>
      <c r="GE31" s="25">
        <v>1</v>
      </c>
      <c r="GF31" s="25">
        <v>1</v>
      </c>
      <c r="GG31" s="25">
        <v>1</v>
      </c>
      <c r="GH31" s="25">
        <v>1</v>
      </c>
      <c r="GI31" s="25">
        <v>1</v>
      </c>
      <c r="GJ31" s="25">
        <v>1</v>
      </c>
      <c r="GK31" s="25">
        <v>1</v>
      </c>
      <c r="GL31" s="25">
        <v>1</v>
      </c>
      <c r="GM31" s="25">
        <v>1</v>
      </c>
      <c r="GN31" s="25">
        <v>1</v>
      </c>
      <c r="GO31" s="25">
        <v>1</v>
      </c>
      <c r="GP31" s="25">
        <v>1</v>
      </c>
      <c r="GQ31" s="25">
        <v>1</v>
      </c>
      <c r="GR31" s="25">
        <v>1</v>
      </c>
      <c r="GS31" s="25">
        <v>1</v>
      </c>
      <c r="GT31" s="25">
        <v>1</v>
      </c>
      <c r="GU31" s="25">
        <v>1</v>
      </c>
      <c r="GV31" s="25" t="s">
        <v>455</v>
      </c>
      <c r="GW31" s="25" t="s">
        <v>455</v>
      </c>
      <c r="GX31" s="25" t="s">
        <v>455</v>
      </c>
      <c r="GY31" s="25" t="s">
        <v>455</v>
      </c>
      <c r="GZ31" s="25" t="s">
        <v>455</v>
      </c>
      <c r="HA31" s="25" t="s">
        <v>455</v>
      </c>
      <c r="HB31" s="25" t="s">
        <v>455</v>
      </c>
      <c r="HC31" s="25" t="s">
        <v>455</v>
      </c>
      <c r="HD31" s="25" t="s">
        <v>455</v>
      </c>
      <c r="HE31" s="25" t="s">
        <v>455</v>
      </c>
      <c r="HF31" s="25" t="s">
        <v>455</v>
      </c>
      <c r="HG31" s="25" t="s">
        <v>455</v>
      </c>
      <c r="HH31" s="25" t="s">
        <v>455</v>
      </c>
      <c r="HI31" s="25"/>
      <c r="HJ31" s="25"/>
      <c r="HK31" s="25"/>
      <c r="HL31" s="25"/>
      <c r="HM31" s="25"/>
      <c r="HN31" s="25"/>
      <c r="HO31" s="25"/>
      <c r="HP31" s="25"/>
      <c r="HQ31" s="25"/>
      <c r="HR31" s="25"/>
      <c r="HS31" s="25"/>
      <c r="HT31" s="25"/>
      <c r="HU31" s="13" t="s">
        <v>483</v>
      </c>
      <c r="HV31" s="13"/>
      <c r="HW31" s="32"/>
      <c r="HX31" s="55"/>
      <c r="HY31" s="55"/>
      <c r="HZ31" s="55"/>
      <c r="IA31" s="55"/>
      <c r="IB31" s="55"/>
      <c r="IC31" s="55"/>
      <c r="ID31" s="55"/>
      <c r="IE31" s="55"/>
      <c r="IF31" s="107">
        <v>2790.9</v>
      </c>
      <c r="IG31" s="107">
        <v>2790.9</v>
      </c>
      <c r="IH31" s="250">
        <f t="shared" si="3"/>
        <v>0</v>
      </c>
      <c r="II31" s="55"/>
      <c r="IJ31" s="55"/>
      <c r="IK31" s="55"/>
      <c r="IL31" s="55"/>
      <c r="IM31" s="55"/>
      <c r="IN31" s="55"/>
      <c r="IO31" s="55"/>
      <c r="IP31" s="55"/>
      <c r="IQ31" s="55"/>
      <c r="IR31" s="55"/>
      <c r="IS31" s="55"/>
      <c r="IT31" s="55"/>
      <c r="IU31" s="55"/>
      <c r="IV31" s="55"/>
      <c r="IW31" s="55"/>
      <c r="IX31" s="55"/>
      <c r="IY31" s="55"/>
      <c r="IZ31" s="55"/>
      <c r="JA31" s="55"/>
      <c r="JB31" s="55"/>
      <c r="JC31" s="55"/>
      <c r="JD31" s="55">
        <v>2016</v>
      </c>
    </row>
    <row r="32" spans="1:411" s="5" customFormat="1" ht="24.95" hidden="1" customHeight="1">
      <c r="A32" s="26" t="s">
        <v>67</v>
      </c>
      <c r="B32" s="26" t="s">
        <v>1</v>
      </c>
      <c r="C32" s="13" t="s">
        <v>358</v>
      </c>
      <c r="D32" s="13" t="s">
        <v>379</v>
      </c>
      <c r="E32" s="16" t="s">
        <v>359</v>
      </c>
      <c r="F32" s="13" t="s">
        <v>359</v>
      </c>
      <c r="G32" s="39" t="s">
        <v>354</v>
      </c>
      <c r="H32" s="13" t="s">
        <v>1516</v>
      </c>
      <c r="I32" s="21" t="s">
        <v>25</v>
      </c>
      <c r="J32" s="13" t="s">
        <v>1391</v>
      </c>
      <c r="K32" s="13" t="s">
        <v>1391</v>
      </c>
      <c r="L32" s="26" t="s">
        <v>24</v>
      </c>
      <c r="M32" s="20" t="s">
        <v>25</v>
      </c>
      <c r="N32" s="20"/>
      <c r="O32" s="13" t="s">
        <v>3</v>
      </c>
      <c r="P32" s="13" t="s">
        <v>4</v>
      </c>
      <c r="Q32" s="22" t="s">
        <v>1118</v>
      </c>
      <c r="R32" s="44">
        <v>17395</v>
      </c>
      <c r="S32" s="13" t="s">
        <v>456</v>
      </c>
      <c r="T32" s="13" t="s">
        <v>1387</v>
      </c>
      <c r="U32" s="13" t="s">
        <v>479</v>
      </c>
      <c r="V32" s="13" t="s">
        <v>482</v>
      </c>
      <c r="W32" s="13" t="s">
        <v>570</v>
      </c>
      <c r="X32" s="13" t="s">
        <v>570</v>
      </c>
      <c r="Y32" s="13" t="s">
        <v>503</v>
      </c>
      <c r="Z32" s="13" t="s">
        <v>503</v>
      </c>
      <c r="AA32" s="41"/>
      <c r="AB32" s="29">
        <v>13982.14</v>
      </c>
      <c r="AC32" s="29">
        <v>0</v>
      </c>
      <c r="AD32" s="29">
        <v>13982.14</v>
      </c>
      <c r="AE32" s="29">
        <v>0</v>
      </c>
      <c r="AF32" s="29">
        <f t="shared" si="4"/>
        <v>13982.14</v>
      </c>
      <c r="AG32" s="25">
        <v>0.12</v>
      </c>
      <c r="AH32" s="29">
        <f t="shared" si="5"/>
        <v>1677.8567999999998</v>
      </c>
      <c r="AI32" s="29">
        <f t="shared" si="6"/>
        <v>0</v>
      </c>
      <c r="AJ32" s="29">
        <f t="shared" si="0"/>
        <v>15659.996800000001</v>
      </c>
      <c r="AK32" s="126">
        <v>13982.14</v>
      </c>
      <c r="AL32" s="126">
        <f t="shared" si="14"/>
        <v>0</v>
      </c>
      <c r="AM32" s="126"/>
      <c r="AN32" s="41"/>
      <c r="AO32" s="41">
        <v>13982.14</v>
      </c>
      <c r="AP32" s="41"/>
      <c r="AQ32" s="41">
        <v>13982.14</v>
      </c>
      <c r="AR32" s="35">
        <v>0.14000000000000001</v>
      </c>
      <c r="AS32" s="41">
        <f t="shared" si="15"/>
        <v>1957.4996000000001</v>
      </c>
      <c r="AT32" s="41">
        <f t="shared" si="16"/>
        <v>15939.639599999999</v>
      </c>
      <c r="AU32" s="128"/>
      <c r="AV32" s="128"/>
      <c r="AW32" s="128"/>
      <c r="AX32" s="128"/>
      <c r="AY32" s="128"/>
      <c r="AZ32" s="128"/>
      <c r="BA32" s="128"/>
      <c r="BB32" s="128"/>
      <c r="BC32" s="128"/>
      <c r="BD32" s="129"/>
      <c r="BE32" s="129"/>
      <c r="BF32" s="29">
        <f t="shared" si="13"/>
        <v>0</v>
      </c>
      <c r="BG32" s="29">
        <f t="shared" si="11"/>
        <v>0</v>
      </c>
      <c r="BH32" s="37"/>
      <c r="BI32" s="29" t="s">
        <v>570</v>
      </c>
      <c r="BJ32" s="29" t="s">
        <v>570</v>
      </c>
      <c r="BK32" s="29" t="s">
        <v>570</v>
      </c>
      <c r="BL32" s="29" t="s">
        <v>570</v>
      </c>
      <c r="BM32" s="29" t="s">
        <v>570</v>
      </c>
      <c r="BN32" s="102">
        <v>42285</v>
      </c>
      <c r="BO32" s="102">
        <v>42306</v>
      </c>
      <c r="BP32" s="102">
        <v>42316</v>
      </c>
      <c r="BQ32" s="102">
        <v>42317</v>
      </c>
      <c r="BR32" s="102"/>
      <c r="BS32" s="102"/>
      <c r="BT32" s="102"/>
      <c r="BU32" s="13" t="s">
        <v>570</v>
      </c>
      <c r="BV32" s="13" t="s">
        <v>570</v>
      </c>
      <c r="BW32" s="224" t="s">
        <v>570</v>
      </c>
      <c r="BX32" s="22"/>
      <c r="BY32" s="22"/>
      <c r="BZ32" s="22">
        <v>42555</v>
      </c>
      <c r="CA32" s="22">
        <v>42599</v>
      </c>
      <c r="CB32" s="224" t="s">
        <v>570</v>
      </c>
      <c r="CC32" s="224" t="s">
        <v>570</v>
      </c>
      <c r="CD32" s="224" t="s">
        <v>570</v>
      </c>
      <c r="CE32" s="22"/>
      <c r="CF32" s="22"/>
      <c r="CG32" s="22"/>
      <c r="CH32" s="22"/>
      <c r="CI32" s="22"/>
      <c r="CJ32" s="22"/>
      <c r="CK32" s="22"/>
      <c r="CL32" s="22"/>
      <c r="CM32" s="22"/>
      <c r="CN32" s="22"/>
      <c r="CO32" s="22"/>
      <c r="CP32" s="22"/>
      <c r="CQ32" s="22"/>
      <c r="CR32" s="127" t="s">
        <v>829</v>
      </c>
      <c r="CS32" s="13" t="s">
        <v>570</v>
      </c>
      <c r="CT32" s="13" t="s">
        <v>570</v>
      </c>
      <c r="CU32" s="13" t="s">
        <v>570</v>
      </c>
      <c r="CV32" s="23"/>
      <c r="CW32" s="13"/>
      <c r="CX32" s="160" t="s">
        <v>1433</v>
      </c>
      <c r="CY32" s="155">
        <v>42786</v>
      </c>
      <c r="CZ32" s="231">
        <v>13982.14</v>
      </c>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31">
        <f t="shared" si="12"/>
        <v>13982.14</v>
      </c>
      <c r="DZ32" s="13"/>
      <c r="EA32" s="13"/>
      <c r="EB32" s="13"/>
      <c r="EC32" s="13"/>
      <c r="ED32" s="13"/>
      <c r="EE32" s="13"/>
      <c r="EF32" s="13"/>
      <c r="EG32" s="13">
        <v>15</v>
      </c>
      <c r="EH32" s="13"/>
      <c r="EI32" s="13"/>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5">
        <v>1</v>
      </c>
      <c r="FT32" s="25">
        <v>1</v>
      </c>
      <c r="FU32" s="25">
        <v>1</v>
      </c>
      <c r="FV32" s="25">
        <v>1</v>
      </c>
      <c r="FW32" s="25">
        <v>1</v>
      </c>
      <c r="FX32" s="25">
        <v>1</v>
      </c>
      <c r="FY32" s="25">
        <v>1</v>
      </c>
      <c r="FZ32" s="25">
        <v>1</v>
      </c>
      <c r="GA32" s="25">
        <v>1</v>
      </c>
      <c r="GB32" s="25">
        <v>1</v>
      </c>
      <c r="GC32" s="25">
        <v>1</v>
      </c>
      <c r="GD32" s="25">
        <v>1</v>
      </c>
      <c r="GE32" s="25">
        <v>1</v>
      </c>
      <c r="GF32" s="25">
        <v>1</v>
      </c>
      <c r="GG32" s="25">
        <v>1</v>
      </c>
      <c r="GH32" s="25">
        <v>1</v>
      </c>
      <c r="GI32" s="25">
        <v>1</v>
      </c>
      <c r="GJ32" s="25">
        <v>1</v>
      </c>
      <c r="GK32" s="25">
        <v>1</v>
      </c>
      <c r="GL32" s="25">
        <v>1</v>
      </c>
      <c r="GM32" s="25">
        <v>1</v>
      </c>
      <c r="GN32" s="25">
        <v>1</v>
      </c>
      <c r="GO32" s="25">
        <v>1</v>
      </c>
      <c r="GP32" s="25">
        <v>1</v>
      </c>
      <c r="GQ32" s="25">
        <v>1</v>
      </c>
      <c r="GR32" s="25">
        <v>1</v>
      </c>
      <c r="GS32" s="25">
        <v>1</v>
      </c>
      <c r="GT32" s="25">
        <v>1</v>
      </c>
      <c r="GU32" s="25">
        <v>1</v>
      </c>
      <c r="GV32" s="25" t="s">
        <v>455</v>
      </c>
      <c r="GW32" s="25" t="s">
        <v>455</v>
      </c>
      <c r="GX32" s="25" t="s">
        <v>455</v>
      </c>
      <c r="GY32" s="25" t="s">
        <v>455</v>
      </c>
      <c r="GZ32" s="25" t="s">
        <v>455</v>
      </c>
      <c r="HA32" s="25" t="s">
        <v>455</v>
      </c>
      <c r="HB32" s="25" t="s">
        <v>455</v>
      </c>
      <c r="HC32" s="25" t="s">
        <v>455</v>
      </c>
      <c r="HD32" s="25" t="s">
        <v>455</v>
      </c>
      <c r="HE32" s="25" t="s">
        <v>455</v>
      </c>
      <c r="HF32" s="25" t="s">
        <v>455</v>
      </c>
      <c r="HG32" s="25" t="s">
        <v>455</v>
      </c>
      <c r="HH32" s="25" t="s">
        <v>455</v>
      </c>
      <c r="HI32" s="25"/>
      <c r="HJ32" s="25"/>
      <c r="HK32" s="25"/>
      <c r="HL32" s="25"/>
      <c r="HM32" s="25"/>
      <c r="HN32" s="25"/>
      <c r="HO32" s="25"/>
      <c r="HP32" s="25"/>
      <c r="HQ32" s="25"/>
      <c r="HR32" s="25"/>
      <c r="HS32" s="25"/>
      <c r="HT32" s="25"/>
      <c r="HU32" s="13" t="s">
        <v>483</v>
      </c>
      <c r="HV32" s="13"/>
      <c r="HW32" s="32"/>
      <c r="HX32" s="55"/>
      <c r="HY32" s="55"/>
      <c r="HZ32" s="55"/>
      <c r="IA32" s="55"/>
      <c r="IB32" s="55"/>
      <c r="IC32" s="55"/>
      <c r="ID32" s="55"/>
      <c r="IE32" s="55"/>
      <c r="IF32" s="107">
        <v>13982.14</v>
      </c>
      <c r="IG32" s="107">
        <v>13982.14</v>
      </c>
      <c r="IH32" s="250">
        <f t="shared" si="3"/>
        <v>0</v>
      </c>
      <c r="II32" s="55"/>
      <c r="IJ32" s="55"/>
      <c r="IK32" s="55"/>
      <c r="IL32" s="55"/>
      <c r="IM32" s="55"/>
      <c r="IN32" s="55"/>
      <c r="IO32" s="55"/>
      <c r="IP32" s="55"/>
      <c r="IQ32" s="55"/>
      <c r="IR32" s="55"/>
      <c r="IS32" s="55"/>
      <c r="IT32" s="55"/>
      <c r="IU32" s="55"/>
      <c r="IV32" s="55"/>
      <c r="IW32" s="55"/>
      <c r="IX32" s="55"/>
      <c r="IY32" s="55"/>
      <c r="IZ32" s="55"/>
      <c r="JA32" s="55"/>
      <c r="JB32" s="55"/>
      <c r="JC32" s="55"/>
      <c r="JD32" s="55">
        <v>2016</v>
      </c>
    </row>
    <row r="33" spans="1:411" s="5" customFormat="1" ht="24.95" hidden="1" customHeight="1">
      <c r="A33" s="26" t="s">
        <v>70</v>
      </c>
      <c r="B33" s="26" t="s">
        <v>1</v>
      </c>
      <c r="C33" s="13" t="s">
        <v>358</v>
      </c>
      <c r="D33" s="13" t="s">
        <v>379</v>
      </c>
      <c r="E33" s="16" t="s">
        <v>359</v>
      </c>
      <c r="F33" s="13" t="s">
        <v>359</v>
      </c>
      <c r="G33" s="39" t="s">
        <v>354</v>
      </c>
      <c r="H33" s="13" t="s">
        <v>1517</v>
      </c>
      <c r="I33" s="21" t="s">
        <v>25</v>
      </c>
      <c r="J33" s="13" t="s">
        <v>1391</v>
      </c>
      <c r="K33" s="13" t="s">
        <v>1391</v>
      </c>
      <c r="L33" s="26" t="s">
        <v>24</v>
      </c>
      <c r="M33" s="20" t="s">
        <v>25</v>
      </c>
      <c r="N33" s="20"/>
      <c r="O33" s="13" t="s">
        <v>3</v>
      </c>
      <c r="P33" s="13" t="s">
        <v>4</v>
      </c>
      <c r="Q33" s="22" t="s">
        <v>1118</v>
      </c>
      <c r="R33" s="44">
        <v>17395</v>
      </c>
      <c r="S33" s="13" t="s">
        <v>456</v>
      </c>
      <c r="T33" s="13" t="s">
        <v>1387</v>
      </c>
      <c r="U33" s="13" t="s">
        <v>479</v>
      </c>
      <c r="V33" s="13" t="s">
        <v>482</v>
      </c>
      <c r="W33" s="13" t="s">
        <v>570</v>
      </c>
      <c r="X33" s="13" t="s">
        <v>570</v>
      </c>
      <c r="Y33" s="13" t="s">
        <v>503</v>
      </c>
      <c r="Z33" s="13" t="s">
        <v>503</v>
      </c>
      <c r="AA33" s="41"/>
      <c r="AB33" s="29">
        <v>6991.07</v>
      </c>
      <c r="AC33" s="29">
        <v>0</v>
      </c>
      <c r="AD33" s="29">
        <v>6991.07</v>
      </c>
      <c r="AE33" s="29">
        <v>0</v>
      </c>
      <c r="AF33" s="29">
        <f t="shared" si="4"/>
        <v>6991.07</v>
      </c>
      <c r="AG33" s="25">
        <v>0.12</v>
      </c>
      <c r="AH33" s="29">
        <f t="shared" si="5"/>
        <v>838.9283999999999</v>
      </c>
      <c r="AI33" s="29">
        <f t="shared" si="6"/>
        <v>0</v>
      </c>
      <c r="AJ33" s="29">
        <f t="shared" si="0"/>
        <v>7829.9984000000004</v>
      </c>
      <c r="AK33" s="126">
        <v>6991.07</v>
      </c>
      <c r="AL33" s="126">
        <f t="shared" si="14"/>
        <v>0</v>
      </c>
      <c r="AM33" s="126"/>
      <c r="AN33" s="41"/>
      <c r="AO33" s="41">
        <v>6991.07</v>
      </c>
      <c r="AP33" s="41"/>
      <c r="AQ33" s="41">
        <v>6991.07</v>
      </c>
      <c r="AR33" s="35">
        <v>0.14000000000000001</v>
      </c>
      <c r="AS33" s="41">
        <f t="shared" si="15"/>
        <v>978.74980000000005</v>
      </c>
      <c r="AT33" s="41">
        <f t="shared" si="16"/>
        <v>7969.8197999999993</v>
      </c>
      <c r="AU33" s="128"/>
      <c r="AV33" s="128"/>
      <c r="AW33" s="128"/>
      <c r="AX33" s="128"/>
      <c r="AY33" s="128"/>
      <c r="AZ33" s="128"/>
      <c r="BA33" s="128"/>
      <c r="BB33" s="128"/>
      <c r="BC33" s="128"/>
      <c r="BD33" s="129"/>
      <c r="BE33" s="129"/>
      <c r="BF33" s="29">
        <f t="shared" si="13"/>
        <v>0</v>
      </c>
      <c r="BG33" s="29">
        <f t="shared" si="11"/>
        <v>0</v>
      </c>
      <c r="BH33" s="37"/>
      <c r="BI33" s="29" t="s">
        <v>570</v>
      </c>
      <c r="BJ33" s="29" t="s">
        <v>570</v>
      </c>
      <c r="BK33" s="29" t="s">
        <v>570</v>
      </c>
      <c r="BL33" s="29" t="s">
        <v>570</v>
      </c>
      <c r="BM33" s="29" t="s">
        <v>570</v>
      </c>
      <c r="BN33" s="102">
        <v>42285</v>
      </c>
      <c r="BO33" s="102">
        <v>42306</v>
      </c>
      <c r="BP33" s="102">
        <v>42316</v>
      </c>
      <c r="BQ33" s="102">
        <v>42317</v>
      </c>
      <c r="BR33" s="102"/>
      <c r="BS33" s="102"/>
      <c r="BT33" s="102"/>
      <c r="BU33" s="13" t="s">
        <v>570</v>
      </c>
      <c r="BV33" s="13" t="s">
        <v>570</v>
      </c>
      <c r="BW33" s="224" t="s">
        <v>570</v>
      </c>
      <c r="BX33" s="22"/>
      <c r="BY33" s="22"/>
      <c r="BZ33" s="22">
        <v>42555</v>
      </c>
      <c r="CA33" s="22">
        <v>42599</v>
      </c>
      <c r="CB33" s="224" t="s">
        <v>570</v>
      </c>
      <c r="CC33" s="224" t="s">
        <v>570</v>
      </c>
      <c r="CD33" s="224" t="s">
        <v>570</v>
      </c>
      <c r="CE33" s="22"/>
      <c r="CF33" s="22"/>
      <c r="CG33" s="22"/>
      <c r="CH33" s="22"/>
      <c r="CI33" s="22"/>
      <c r="CJ33" s="22"/>
      <c r="CK33" s="22"/>
      <c r="CL33" s="22"/>
      <c r="CM33" s="22"/>
      <c r="CN33" s="22"/>
      <c r="CO33" s="22"/>
      <c r="CP33" s="22"/>
      <c r="CQ33" s="22"/>
      <c r="CR33" s="127" t="s">
        <v>829</v>
      </c>
      <c r="CS33" s="13" t="s">
        <v>570</v>
      </c>
      <c r="CT33" s="13" t="s">
        <v>570</v>
      </c>
      <c r="CU33" s="13" t="s">
        <v>570</v>
      </c>
      <c r="CV33" s="23"/>
      <c r="CW33" s="13"/>
      <c r="CX33" s="232" t="s">
        <v>1433</v>
      </c>
      <c r="CY33" s="155">
        <v>42786</v>
      </c>
      <c r="CZ33" s="231">
        <v>6991.07</v>
      </c>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31">
        <f t="shared" si="12"/>
        <v>6991.07</v>
      </c>
      <c r="DZ33" s="13"/>
      <c r="EA33" s="13"/>
      <c r="EB33" s="13"/>
      <c r="EC33" s="13"/>
      <c r="ED33" s="13"/>
      <c r="EE33" s="13"/>
      <c r="EF33" s="13"/>
      <c r="EG33" s="13">
        <v>15</v>
      </c>
      <c r="EH33" s="13"/>
      <c r="EI33" s="13"/>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5">
        <v>1</v>
      </c>
      <c r="FT33" s="25">
        <v>1</v>
      </c>
      <c r="FU33" s="25">
        <v>1</v>
      </c>
      <c r="FV33" s="25">
        <v>1</v>
      </c>
      <c r="FW33" s="25">
        <v>1</v>
      </c>
      <c r="FX33" s="25">
        <v>1</v>
      </c>
      <c r="FY33" s="25">
        <v>1</v>
      </c>
      <c r="FZ33" s="25">
        <v>1</v>
      </c>
      <c r="GA33" s="25">
        <v>1</v>
      </c>
      <c r="GB33" s="25">
        <v>1</v>
      </c>
      <c r="GC33" s="25">
        <v>1</v>
      </c>
      <c r="GD33" s="25">
        <v>1</v>
      </c>
      <c r="GE33" s="25">
        <v>1</v>
      </c>
      <c r="GF33" s="25">
        <v>1</v>
      </c>
      <c r="GG33" s="25">
        <v>1</v>
      </c>
      <c r="GH33" s="25">
        <v>1</v>
      </c>
      <c r="GI33" s="25">
        <v>1</v>
      </c>
      <c r="GJ33" s="25">
        <v>1</v>
      </c>
      <c r="GK33" s="25">
        <v>1</v>
      </c>
      <c r="GL33" s="25">
        <v>1</v>
      </c>
      <c r="GM33" s="25">
        <v>1</v>
      </c>
      <c r="GN33" s="25">
        <v>1</v>
      </c>
      <c r="GO33" s="25">
        <v>1</v>
      </c>
      <c r="GP33" s="25">
        <v>1</v>
      </c>
      <c r="GQ33" s="25">
        <v>1</v>
      </c>
      <c r="GR33" s="25">
        <v>1</v>
      </c>
      <c r="GS33" s="25">
        <v>1</v>
      </c>
      <c r="GT33" s="25">
        <v>1</v>
      </c>
      <c r="GU33" s="25">
        <v>1</v>
      </c>
      <c r="GV33" s="25" t="s">
        <v>455</v>
      </c>
      <c r="GW33" s="25" t="s">
        <v>455</v>
      </c>
      <c r="GX33" s="25" t="s">
        <v>455</v>
      </c>
      <c r="GY33" s="25" t="s">
        <v>455</v>
      </c>
      <c r="GZ33" s="25" t="s">
        <v>455</v>
      </c>
      <c r="HA33" s="25" t="s">
        <v>455</v>
      </c>
      <c r="HB33" s="25" t="s">
        <v>455</v>
      </c>
      <c r="HC33" s="25" t="s">
        <v>455</v>
      </c>
      <c r="HD33" s="25" t="s">
        <v>455</v>
      </c>
      <c r="HE33" s="25" t="s">
        <v>455</v>
      </c>
      <c r="HF33" s="25" t="s">
        <v>455</v>
      </c>
      <c r="HG33" s="25" t="s">
        <v>455</v>
      </c>
      <c r="HH33" s="25" t="s">
        <v>455</v>
      </c>
      <c r="HI33" s="25"/>
      <c r="HJ33" s="25"/>
      <c r="HK33" s="25"/>
      <c r="HL33" s="25"/>
      <c r="HM33" s="25"/>
      <c r="HN33" s="25"/>
      <c r="HO33" s="25"/>
      <c r="HP33" s="25"/>
      <c r="HQ33" s="25"/>
      <c r="HR33" s="25"/>
      <c r="HS33" s="25"/>
      <c r="HT33" s="25"/>
      <c r="HU33" s="13" t="s">
        <v>483</v>
      </c>
      <c r="HV33" s="13"/>
      <c r="HW33" s="32"/>
      <c r="HX33" s="55"/>
      <c r="HY33" s="55"/>
      <c r="HZ33" s="55"/>
      <c r="IA33" s="55"/>
      <c r="IB33" s="55"/>
      <c r="IC33" s="55"/>
      <c r="ID33" s="55"/>
      <c r="IE33" s="55"/>
      <c r="IF33" s="107">
        <v>6991.07</v>
      </c>
      <c r="IG33" s="107">
        <v>6991.07</v>
      </c>
      <c r="IH33" s="250">
        <f t="shared" si="3"/>
        <v>0</v>
      </c>
      <c r="II33" s="55"/>
      <c r="IJ33" s="55"/>
      <c r="IK33" s="55"/>
      <c r="IL33" s="55"/>
      <c r="IM33" s="55"/>
      <c r="IN33" s="55"/>
      <c r="IO33" s="55"/>
      <c r="IP33" s="55"/>
      <c r="IQ33" s="55"/>
      <c r="IR33" s="55"/>
      <c r="IS33" s="55"/>
      <c r="IT33" s="55"/>
      <c r="IU33" s="55"/>
      <c r="IV33" s="55"/>
      <c r="IW33" s="55"/>
      <c r="IX33" s="55"/>
      <c r="IY33" s="55"/>
      <c r="IZ33" s="55"/>
      <c r="JA33" s="55"/>
      <c r="JB33" s="55"/>
      <c r="JC33" s="55"/>
      <c r="JD33" s="55">
        <v>2016</v>
      </c>
    </row>
    <row r="34" spans="1:411" s="5" customFormat="1" ht="24.95" hidden="1" customHeight="1">
      <c r="A34" s="26" t="s">
        <v>86</v>
      </c>
      <c r="B34" s="26" t="s">
        <v>1</v>
      </c>
      <c r="C34" s="13" t="s">
        <v>358</v>
      </c>
      <c r="D34" s="13" t="s">
        <v>379</v>
      </c>
      <c r="E34" s="16" t="s">
        <v>359</v>
      </c>
      <c r="F34" s="13" t="s">
        <v>359</v>
      </c>
      <c r="G34" s="39" t="s">
        <v>354</v>
      </c>
      <c r="H34" s="13" t="s">
        <v>1547</v>
      </c>
      <c r="I34" s="21" t="s">
        <v>25</v>
      </c>
      <c r="J34" s="13" t="s">
        <v>1391</v>
      </c>
      <c r="K34" s="13" t="s">
        <v>1391</v>
      </c>
      <c r="L34" s="26" t="s">
        <v>24</v>
      </c>
      <c r="M34" s="20" t="s">
        <v>25</v>
      </c>
      <c r="N34" s="20"/>
      <c r="O34" s="13" t="s">
        <v>3</v>
      </c>
      <c r="P34" s="13" t="s">
        <v>4</v>
      </c>
      <c r="Q34" s="22" t="s">
        <v>1118</v>
      </c>
      <c r="R34" s="44">
        <v>17395</v>
      </c>
      <c r="S34" s="13" t="s">
        <v>456</v>
      </c>
      <c r="T34" s="13" t="s">
        <v>1387</v>
      </c>
      <c r="U34" s="13" t="s">
        <v>479</v>
      </c>
      <c r="V34" s="13" t="s">
        <v>482</v>
      </c>
      <c r="W34" s="13" t="s">
        <v>570</v>
      </c>
      <c r="X34" s="13" t="s">
        <v>570</v>
      </c>
      <c r="Y34" s="13" t="s">
        <v>503</v>
      </c>
      <c r="Z34" s="13" t="s">
        <v>503</v>
      </c>
      <c r="AA34" s="41"/>
      <c r="AB34" s="29">
        <v>6991.07</v>
      </c>
      <c r="AC34" s="29">
        <v>0</v>
      </c>
      <c r="AD34" s="29">
        <v>6991.07</v>
      </c>
      <c r="AE34" s="29">
        <v>0</v>
      </c>
      <c r="AF34" s="29">
        <f t="shared" si="4"/>
        <v>6991.07</v>
      </c>
      <c r="AG34" s="25">
        <v>0.12</v>
      </c>
      <c r="AH34" s="29">
        <f t="shared" si="5"/>
        <v>838.9283999999999</v>
      </c>
      <c r="AI34" s="29">
        <f t="shared" si="6"/>
        <v>0</v>
      </c>
      <c r="AJ34" s="29">
        <f t="shared" si="0"/>
        <v>7829.9984000000004</v>
      </c>
      <c r="AK34" s="126">
        <v>6991.07</v>
      </c>
      <c r="AL34" s="126">
        <f t="shared" si="14"/>
        <v>0</v>
      </c>
      <c r="AM34" s="126"/>
      <c r="AN34" s="41"/>
      <c r="AO34" s="41">
        <v>6991.07</v>
      </c>
      <c r="AP34" s="41"/>
      <c r="AQ34" s="41">
        <v>6991.07</v>
      </c>
      <c r="AR34" s="35">
        <v>0.14000000000000001</v>
      </c>
      <c r="AS34" s="41">
        <f t="shared" si="15"/>
        <v>978.74980000000005</v>
      </c>
      <c r="AT34" s="41">
        <f t="shared" si="16"/>
        <v>7969.8197999999993</v>
      </c>
      <c r="AU34" s="128"/>
      <c r="AV34" s="128"/>
      <c r="AW34" s="128"/>
      <c r="AX34" s="128"/>
      <c r="AY34" s="128"/>
      <c r="AZ34" s="128"/>
      <c r="BA34" s="128"/>
      <c r="BB34" s="128"/>
      <c r="BC34" s="128"/>
      <c r="BD34" s="129"/>
      <c r="BE34" s="129"/>
      <c r="BF34" s="29">
        <f t="shared" si="13"/>
        <v>0</v>
      </c>
      <c r="BG34" s="29">
        <f t="shared" si="11"/>
        <v>0</v>
      </c>
      <c r="BH34" s="37"/>
      <c r="BI34" s="29" t="s">
        <v>570</v>
      </c>
      <c r="BJ34" s="29" t="s">
        <v>570</v>
      </c>
      <c r="BK34" s="29" t="s">
        <v>570</v>
      </c>
      <c r="BL34" s="29" t="s">
        <v>570</v>
      </c>
      <c r="BM34" s="29" t="s">
        <v>570</v>
      </c>
      <c r="BN34" s="102">
        <v>42285</v>
      </c>
      <c r="BO34" s="102">
        <v>42306</v>
      </c>
      <c r="BP34" s="102">
        <v>42316</v>
      </c>
      <c r="BQ34" s="102">
        <v>42317</v>
      </c>
      <c r="BR34" s="102"/>
      <c r="BS34" s="102"/>
      <c r="BT34" s="102"/>
      <c r="BU34" s="13" t="s">
        <v>570</v>
      </c>
      <c r="BV34" s="13" t="s">
        <v>570</v>
      </c>
      <c r="BW34" s="224" t="s">
        <v>570</v>
      </c>
      <c r="BX34" s="22"/>
      <c r="BY34" s="22"/>
      <c r="BZ34" s="22">
        <v>42555</v>
      </c>
      <c r="CA34" s="22">
        <v>42599</v>
      </c>
      <c r="CB34" s="224" t="s">
        <v>570</v>
      </c>
      <c r="CC34" s="224" t="s">
        <v>570</v>
      </c>
      <c r="CD34" s="224" t="s">
        <v>570</v>
      </c>
      <c r="CE34" s="22"/>
      <c r="CF34" s="22"/>
      <c r="CG34" s="22"/>
      <c r="CH34" s="22"/>
      <c r="CI34" s="22"/>
      <c r="CJ34" s="22"/>
      <c r="CK34" s="22"/>
      <c r="CL34" s="22"/>
      <c r="CM34" s="22"/>
      <c r="CN34" s="22"/>
      <c r="CO34" s="22"/>
      <c r="CP34" s="22"/>
      <c r="CQ34" s="22"/>
      <c r="CR34" s="127" t="s">
        <v>829</v>
      </c>
      <c r="CS34" s="13" t="s">
        <v>570</v>
      </c>
      <c r="CT34" s="13" t="s">
        <v>570</v>
      </c>
      <c r="CU34" s="13" t="s">
        <v>570</v>
      </c>
      <c r="CV34" s="23"/>
      <c r="CW34" s="13"/>
      <c r="CX34" s="160" t="s">
        <v>1434</v>
      </c>
      <c r="CY34" s="155">
        <v>42786</v>
      </c>
      <c r="CZ34" s="30">
        <v>6991.07</v>
      </c>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31">
        <f t="shared" si="12"/>
        <v>6991.07</v>
      </c>
      <c r="DZ34" s="13"/>
      <c r="EA34" s="13"/>
      <c r="EB34" s="13"/>
      <c r="EC34" s="13"/>
      <c r="ED34" s="13"/>
      <c r="EE34" s="13"/>
      <c r="EF34" s="13"/>
      <c r="EG34" s="13">
        <v>15</v>
      </c>
      <c r="EH34" s="13"/>
      <c r="EI34" s="13"/>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5">
        <v>1</v>
      </c>
      <c r="FT34" s="25">
        <v>1</v>
      </c>
      <c r="FU34" s="25">
        <v>1</v>
      </c>
      <c r="FV34" s="25">
        <v>1</v>
      </c>
      <c r="FW34" s="25">
        <v>1</v>
      </c>
      <c r="FX34" s="25">
        <v>1</v>
      </c>
      <c r="FY34" s="25">
        <v>1</v>
      </c>
      <c r="FZ34" s="25">
        <v>1</v>
      </c>
      <c r="GA34" s="25">
        <v>1</v>
      </c>
      <c r="GB34" s="25">
        <v>1</v>
      </c>
      <c r="GC34" s="25">
        <v>1</v>
      </c>
      <c r="GD34" s="25">
        <v>1</v>
      </c>
      <c r="GE34" s="25">
        <v>1</v>
      </c>
      <c r="GF34" s="25">
        <v>1</v>
      </c>
      <c r="GG34" s="25">
        <v>1</v>
      </c>
      <c r="GH34" s="25">
        <v>1</v>
      </c>
      <c r="GI34" s="25">
        <v>1</v>
      </c>
      <c r="GJ34" s="25">
        <v>1</v>
      </c>
      <c r="GK34" s="25">
        <v>1</v>
      </c>
      <c r="GL34" s="25">
        <v>1</v>
      </c>
      <c r="GM34" s="25">
        <v>1</v>
      </c>
      <c r="GN34" s="25">
        <v>1</v>
      </c>
      <c r="GO34" s="25">
        <v>1</v>
      </c>
      <c r="GP34" s="25">
        <v>1</v>
      </c>
      <c r="GQ34" s="25">
        <v>1</v>
      </c>
      <c r="GR34" s="25">
        <v>1</v>
      </c>
      <c r="GS34" s="25">
        <v>1</v>
      </c>
      <c r="GT34" s="25">
        <v>1</v>
      </c>
      <c r="GU34" s="25">
        <v>1</v>
      </c>
      <c r="GV34" s="25" t="s">
        <v>455</v>
      </c>
      <c r="GW34" s="25" t="s">
        <v>455</v>
      </c>
      <c r="GX34" s="25" t="s">
        <v>455</v>
      </c>
      <c r="GY34" s="25" t="s">
        <v>455</v>
      </c>
      <c r="GZ34" s="25" t="s">
        <v>455</v>
      </c>
      <c r="HA34" s="25" t="s">
        <v>455</v>
      </c>
      <c r="HB34" s="25" t="s">
        <v>455</v>
      </c>
      <c r="HC34" s="25" t="s">
        <v>455</v>
      </c>
      <c r="HD34" s="25" t="s">
        <v>455</v>
      </c>
      <c r="HE34" s="25" t="s">
        <v>455</v>
      </c>
      <c r="HF34" s="25" t="s">
        <v>455</v>
      </c>
      <c r="HG34" s="25" t="s">
        <v>455</v>
      </c>
      <c r="HH34" s="25" t="s">
        <v>455</v>
      </c>
      <c r="HI34" s="25"/>
      <c r="HJ34" s="25"/>
      <c r="HK34" s="25"/>
      <c r="HL34" s="25"/>
      <c r="HM34" s="25"/>
      <c r="HN34" s="25"/>
      <c r="HO34" s="25"/>
      <c r="HP34" s="25"/>
      <c r="HQ34" s="25"/>
      <c r="HR34" s="25"/>
      <c r="HS34" s="25"/>
      <c r="HT34" s="25"/>
      <c r="HU34" s="13" t="s">
        <v>483</v>
      </c>
      <c r="HV34" s="13"/>
      <c r="HW34" s="32"/>
      <c r="HX34" s="55"/>
      <c r="HY34" s="55"/>
      <c r="HZ34" s="55"/>
      <c r="IA34" s="55"/>
      <c r="IB34" s="55"/>
      <c r="IC34" s="55"/>
      <c r="ID34" s="55"/>
      <c r="IE34" s="55"/>
      <c r="IF34" s="107">
        <v>6991.07</v>
      </c>
      <c r="IG34" s="107">
        <v>6991.07</v>
      </c>
      <c r="IH34" s="250">
        <f t="shared" si="3"/>
        <v>0</v>
      </c>
      <c r="II34" s="55"/>
      <c r="IJ34" s="55"/>
      <c r="IK34" s="55"/>
      <c r="IL34" s="55"/>
      <c r="IM34" s="55"/>
      <c r="IN34" s="55"/>
      <c r="IO34" s="55"/>
      <c r="IP34" s="55"/>
      <c r="IQ34" s="55"/>
      <c r="IR34" s="55"/>
      <c r="IS34" s="55"/>
      <c r="IT34" s="55"/>
      <c r="IU34" s="55"/>
      <c r="IV34" s="55"/>
      <c r="IW34" s="55"/>
      <c r="IX34" s="55"/>
      <c r="IY34" s="55"/>
      <c r="IZ34" s="55"/>
      <c r="JA34" s="55"/>
      <c r="JB34" s="55"/>
      <c r="JC34" s="55"/>
      <c r="JD34" s="55">
        <v>2016</v>
      </c>
    </row>
    <row r="35" spans="1:411" s="5" customFormat="1" ht="24.95" hidden="1" customHeight="1">
      <c r="A35" s="26" t="s">
        <v>95</v>
      </c>
      <c r="B35" s="26" t="s">
        <v>1</v>
      </c>
      <c r="C35" s="13" t="s">
        <v>358</v>
      </c>
      <c r="D35" s="13" t="s">
        <v>379</v>
      </c>
      <c r="E35" s="16" t="s">
        <v>359</v>
      </c>
      <c r="F35" s="13" t="s">
        <v>359</v>
      </c>
      <c r="G35" s="39" t="s">
        <v>354</v>
      </c>
      <c r="H35" s="13" t="s">
        <v>1516</v>
      </c>
      <c r="I35" s="21" t="s">
        <v>25</v>
      </c>
      <c r="J35" s="13" t="s">
        <v>1391</v>
      </c>
      <c r="K35" s="13" t="s">
        <v>1391</v>
      </c>
      <c r="L35" s="26" t="s">
        <v>24</v>
      </c>
      <c r="M35" s="20" t="s">
        <v>25</v>
      </c>
      <c r="N35" s="20"/>
      <c r="O35" s="13" t="s">
        <v>3</v>
      </c>
      <c r="P35" s="13" t="s">
        <v>4</v>
      </c>
      <c r="Q35" s="22" t="s">
        <v>1118</v>
      </c>
      <c r="R35" s="44">
        <v>17395</v>
      </c>
      <c r="S35" s="13" t="s">
        <v>456</v>
      </c>
      <c r="T35" s="13" t="s">
        <v>1387</v>
      </c>
      <c r="U35" s="13" t="s">
        <v>479</v>
      </c>
      <c r="V35" s="13" t="s">
        <v>482</v>
      </c>
      <c r="W35" s="13" t="s">
        <v>570</v>
      </c>
      <c r="X35" s="13" t="s">
        <v>570</v>
      </c>
      <c r="Y35" s="13" t="s">
        <v>503</v>
      </c>
      <c r="Z35" s="13" t="s">
        <v>503</v>
      </c>
      <c r="AA35" s="41"/>
      <c r="AB35" s="29">
        <v>6991.07</v>
      </c>
      <c r="AC35" s="29">
        <v>0</v>
      </c>
      <c r="AD35" s="29">
        <v>6991.07</v>
      </c>
      <c r="AE35" s="29">
        <v>0</v>
      </c>
      <c r="AF35" s="29">
        <f t="shared" si="4"/>
        <v>6991.07</v>
      </c>
      <c r="AG35" s="25">
        <v>0.12</v>
      </c>
      <c r="AH35" s="29">
        <f t="shared" si="5"/>
        <v>838.9283999999999</v>
      </c>
      <c r="AI35" s="29">
        <f t="shared" si="6"/>
        <v>0</v>
      </c>
      <c r="AJ35" s="29">
        <f t="shared" si="0"/>
        <v>7829.9984000000004</v>
      </c>
      <c r="AK35" s="126">
        <v>6991.07</v>
      </c>
      <c r="AL35" s="126">
        <f t="shared" si="14"/>
        <v>0</v>
      </c>
      <c r="AM35" s="126"/>
      <c r="AN35" s="41"/>
      <c r="AO35" s="41">
        <v>6991.07</v>
      </c>
      <c r="AP35" s="41"/>
      <c r="AQ35" s="41">
        <v>6991.07</v>
      </c>
      <c r="AR35" s="35">
        <v>0.14000000000000001</v>
      </c>
      <c r="AS35" s="41">
        <f t="shared" si="15"/>
        <v>978.74980000000005</v>
      </c>
      <c r="AT35" s="41">
        <f t="shared" si="16"/>
        <v>7969.8197999999993</v>
      </c>
      <c r="AU35" s="128"/>
      <c r="AV35" s="128"/>
      <c r="AW35" s="128"/>
      <c r="AX35" s="128"/>
      <c r="AY35" s="128"/>
      <c r="AZ35" s="128"/>
      <c r="BA35" s="128"/>
      <c r="BB35" s="128"/>
      <c r="BC35" s="128"/>
      <c r="BD35" s="129"/>
      <c r="BE35" s="129"/>
      <c r="BF35" s="29">
        <f t="shared" si="13"/>
        <v>0</v>
      </c>
      <c r="BG35" s="29">
        <f t="shared" si="11"/>
        <v>0</v>
      </c>
      <c r="BH35" s="37"/>
      <c r="BI35" s="29" t="s">
        <v>570</v>
      </c>
      <c r="BJ35" s="29" t="s">
        <v>570</v>
      </c>
      <c r="BK35" s="29" t="s">
        <v>570</v>
      </c>
      <c r="BL35" s="29" t="s">
        <v>570</v>
      </c>
      <c r="BM35" s="29" t="s">
        <v>570</v>
      </c>
      <c r="BN35" s="102">
        <v>42285</v>
      </c>
      <c r="BO35" s="102">
        <v>42306</v>
      </c>
      <c r="BP35" s="102">
        <v>42316</v>
      </c>
      <c r="BQ35" s="102">
        <v>42317</v>
      </c>
      <c r="BR35" s="102"/>
      <c r="BS35" s="102"/>
      <c r="BT35" s="102"/>
      <c r="BU35" s="13" t="s">
        <v>570</v>
      </c>
      <c r="BV35" s="13" t="s">
        <v>570</v>
      </c>
      <c r="BW35" s="224" t="s">
        <v>570</v>
      </c>
      <c r="BX35" s="22"/>
      <c r="BY35" s="22"/>
      <c r="BZ35" s="22">
        <v>42555</v>
      </c>
      <c r="CA35" s="22">
        <v>42599</v>
      </c>
      <c r="CB35" s="224" t="s">
        <v>570</v>
      </c>
      <c r="CC35" s="224" t="s">
        <v>570</v>
      </c>
      <c r="CD35" s="224" t="s">
        <v>570</v>
      </c>
      <c r="CE35" s="22"/>
      <c r="CF35" s="22"/>
      <c r="CG35" s="22"/>
      <c r="CH35" s="22"/>
      <c r="CI35" s="22"/>
      <c r="CJ35" s="22"/>
      <c r="CK35" s="22"/>
      <c r="CL35" s="22"/>
      <c r="CM35" s="22"/>
      <c r="CN35" s="22"/>
      <c r="CO35" s="22"/>
      <c r="CP35" s="22"/>
      <c r="CQ35" s="22"/>
      <c r="CR35" s="127" t="s">
        <v>829</v>
      </c>
      <c r="CS35" s="13" t="s">
        <v>570</v>
      </c>
      <c r="CT35" s="13" t="s">
        <v>570</v>
      </c>
      <c r="CU35" s="13" t="s">
        <v>570</v>
      </c>
      <c r="CV35" s="23"/>
      <c r="CW35" s="30"/>
      <c r="CX35" s="160" t="s">
        <v>1434</v>
      </c>
      <c r="CY35" s="155">
        <v>42786</v>
      </c>
      <c r="CZ35" s="191">
        <v>6991.07</v>
      </c>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31">
        <f t="shared" si="12"/>
        <v>6991.07</v>
      </c>
      <c r="DZ35" s="13"/>
      <c r="EA35" s="13"/>
      <c r="EB35" s="13"/>
      <c r="EC35" s="13"/>
      <c r="ED35" s="13"/>
      <c r="EE35" s="13"/>
      <c r="EF35" s="13"/>
      <c r="EG35" s="13">
        <v>15</v>
      </c>
      <c r="EH35" s="13"/>
      <c r="EI35" s="13"/>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5">
        <v>1</v>
      </c>
      <c r="FT35" s="25">
        <v>1</v>
      </c>
      <c r="FU35" s="25">
        <v>1</v>
      </c>
      <c r="FV35" s="25">
        <v>1</v>
      </c>
      <c r="FW35" s="25">
        <v>1</v>
      </c>
      <c r="FX35" s="25">
        <v>1</v>
      </c>
      <c r="FY35" s="25">
        <v>1</v>
      </c>
      <c r="FZ35" s="25">
        <v>1</v>
      </c>
      <c r="GA35" s="25">
        <v>1</v>
      </c>
      <c r="GB35" s="25">
        <v>1</v>
      </c>
      <c r="GC35" s="25">
        <v>1</v>
      </c>
      <c r="GD35" s="25">
        <v>1</v>
      </c>
      <c r="GE35" s="25">
        <v>1</v>
      </c>
      <c r="GF35" s="25">
        <v>1</v>
      </c>
      <c r="GG35" s="25">
        <v>1</v>
      </c>
      <c r="GH35" s="25">
        <v>1</v>
      </c>
      <c r="GI35" s="25">
        <v>1</v>
      </c>
      <c r="GJ35" s="25">
        <v>1</v>
      </c>
      <c r="GK35" s="25">
        <v>1</v>
      </c>
      <c r="GL35" s="25">
        <v>1</v>
      </c>
      <c r="GM35" s="25">
        <v>1</v>
      </c>
      <c r="GN35" s="25">
        <v>1</v>
      </c>
      <c r="GO35" s="25">
        <v>1</v>
      </c>
      <c r="GP35" s="25">
        <v>1</v>
      </c>
      <c r="GQ35" s="25">
        <v>1</v>
      </c>
      <c r="GR35" s="25">
        <v>1</v>
      </c>
      <c r="GS35" s="25">
        <v>1</v>
      </c>
      <c r="GT35" s="25">
        <v>1</v>
      </c>
      <c r="GU35" s="25">
        <v>1</v>
      </c>
      <c r="GV35" s="25" t="s">
        <v>455</v>
      </c>
      <c r="GW35" s="25" t="s">
        <v>455</v>
      </c>
      <c r="GX35" s="25" t="s">
        <v>455</v>
      </c>
      <c r="GY35" s="25" t="s">
        <v>455</v>
      </c>
      <c r="GZ35" s="25" t="s">
        <v>455</v>
      </c>
      <c r="HA35" s="25" t="s">
        <v>455</v>
      </c>
      <c r="HB35" s="25" t="s">
        <v>455</v>
      </c>
      <c r="HC35" s="25" t="s">
        <v>455</v>
      </c>
      <c r="HD35" s="25" t="s">
        <v>455</v>
      </c>
      <c r="HE35" s="25" t="s">
        <v>455</v>
      </c>
      <c r="HF35" s="25" t="s">
        <v>455</v>
      </c>
      <c r="HG35" s="25" t="s">
        <v>455</v>
      </c>
      <c r="HH35" s="25" t="s">
        <v>455</v>
      </c>
      <c r="HI35" s="25"/>
      <c r="HJ35" s="25"/>
      <c r="HK35" s="25"/>
      <c r="HL35" s="25"/>
      <c r="HM35" s="25"/>
      <c r="HN35" s="25"/>
      <c r="HO35" s="25"/>
      <c r="HP35" s="25"/>
      <c r="HQ35" s="25"/>
      <c r="HR35" s="25"/>
      <c r="HS35" s="25"/>
      <c r="HT35" s="25"/>
      <c r="HU35" s="13" t="s">
        <v>483</v>
      </c>
      <c r="HV35" s="13"/>
      <c r="HW35" s="32"/>
      <c r="HX35" s="55"/>
      <c r="HY35" s="55"/>
      <c r="HZ35" s="55"/>
      <c r="IA35" s="55"/>
      <c r="IB35" s="55"/>
      <c r="IC35" s="55"/>
      <c r="ID35" s="55"/>
      <c r="IE35" s="55"/>
      <c r="IF35" s="107">
        <v>6991.07</v>
      </c>
      <c r="IG35" s="107">
        <v>6991.07</v>
      </c>
      <c r="IH35" s="250">
        <f t="shared" si="3"/>
        <v>0</v>
      </c>
      <c r="II35" s="55"/>
      <c r="IJ35" s="55"/>
      <c r="IK35" s="55"/>
      <c r="IL35" s="55"/>
      <c r="IM35" s="55"/>
      <c r="IN35" s="55"/>
      <c r="IO35" s="55"/>
      <c r="IP35" s="55"/>
      <c r="IQ35" s="55"/>
      <c r="IR35" s="55"/>
      <c r="IS35" s="55"/>
      <c r="IT35" s="55"/>
      <c r="IU35" s="55"/>
      <c r="IV35" s="55"/>
      <c r="IW35" s="55"/>
      <c r="IX35" s="55"/>
      <c r="IY35" s="55"/>
      <c r="IZ35" s="55"/>
      <c r="JA35" s="55"/>
      <c r="JB35" s="55"/>
      <c r="JC35" s="55"/>
      <c r="JD35" s="55">
        <v>2016</v>
      </c>
    </row>
    <row r="36" spans="1:411" s="5" customFormat="1" ht="24.95" hidden="1" customHeight="1">
      <c r="A36" s="26" t="s">
        <v>103</v>
      </c>
      <c r="B36" s="26" t="s">
        <v>1</v>
      </c>
      <c r="C36" s="13" t="s">
        <v>358</v>
      </c>
      <c r="D36" s="13" t="s">
        <v>379</v>
      </c>
      <c r="E36" s="16" t="s">
        <v>359</v>
      </c>
      <c r="F36" s="13" t="s">
        <v>359</v>
      </c>
      <c r="G36" s="39" t="s">
        <v>354</v>
      </c>
      <c r="H36" s="13" t="s">
        <v>1545</v>
      </c>
      <c r="I36" s="21" t="s">
        <v>25</v>
      </c>
      <c r="J36" s="13" t="s">
        <v>1391</v>
      </c>
      <c r="K36" s="13" t="s">
        <v>1391</v>
      </c>
      <c r="L36" s="26" t="s">
        <v>24</v>
      </c>
      <c r="M36" s="20" t="s">
        <v>25</v>
      </c>
      <c r="N36" s="20"/>
      <c r="O36" s="13" t="s">
        <v>3</v>
      </c>
      <c r="P36" s="13" t="s">
        <v>4</v>
      </c>
      <c r="Q36" s="22" t="s">
        <v>1118</v>
      </c>
      <c r="R36" s="44">
        <v>17395</v>
      </c>
      <c r="S36" s="13" t="s">
        <v>456</v>
      </c>
      <c r="T36" s="13" t="s">
        <v>1387</v>
      </c>
      <c r="U36" s="13" t="s">
        <v>479</v>
      </c>
      <c r="V36" s="13" t="s">
        <v>482</v>
      </c>
      <c r="W36" s="13" t="s">
        <v>570</v>
      </c>
      <c r="X36" s="13" t="s">
        <v>570</v>
      </c>
      <c r="Y36" s="13" t="s">
        <v>503</v>
      </c>
      <c r="Z36" s="13" t="s">
        <v>503</v>
      </c>
      <c r="AA36" s="41"/>
      <c r="AB36" s="29">
        <v>6991.07</v>
      </c>
      <c r="AC36" s="29">
        <v>0</v>
      </c>
      <c r="AD36" s="29">
        <v>6991.07</v>
      </c>
      <c r="AE36" s="29">
        <v>0</v>
      </c>
      <c r="AF36" s="29">
        <f t="shared" si="4"/>
        <v>6991.07</v>
      </c>
      <c r="AG36" s="25">
        <v>0.12</v>
      </c>
      <c r="AH36" s="29">
        <f t="shared" si="5"/>
        <v>838.9283999999999</v>
      </c>
      <c r="AI36" s="29">
        <f t="shared" si="6"/>
        <v>0</v>
      </c>
      <c r="AJ36" s="29">
        <f t="shared" si="0"/>
        <v>7829.9984000000004</v>
      </c>
      <c r="AK36" s="126">
        <v>6991.07</v>
      </c>
      <c r="AL36" s="126">
        <f t="shared" si="14"/>
        <v>0</v>
      </c>
      <c r="AM36" s="126"/>
      <c r="AN36" s="41"/>
      <c r="AO36" s="41">
        <v>6991.07</v>
      </c>
      <c r="AP36" s="41"/>
      <c r="AQ36" s="41">
        <v>6991.07</v>
      </c>
      <c r="AR36" s="35">
        <v>0.14000000000000001</v>
      </c>
      <c r="AS36" s="41">
        <f t="shared" si="15"/>
        <v>978.74980000000005</v>
      </c>
      <c r="AT36" s="41">
        <f t="shared" si="16"/>
        <v>7969.8197999999993</v>
      </c>
      <c r="AU36" s="128"/>
      <c r="AV36" s="128"/>
      <c r="AW36" s="128"/>
      <c r="AX36" s="128"/>
      <c r="AY36" s="128"/>
      <c r="AZ36" s="128"/>
      <c r="BA36" s="128"/>
      <c r="BB36" s="128"/>
      <c r="BC36" s="128"/>
      <c r="BD36" s="129"/>
      <c r="BE36" s="129"/>
      <c r="BF36" s="29">
        <f t="shared" si="13"/>
        <v>0</v>
      </c>
      <c r="BG36" s="29">
        <f t="shared" si="11"/>
        <v>0</v>
      </c>
      <c r="BH36" s="37"/>
      <c r="BI36" s="29" t="s">
        <v>570</v>
      </c>
      <c r="BJ36" s="29" t="s">
        <v>570</v>
      </c>
      <c r="BK36" s="29" t="s">
        <v>570</v>
      </c>
      <c r="BL36" s="29" t="s">
        <v>570</v>
      </c>
      <c r="BM36" s="29" t="s">
        <v>570</v>
      </c>
      <c r="BN36" s="102">
        <v>42285</v>
      </c>
      <c r="BO36" s="102">
        <v>42306</v>
      </c>
      <c r="BP36" s="102">
        <v>42316</v>
      </c>
      <c r="BQ36" s="102">
        <v>42317</v>
      </c>
      <c r="BR36" s="102"/>
      <c r="BS36" s="102"/>
      <c r="BT36" s="102"/>
      <c r="BU36" s="13" t="s">
        <v>570</v>
      </c>
      <c r="BV36" s="13" t="s">
        <v>570</v>
      </c>
      <c r="BW36" s="224" t="s">
        <v>570</v>
      </c>
      <c r="BX36" s="22"/>
      <c r="BY36" s="22"/>
      <c r="BZ36" s="22">
        <v>42555</v>
      </c>
      <c r="CA36" s="22">
        <v>42599</v>
      </c>
      <c r="CB36" s="224" t="s">
        <v>570</v>
      </c>
      <c r="CC36" s="224" t="s">
        <v>570</v>
      </c>
      <c r="CD36" s="224" t="s">
        <v>570</v>
      </c>
      <c r="CE36" s="22"/>
      <c r="CF36" s="22"/>
      <c r="CG36" s="22"/>
      <c r="CH36" s="22"/>
      <c r="CI36" s="22"/>
      <c r="CJ36" s="22"/>
      <c r="CK36" s="22"/>
      <c r="CL36" s="22"/>
      <c r="CM36" s="22"/>
      <c r="CN36" s="22"/>
      <c r="CO36" s="22"/>
      <c r="CP36" s="22"/>
      <c r="CQ36" s="22"/>
      <c r="CR36" s="127" t="s">
        <v>829</v>
      </c>
      <c r="CS36" s="13" t="s">
        <v>570</v>
      </c>
      <c r="CT36" s="13" t="s">
        <v>570</v>
      </c>
      <c r="CU36" s="13" t="s">
        <v>570</v>
      </c>
      <c r="CV36" s="23"/>
      <c r="CW36" s="30"/>
      <c r="CX36" s="30" t="s">
        <v>1404</v>
      </c>
      <c r="CY36" s="23">
        <v>42786</v>
      </c>
      <c r="CZ36" s="30">
        <v>6991.07</v>
      </c>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31">
        <f t="shared" si="12"/>
        <v>6991.07</v>
      </c>
      <c r="DZ36" s="13"/>
      <c r="EA36" s="13"/>
      <c r="EB36" s="13"/>
      <c r="EC36" s="13"/>
      <c r="ED36" s="13"/>
      <c r="EE36" s="13"/>
      <c r="EF36" s="13"/>
      <c r="EG36" s="13">
        <v>15</v>
      </c>
      <c r="EH36" s="13"/>
      <c r="EI36" s="13"/>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5">
        <v>1</v>
      </c>
      <c r="FT36" s="25">
        <v>1</v>
      </c>
      <c r="FU36" s="25">
        <v>1</v>
      </c>
      <c r="FV36" s="25">
        <v>1</v>
      </c>
      <c r="FW36" s="25">
        <v>1</v>
      </c>
      <c r="FX36" s="25">
        <v>1</v>
      </c>
      <c r="FY36" s="25">
        <v>1</v>
      </c>
      <c r="FZ36" s="25">
        <v>1</v>
      </c>
      <c r="GA36" s="25">
        <v>1</v>
      </c>
      <c r="GB36" s="25">
        <v>1</v>
      </c>
      <c r="GC36" s="25">
        <v>1</v>
      </c>
      <c r="GD36" s="25">
        <v>1</v>
      </c>
      <c r="GE36" s="25">
        <v>1</v>
      </c>
      <c r="GF36" s="25">
        <v>1</v>
      </c>
      <c r="GG36" s="25">
        <v>1</v>
      </c>
      <c r="GH36" s="25">
        <v>1</v>
      </c>
      <c r="GI36" s="25">
        <v>1</v>
      </c>
      <c r="GJ36" s="25">
        <v>1</v>
      </c>
      <c r="GK36" s="25">
        <v>1</v>
      </c>
      <c r="GL36" s="25">
        <v>1</v>
      </c>
      <c r="GM36" s="25">
        <v>1</v>
      </c>
      <c r="GN36" s="25">
        <v>1</v>
      </c>
      <c r="GO36" s="25">
        <v>1</v>
      </c>
      <c r="GP36" s="25">
        <v>1</v>
      </c>
      <c r="GQ36" s="25">
        <v>1</v>
      </c>
      <c r="GR36" s="25">
        <v>1</v>
      </c>
      <c r="GS36" s="25">
        <v>1</v>
      </c>
      <c r="GT36" s="25">
        <v>1</v>
      </c>
      <c r="GU36" s="25">
        <v>1</v>
      </c>
      <c r="GV36" s="25" t="s">
        <v>455</v>
      </c>
      <c r="GW36" s="25" t="s">
        <v>455</v>
      </c>
      <c r="GX36" s="25" t="s">
        <v>455</v>
      </c>
      <c r="GY36" s="25" t="s">
        <v>455</v>
      </c>
      <c r="GZ36" s="25" t="s">
        <v>455</v>
      </c>
      <c r="HA36" s="25" t="s">
        <v>455</v>
      </c>
      <c r="HB36" s="25" t="s">
        <v>455</v>
      </c>
      <c r="HC36" s="25" t="s">
        <v>455</v>
      </c>
      <c r="HD36" s="25" t="s">
        <v>455</v>
      </c>
      <c r="HE36" s="25" t="s">
        <v>455</v>
      </c>
      <c r="HF36" s="25" t="s">
        <v>455</v>
      </c>
      <c r="HG36" s="25" t="s">
        <v>455</v>
      </c>
      <c r="HH36" s="25" t="s">
        <v>455</v>
      </c>
      <c r="HI36" s="25"/>
      <c r="HJ36" s="25"/>
      <c r="HK36" s="25"/>
      <c r="HL36" s="25"/>
      <c r="HM36" s="25"/>
      <c r="HN36" s="25"/>
      <c r="HO36" s="25"/>
      <c r="HP36" s="25"/>
      <c r="HQ36" s="25"/>
      <c r="HR36" s="25"/>
      <c r="HS36" s="25"/>
      <c r="HT36" s="25"/>
      <c r="HU36" s="13" t="s">
        <v>483</v>
      </c>
      <c r="HV36" s="13"/>
      <c r="HW36" s="32"/>
      <c r="HX36" s="55"/>
      <c r="HY36" s="55"/>
      <c r="HZ36" s="55"/>
      <c r="IA36" s="55"/>
      <c r="IB36" s="55"/>
      <c r="IC36" s="55"/>
      <c r="ID36" s="55"/>
      <c r="IE36" s="55"/>
      <c r="IF36" s="107">
        <v>6991.07</v>
      </c>
      <c r="IG36" s="107">
        <v>6991.07</v>
      </c>
      <c r="IH36" s="250">
        <f t="shared" si="3"/>
        <v>0</v>
      </c>
      <c r="II36" s="55"/>
      <c r="IJ36" s="55"/>
      <c r="IK36" s="55"/>
      <c r="IL36" s="55"/>
      <c r="IM36" s="55"/>
      <c r="IN36" s="55"/>
      <c r="IO36" s="55"/>
      <c r="IP36" s="55"/>
      <c r="IQ36" s="55"/>
      <c r="IR36" s="55"/>
      <c r="IS36" s="55"/>
      <c r="IT36" s="55"/>
      <c r="IU36" s="55"/>
      <c r="IV36" s="55"/>
      <c r="IW36" s="55"/>
      <c r="IX36" s="55"/>
      <c r="IY36" s="55"/>
      <c r="IZ36" s="55"/>
      <c r="JA36" s="55"/>
      <c r="JB36" s="55"/>
      <c r="JC36" s="55"/>
      <c r="JD36" s="55">
        <v>2016</v>
      </c>
    </row>
    <row r="37" spans="1:411" s="5" customFormat="1" ht="24.95" hidden="1" customHeight="1">
      <c r="A37" s="26" t="s">
        <v>5</v>
      </c>
      <c r="B37" s="26" t="s">
        <v>1</v>
      </c>
      <c r="C37" s="13" t="s">
        <v>358</v>
      </c>
      <c r="D37" s="13" t="s">
        <v>379</v>
      </c>
      <c r="E37" s="16" t="s">
        <v>359</v>
      </c>
      <c r="F37" s="13" t="s">
        <v>359</v>
      </c>
      <c r="G37" s="39" t="s">
        <v>354</v>
      </c>
      <c r="H37" s="28" t="s">
        <v>1546</v>
      </c>
      <c r="I37" s="21" t="s">
        <v>25</v>
      </c>
      <c r="J37" s="13" t="s">
        <v>1391</v>
      </c>
      <c r="K37" s="13" t="s">
        <v>1391</v>
      </c>
      <c r="L37" s="26" t="s">
        <v>24</v>
      </c>
      <c r="M37" s="20" t="s">
        <v>25</v>
      </c>
      <c r="N37" s="20"/>
      <c r="O37" s="13" t="s">
        <v>3</v>
      </c>
      <c r="P37" s="13" t="s">
        <v>4</v>
      </c>
      <c r="Q37" s="22" t="s">
        <v>1118</v>
      </c>
      <c r="R37" s="44">
        <v>17395</v>
      </c>
      <c r="S37" s="13" t="s">
        <v>456</v>
      </c>
      <c r="T37" s="13" t="s">
        <v>1387</v>
      </c>
      <c r="U37" s="13" t="s">
        <v>479</v>
      </c>
      <c r="V37" s="13" t="s">
        <v>482</v>
      </c>
      <c r="W37" s="13" t="s">
        <v>570</v>
      </c>
      <c r="X37" s="13" t="s">
        <v>570</v>
      </c>
      <c r="Y37" s="13" t="s">
        <v>503</v>
      </c>
      <c r="Z37" s="13" t="s">
        <v>503</v>
      </c>
      <c r="AA37" s="41"/>
      <c r="AB37" s="29">
        <v>6991.07</v>
      </c>
      <c r="AC37" s="29">
        <v>0</v>
      </c>
      <c r="AD37" s="29">
        <v>6991.07</v>
      </c>
      <c r="AE37" s="29">
        <v>0</v>
      </c>
      <c r="AF37" s="29">
        <f t="shared" si="4"/>
        <v>6991.07</v>
      </c>
      <c r="AG37" s="25">
        <v>0.12</v>
      </c>
      <c r="AH37" s="29">
        <f t="shared" si="5"/>
        <v>838.9283999999999</v>
      </c>
      <c r="AI37" s="29">
        <f t="shared" si="6"/>
        <v>0</v>
      </c>
      <c r="AJ37" s="29">
        <f t="shared" si="0"/>
        <v>7829.9984000000004</v>
      </c>
      <c r="AK37" s="126">
        <v>6991.07</v>
      </c>
      <c r="AL37" s="126">
        <f t="shared" si="14"/>
        <v>0</v>
      </c>
      <c r="AM37" s="126"/>
      <c r="AN37" s="41"/>
      <c r="AO37" s="29">
        <v>6991.07</v>
      </c>
      <c r="AP37" s="41"/>
      <c r="AQ37" s="29">
        <v>6991.07</v>
      </c>
      <c r="AR37" s="35">
        <v>0.14000000000000001</v>
      </c>
      <c r="AS37" s="41">
        <f t="shared" si="15"/>
        <v>978.74980000000005</v>
      </c>
      <c r="AT37" s="41">
        <f t="shared" si="16"/>
        <v>7969.8197999999993</v>
      </c>
      <c r="AU37" s="29"/>
      <c r="AV37" s="29"/>
      <c r="AW37" s="29"/>
      <c r="AX37" s="29"/>
      <c r="AY37" s="29"/>
      <c r="AZ37" s="29"/>
      <c r="BA37" s="29"/>
      <c r="BB37" s="29"/>
      <c r="BC37" s="29"/>
      <c r="BD37" s="29"/>
      <c r="BE37" s="29"/>
      <c r="BF37" s="29">
        <f t="shared" si="13"/>
        <v>0</v>
      </c>
      <c r="BG37" s="29">
        <f t="shared" si="11"/>
        <v>0</v>
      </c>
      <c r="BH37" s="37"/>
      <c r="BI37" s="29" t="s">
        <v>570</v>
      </c>
      <c r="BJ37" s="29" t="s">
        <v>570</v>
      </c>
      <c r="BK37" s="29" t="s">
        <v>570</v>
      </c>
      <c r="BL37" s="29" t="s">
        <v>570</v>
      </c>
      <c r="BM37" s="29" t="s">
        <v>570</v>
      </c>
      <c r="BN37" s="102">
        <v>42285</v>
      </c>
      <c r="BO37" s="102">
        <v>42306</v>
      </c>
      <c r="BP37" s="102">
        <v>42316</v>
      </c>
      <c r="BQ37" s="102">
        <v>42317</v>
      </c>
      <c r="BR37" s="102"/>
      <c r="BS37" s="102"/>
      <c r="BT37" s="102"/>
      <c r="BU37" s="13" t="s">
        <v>570</v>
      </c>
      <c r="BV37" s="13" t="s">
        <v>570</v>
      </c>
      <c r="BW37" s="224" t="s">
        <v>570</v>
      </c>
      <c r="BX37" s="22"/>
      <c r="BY37" s="22"/>
      <c r="BZ37" s="22">
        <v>42555</v>
      </c>
      <c r="CA37" s="22">
        <v>42599</v>
      </c>
      <c r="CB37" s="224" t="s">
        <v>570</v>
      </c>
      <c r="CC37" s="224" t="s">
        <v>570</v>
      </c>
      <c r="CD37" s="224" t="s">
        <v>570</v>
      </c>
      <c r="CE37" s="22"/>
      <c r="CF37" s="22"/>
      <c r="CG37" s="22"/>
      <c r="CH37" s="22"/>
      <c r="CI37" s="22"/>
      <c r="CJ37" s="22"/>
      <c r="CK37" s="22"/>
      <c r="CL37" s="22"/>
      <c r="CM37" s="22"/>
      <c r="CN37" s="22"/>
      <c r="CO37" s="22"/>
      <c r="CP37" s="22"/>
      <c r="CQ37" s="22"/>
      <c r="CR37" s="127" t="s">
        <v>829</v>
      </c>
      <c r="CS37" s="13" t="s">
        <v>570</v>
      </c>
      <c r="CT37" s="13" t="s">
        <v>570</v>
      </c>
      <c r="CU37" s="13" t="s">
        <v>570</v>
      </c>
      <c r="CV37" s="23"/>
      <c r="CW37" s="30"/>
      <c r="CX37" s="170" t="s">
        <v>1403</v>
      </c>
      <c r="CY37" s="99">
        <v>42780</v>
      </c>
      <c r="CZ37" s="233">
        <v>6991.07</v>
      </c>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31">
        <f t="shared" si="12"/>
        <v>6991.07</v>
      </c>
      <c r="DZ37" s="13"/>
      <c r="EA37" s="13"/>
      <c r="EB37" s="13"/>
      <c r="EC37" s="13"/>
      <c r="ED37" s="13"/>
      <c r="EE37" s="13"/>
      <c r="EF37" s="13"/>
      <c r="EG37" s="13">
        <v>15</v>
      </c>
      <c r="EH37" s="13"/>
      <c r="EI37" s="13"/>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5">
        <v>1</v>
      </c>
      <c r="FT37" s="25">
        <v>1</v>
      </c>
      <c r="FU37" s="25">
        <v>1</v>
      </c>
      <c r="FV37" s="25">
        <v>1</v>
      </c>
      <c r="FW37" s="25">
        <v>1</v>
      </c>
      <c r="FX37" s="25">
        <v>1</v>
      </c>
      <c r="FY37" s="25">
        <v>1</v>
      </c>
      <c r="FZ37" s="25">
        <v>1</v>
      </c>
      <c r="GA37" s="25">
        <v>1</v>
      </c>
      <c r="GB37" s="25">
        <v>1</v>
      </c>
      <c r="GC37" s="25">
        <v>1</v>
      </c>
      <c r="GD37" s="25">
        <v>1</v>
      </c>
      <c r="GE37" s="25">
        <v>1</v>
      </c>
      <c r="GF37" s="25">
        <v>1</v>
      </c>
      <c r="GG37" s="25">
        <v>1</v>
      </c>
      <c r="GH37" s="25">
        <v>1</v>
      </c>
      <c r="GI37" s="25">
        <v>1</v>
      </c>
      <c r="GJ37" s="25">
        <v>1</v>
      </c>
      <c r="GK37" s="25">
        <v>1</v>
      </c>
      <c r="GL37" s="25">
        <v>1</v>
      </c>
      <c r="GM37" s="25">
        <v>1</v>
      </c>
      <c r="GN37" s="25">
        <v>1</v>
      </c>
      <c r="GO37" s="25">
        <v>1</v>
      </c>
      <c r="GP37" s="25">
        <v>1</v>
      </c>
      <c r="GQ37" s="25">
        <v>1</v>
      </c>
      <c r="GR37" s="25">
        <v>1</v>
      </c>
      <c r="GS37" s="25">
        <v>1</v>
      </c>
      <c r="GT37" s="25">
        <v>1</v>
      </c>
      <c r="GU37" s="25">
        <v>1</v>
      </c>
      <c r="GV37" s="25" t="s">
        <v>455</v>
      </c>
      <c r="GW37" s="25" t="s">
        <v>455</v>
      </c>
      <c r="GX37" s="25" t="s">
        <v>455</v>
      </c>
      <c r="GY37" s="25" t="s">
        <v>455</v>
      </c>
      <c r="GZ37" s="25" t="s">
        <v>455</v>
      </c>
      <c r="HA37" s="25" t="s">
        <v>455</v>
      </c>
      <c r="HB37" s="25" t="s">
        <v>455</v>
      </c>
      <c r="HC37" s="25" t="s">
        <v>455</v>
      </c>
      <c r="HD37" s="25" t="s">
        <v>455</v>
      </c>
      <c r="HE37" s="25" t="s">
        <v>455</v>
      </c>
      <c r="HF37" s="25" t="s">
        <v>455</v>
      </c>
      <c r="HG37" s="25" t="s">
        <v>455</v>
      </c>
      <c r="HH37" s="25" t="s">
        <v>455</v>
      </c>
      <c r="HI37" s="25"/>
      <c r="HJ37" s="25"/>
      <c r="HK37" s="25"/>
      <c r="HL37" s="25"/>
      <c r="HM37" s="25"/>
      <c r="HN37" s="25"/>
      <c r="HO37" s="25"/>
      <c r="HP37" s="25"/>
      <c r="HQ37" s="25"/>
      <c r="HR37" s="25"/>
      <c r="HS37" s="25"/>
      <c r="HT37" s="25"/>
      <c r="HU37" s="13" t="s">
        <v>483</v>
      </c>
      <c r="HV37" s="13"/>
      <c r="HW37" s="32"/>
      <c r="HX37" s="55"/>
      <c r="HY37" s="55"/>
      <c r="HZ37" s="55"/>
      <c r="IA37" s="55"/>
      <c r="IB37" s="55"/>
      <c r="IC37" s="55"/>
      <c r="ID37" s="55"/>
      <c r="IE37" s="55"/>
      <c r="IF37" s="107">
        <v>6991.07</v>
      </c>
      <c r="IG37" s="107">
        <v>6991.07</v>
      </c>
      <c r="IH37" s="250">
        <f t="shared" si="3"/>
        <v>0</v>
      </c>
      <c r="II37" s="55"/>
      <c r="IJ37" s="55"/>
      <c r="IK37" s="55"/>
      <c r="IL37" s="55"/>
      <c r="IM37" s="55"/>
      <c r="IN37" s="55"/>
      <c r="IO37" s="55"/>
      <c r="IP37" s="55"/>
      <c r="IQ37" s="55"/>
      <c r="IR37" s="55"/>
      <c r="IS37" s="55"/>
      <c r="IT37" s="55"/>
      <c r="IU37" s="55"/>
      <c r="IV37" s="55"/>
      <c r="IW37" s="55"/>
      <c r="IX37" s="55"/>
      <c r="IY37" s="55"/>
      <c r="IZ37" s="55"/>
      <c r="JA37" s="55"/>
      <c r="JB37" s="55"/>
      <c r="JC37" s="55"/>
      <c r="JD37" s="55">
        <v>2016</v>
      </c>
    </row>
    <row r="38" spans="1:411" s="5" customFormat="1" ht="24.95" hidden="1" customHeight="1">
      <c r="A38" s="26" t="s">
        <v>9</v>
      </c>
      <c r="B38" s="26" t="s">
        <v>1</v>
      </c>
      <c r="C38" s="13" t="s">
        <v>358</v>
      </c>
      <c r="D38" s="13" t="s">
        <v>379</v>
      </c>
      <c r="E38" s="16" t="s">
        <v>359</v>
      </c>
      <c r="F38" s="13" t="s">
        <v>359</v>
      </c>
      <c r="G38" s="39" t="s">
        <v>354</v>
      </c>
      <c r="H38" s="28" t="s">
        <v>1559</v>
      </c>
      <c r="I38" s="47" t="s">
        <v>25</v>
      </c>
      <c r="J38" s="13" t="s">
        <v>1391</v>
      </c>
      <c r="K38" s="13" t="s">
        <v>1391</v>
      </c>
      <c r="L38" s="26" t="s">
        <v>24</v>
      </c>
      <c r="M38" s="20" t="s">
        <v>25</v>
      </c>
      <c r="N38" s="20"/>
      <c r="O38" s="13" t="s">
        <v>3</v>
      </c>
      <c r="P38" s="13" t="s">
        <v>4</v>
      </c>
      <c r="Q38" s="22" t="s">
        <v>1118</v>
      </c>
      <c r="R38" s="44">
        <v>17395</v>
      </c>
      <c r="S38" s="13" t="s">
        <v>456</v>
      </c>
      <c r="T38" s="13" t="s">
        <v>1387</v>
      </c>
      <c r="U38" s="13" t="s">
        <v>479</v>
      </c>
      <c r="V38" s="13" t="s">
        <v>482</v>
      </c>
      <c r="W38" s="13" t="s">
        <v>570</v>
      </c>
      <c r="X38" s="13" t="s">
        <v>570</v>
      </c>
      <c r="Y38" s="13" t="s">
        <v>503</v>
      </c>
      <c r="Z38" s="13" t="s">
        <v>503</v>
      </c>
      <c r="AA38" s="41"/>
      <c r="AB38" s="29">
        <v>6991.07</v>
      </c>
      <c r="AC38" s="29">
        <v>0</v>
      </c>
      <c r="AD38" s="29">
        <v>6991.07</v>
      </c>
      <c r="AE38" s="29">
        <v>0</v>
      </c>
      <c r="AF38" s="29">
        <f t="shared" si="4"/>
        <v>6991.07</v>
      </c>
      <c r="AG38" s="25">
        <v>0.12</v>
      </c>
      <c r="AH38" s="29">
        <f t="shared" si="5"/>
        <v>838.9283999999999</v>
      </c>
      <c r="AI38" s="29">
        <f t="shared" si="6"/>
        <v>0</v>
      </c>
      <c r="AJ38" s="29">
        <f t="shared" si="0"/>
        <v>7829.9984000000004</v>
      </c>
      <c r="AK38" s="126">
        <v>6991.07</v>
      </c>
      <c r="AL38" s="126">
        <f t="shared" si="14"/>
        <v>0</v>
      </c>
      <c r="AM38" s="126"/>
      <c r="AN38" s="41"/>
      <c r="AO38" s="29">
        <v>6991.07</v>
      </c>
      <c r="AP38" s="41"/>
      <c r="AQ38" s="29">
        <v>6991.07</v>
      </c>
      <c r="AR38" s="35">
        <v>0.14000000000000001</v>
      </c>
      <c r="AS38" s="41">
        <f t="shared" si="15"/>
        <v>978.74980000000005</v>
      </c>
      <c r="AT38" s="29">
        <f>+AQ38*1.14</f>
        <v>7969.8197999999993</v>
      </c>
      <c r="AU38" s="128"/>
      <c r="AV38" s="128"/>
      <c r="AW38" s="128"/>
      <c r="AX38" s="128"/>
      <c r="AY38" s="128"/>
      <c r="AZ38" s="128"/>
      <c r="BA38" s="128"/>
      <c r="BB38" s="128"/>
      <c r="BC38" s="128"/>
      <c r="BD38" s="129"/>
      <c r="BE38" s="129"/>
      <c r="BF38" s="29">
        <f t="shared" si="13"/>
        <v>0</v>
      </c>
      <c r="BG38" s="29">
        <f t="shared" si="11"/>
        <v>0</v>
      </c>
      <c r="BH38" s="37"/>
      <c r="BI38" s="29" t="s">
        <v>570</v>
      </c>
      <c r="BJ38" s="29" t="s">
        <v>570</v>
      </c>
      <c r="BK38" s="29" t="s">
        <v>570</v>
      </c>
      <c r="BL38" s="29" t="s">
        <v>570</v>
      </c>
      <c r="BM38" s="29" t="s">
        <v>570</v>
      </c>
      <c r="BN38" s="102">
        <v>42285</v>
      </c>
      <c r="BO38" s="102">
        <v>42306</v>
      </c>
      <c r="BP38" s="102">
        <v>42316</v>
      </c>
      <c r="BQ38" s="102">
        <v>42317</v>
      </c>
      <c r="BR38" s="102"/>
      <c r="BS38" s="102"/>
      <c r="BT38" s="102"/>
      <c r="BU38" s="13" t="s">
        <v>570</v>
      </c>
      <c r="BV38" s="13" t="s">
        <v>570</v>
      </c>
      <c r="BW38" s="224" t="s">
        <v>570</v>
      </c>
      <c r="BX38" s="22"/>
      <c r="BY38" s="23" t="s">
        <v>570</v>
      </c>
      <c r="BZ38" s="22">
        <v>42555</v>
      </c>
      <c r="CA38" s="22">
        <v>42599</v>
      </c>
      <c r="CB38" s="224" t="s">
        <v>570</v>
      </c>
      <c r="CC38" s="224" t="s">
        <v>570</v>
      </c>
      <c r="CD38" s="224" t="s">
        <v>570</v>
      </c>
      <c r="CE38" s="22"/>
      <c r="CF38" s="22"/>
      <c r="CG38" s="22"/>
      <c r="CH38" s="22"/>
      <c r="CI38" s="22"/>
      <c r="CJ38" s="22"/>
      <c r="CK38" s="22"/>
      <c r="CL38" s="22"/>
      <c r="CM38" s="22"/>
      <c r="CN38" s="22"/>
      <c r="CO38" s="22"/>
      <c r="CP38" s="22"/>
      <c r="CQ38" s="22"/>
      <c r="CR38" s="127" t="s">
        <v>829</v>
      </c>
      <c r="CS38" s="13" t="s">
        <v>570</v>
      </c>
      <c r="CT38" s="13" t="s">
        <v>570</v>
      </c>
      <c r="CU38" s="13" t="s">
        <v>570</v>
      </c>
      <c r="CV38" s="23"/>
      <c r="CW38" s="30"/>
      <c r="CX38" s="170" t="s">
        <v>1418</v>
      </c>
      <c r="CY38" s="99">
        <v>42786</v>
      </c>
      <c r="CZ38" s="167">
        <v>6991.07</v>
      </c>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31">
        <f t="shared" si="12"/>
        <v>6991.07</v>
      </c>
      <c r="DZ38" s="13"/>
      <c r="EA38" s="13"/>
      <c r="EB38" s="13"/>
      <c r="EC38" s="13"/>
      <c r="ED38" s="13"/>
      <c r="EE38" s="13"/>
      <c r="EF38" s="13"/>
      <c r="EG38" s="13">
        <v>15</v>
      </c>
      <c r="EH38" s="13" t="s">
        <v>503</v>
      </c>
      <c r="EI38" s="13" t="s">
        <v>503</v>
      </c>
      <c r="EJ38" s="13" t="s">
        <v>503</v>
      </c>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5">
        <v>1</v>
      </c>
      <c r="FT38" s="25">
        <v>1</v>
      </c>
      <c r="FU38" s="25">
        <v>1</v>
      </c>
      <c r="FV38" s="25">
        <v>1</v>
      </c>
      <c r="FW38" s="25">
        <v>1</v>
      </c>
      <c r="FX38" s="25">
        <v>1</v>
      </c>
      <c r="FY38" s="25">
        <v>1</v>
      </c>
      <c r="FZ38" s="25">
        <v>1</v>
      </c>
      <c r="GA38" s="25">
        <v>1</v>
      </c>
      <c r="GB38" s="25">
        <v>1</v>
      </c>
      <c r="GC38" s="25">
        <v>1</v>
      </c>
      <c r="GD38" s="25">
        <v>1</v>
      </c>
      <c r="GE38" s="25">
        <v>1</v>
      </c>
      <c r="GF38" s="25">
        <v>1</v>
      </c>
      <c r="GG38" s="25">
        <v>1</v>
      </c>
      <c r="GH38" s="25">
        <v>1</v>
      </c>
      <c r="GI38" s="25">
        <v>1</v>
      </c>
      <c r="GJ38" s="25">
        <v>1</v>
      </c>
      <c r="GK38" s="25">
        <v>1</v>
      </c>
      <c r="GL38" s="25">
        <v>1</v>
      </c>
      <c r="GM38" s="25">
        <v>1</v>
      </c>
      <c r="GN38" s="25">
        <v>1</v>
      </c>
      <c r="GO38" s="25">
        <v>1</v>
      </c>
      <c r="GP38" s="25">
        <v>1</v>
      </c>
      <c r="GQ38" s="25">
        <v>1</v>
      </c>
      <c r="GR38" s="25">
        <v>1</v>
      </c>
      <c r="GS38" s="25">
        <v>1</v>
      </c>
      <c r="GT38" s="25">
        <v>1</v>
      </c>
      <c r="GU38" s="25">
        <v>1</v>
      </c>
      <c r="GV38" s="25" t="s">
        <v>455</v>
      </c>
      <c r="GW38" s="25" t="s">
        <v>455</v>
      </c>
      <c r="GX38" s="25" t="s">
        <v>455</v>
      </c>
      <c r="GY38" s="25" t="s">
        <v>455</v>
      </c>
      <c r="GZ38" s="25" t="s">
        <v>455</v>
      </c>
      <c r="HA38" s="25" t="s">
        <v>455</v>
      </c>
      <c r="HB38" s="25" t="s">
        <v>455</v>
      </c>
      <c r="HC38" s="25" t="s">
        <v>455</v>
      </c>
      <c r="HD38" s="25" t="s">
        <v>455</v>
      </c>
      <c r="HE38" s="25" t="s">
        <v>455</v>
      </c>
      <c r="HF38" s="25" t="s">
        <v>455</v>
      </c>
      <c r="HG38" s="25" t="s">
        <v>455</v>
      </c>
      <c r="HH38" s="25" t="s">
        <v>455</v>
      </c>
      <c r="HI38" s="25"/>
      <c r="HJ38" s="25"/>
      <c r="HK38" s="25"/>
      <c r="HL38" s="25"/>
      <c r="HM38" s="25"/>
      <c r="HN38" s="25"/>
      <c r="HO38" s="25"/>
      <c r="HP38" s="25"/>
      <c r="HQ38" s="25"/>
      <c r="HR38" s="25"/>
      <c r="HS38" s="25"/>
      <c r="HT38" s="25"/>
      <c r="HU38" s="13" t="s">
        <v>646</v>
      </c>
      <c r="HV38" s="13"/>
      <c r="HW38" s="32"/>
      <c r="HX38" s="55"/>
      <c r="HY38" s="55"/>
      <c r="HZ38" s="55"/>
      <c r="IA38" s="55"/>
      <c r="IB38" s="55"/>
      <c r="IC38" s="55"/>
      <c r="ID38" s="55"/>
      <c r="IE38" s="55"/>
      <c r="IF38" s="107">
        <v>6991.07</v>
      </c>
      <c r="IG38" s="107">
        <v>6991.07</v>
      </c>
      <c r="IH38" s="250">
        <f t="shared" si="3"/>
        <v>0</v>
      </c>
      <c r="II38" s="55"/>
      <c r="IJ38" s="55"/>
      <c r="IK38" s="55"/>
      <c r="IL38" s="55"/>
      <c r="IM38" s="55"/>
      <c r="IN38" s="55"/>
      <c r="IO38" s="55"/>
      <c r="IP38" s="55"/>
      <c r="IQ38" s="55"/>
      <c r="IR38" s="55"/>
      <c r="IS38" s="55"/>
      <c r="IT38" s="55"/>
      <c r="IU38" s="55"/>
      <c r="IV38" s="55"/>
      <c r="IW38" s="55"/>
      <c r="IX38" s="55"/>
      <c r="IY38" s="55"/>
      <c r="IZ38" s="55"/>
      <c r="JA38" s="55"/>
      <c r="JB38" s="55"/>
      <c r="JC38" s="55"/>
      <c r="JD38" s="55">
        <v>2016</v>
      </c>
    </row>
    <row r="39" spans="1:411" s="5" customFormat="1" ht="24.95" hidden="1" customHeight="1">
      <c r="A39" s="26" t="s">
        <v>138</v>
      </c>
      <c r="B39" s="26" t="s">
        <v>1</v>
      </c>
      <c r="C39" s="13" t="s">
        <v>358</v>
      </c>
      <c r="D39" s="13" t="s">
        <v>379</v>
      </c>
      <c r="E39" s="16" t="s">
        <v>359</v>
      </c>
      <c r="F39" s="13" t="s">
        <v>359</v>
      </c>
      <c r="G39" s="39" t="s">
        <v>354</v>
      </c>
      <c r="H39" s="28" t="s">
        <v>1549</v>
      </c>
      <c r="I39" s="21" t="s">
        <v>25</v>
      </c>
      <c r="J39" s="13" t="s">
        <v>1391</v>
      </c>
      <c r="K39" s="13" t="s">
        <v>1391</v>
      </c>
      <c r="L39" s="26" t="s">
        <v>24</v>
      </c>
      <c r="M39" s="20" t="s">
        <v>25</v>
      </c>
      <c r="N39" s="20"/>
      <c r="O39" s="13" t="s">
        <v>3</v>
      </c>
      <c r="P39" s="13" t="s">
        <v>4</v>
      </c>
      <c r="Q39" s="22" t="s">
        <v>1118</v>
      </c>
      <c r="R39" s="44">
        <v>17395</v>
      </c>
      <c r="S39" s="13" t="s">
        <v>456</v>
      </c>
      <c r="T39" s="13" t="s">
        <v>1387</v>
      </c>
      <c r="U39" s="13" t="s">
        <v>479</v>
      </c>
      <c r="V39" s="13" t="s">
        <v>482</v>
      </c>
      <c r="W39" s="13"/>
      <c r="X39" s="13"/>
      <c r="Y39" s="13"/>
      <c r="Z39" s="13"/>
      <c r="AA39" s="41"/>
      <c r="AB39" s="29">
        <v>6991.07</v>
      </c>
      <c r="AC39" s="29">
        <v>0</v>
      </c>
      <c r="AD39" s="29">
        <v>6991.07</v>
      </c>
      <c r="AE39" s="29">
        <v>0</v>
      </c>
      <c r="AF39" s="29">
        <f t="shared" si="4"/>
        <v>6991.07</v>
      </c>
      <c r="AG39" s="25">
        <v>0.12</v>
      </c>
      <c r="AH39" s="29">
        <f t="shared" si="5"/>
        <v>838.9283999999999</v>
      </c>
      <c r="AI39" s="29">
        <f t="shared" si="6"/>
        <v>0</v>
      </c>
      <c r="AJ39" s="29">
        <f t="shared" si="0"/>
        <v>7829.9984000000004</v>
      </c>
      <c r="AK39" s="126">
        <v>6991.07</v>
      </c>
      <c r="AL39" s="126">
        <f t="shared" si="14"/>
        <v>0</v>
      </c>
      <c r="AM39" s="126"/>
      <c r="AN39" s="41"/>
      <c r="AO39" s="29">
        <v>6991.07</v>
      </c>
      <c r="AP39" s="41"/>
      <c r="AQ39" s="29">
        <v>6991.07</v>
      </c>
      <c r="AR39" s="128"/>
      <c r="AS39" s="128"/>
      <c r="AT39" s="128"/>
      <c r="AU39" s="128"/>
      <c r="AV39" s="128"/>
      <c r="AW39" s="128"/>
      <c r="AX39" s="128"/>
      <c r="AY39" s="128"/>
      <c r="AZ39" s="128"/>
      <c r="BA39" s="128"/>
      <c r="BB39" s="128"/>
      <c r="BC39" s="128"/>
      <c r="BD39" s="129"/>
      <c r="BE39" s="129"/>
      <c r="BF39" s="29">
        <f t="shared" si="13"/>
        <v>0</v>
      </c>
      <c r="BG39" s="29">
        <f t="shared" si="11"/>
        <v>0</v>
      </c>
      <c r="BH39" s="37"/>
      <c r="BI39" s="29" t="s">
        <v>570</v>
      </c>
      <c r="BJ39" s="29" t="s">
        <v>570</v>
      </c>
      <c r="BK39" s="29" t="s">
        <v>570</v>
      </c>
      <c r="BL39" s="29" t="s">
        <v>570</v>
      </c>
      <c r="BM39" s="29" t="s">
        <v>570</v>
      </c>
      <c r="BN39" s="102">
        <v>42285</v>
      </c>
      <c r="BO39" s="102">
        <v>42306</v>
      </c>
      <c r="BP39" s="102">
        <v>42316</v>
      </c>
      <c r="BQ39" s="102">
        <v>42317</v>
      </c>
      <c r="BR39" s="102"/>
      <c r="BS39" s="102"/>
      <c r="BT39" s="102"/>
      <c r="BU39" s="13" t="s">
        <v>570</v>
      </c>
      <c r="BV39" s="13" t="s">
        <v>570</v>
      </c>
      <c r="BW39" s="224" t="s">
        <v>570</v>
      </c>
      <c r="BX39" s="22"/>
      <c r="BY39" s="22"/>
      <c r="BZ39" s="22">
        <v>42555</v>
      </c>
      <c r="CA39" s="22">
        <v>42599</v>
      </c>
      <c r="CB39" s="224" t="s">
        <v>570</v>
      </c>
      <c r="CC39" s="224" t="s">
        <v>570</v>
      </c>
      <c r="CD39" s="224" t="s">
        <v>570</v>
      </c>
      <c r="CE39" s="22"/>
      <c r="CF39" s="22"/>
      <c r="CG39" s="22"/>
      <c r="CH39" s="22"/>
      <c r="CI39" s="22"/>
      <c r="CJ39" s="22"/>
      <c r="CK39" s="22"/>
      <c r="CL39" s="22"/>
      <c r="CM39" s="22"/>
      <c r="CN39" s="22"/>
      <c r="CO39" s="22"/>
      <c r="CP39" s="22"/>
      <c r="CQ39" s="22"/>
      <c r="CR39" s="127" t="s">
        <v>829</v>
      </c>
      <c r="CS39" s="13" t="s">
        <v>570</v>
      </c>
      <c r="CT39" s="13" t="s">
        <v>570</v>
      </c>
      <c r="CU39" s="13" t="s">
        <v>570</v>
      </c>
      <c r="CV39" s="23" t="s">
        <v>570</v>
      </c>
      <c r="CW39" s="30">
        <v>0</v>
      </c>
      <c r="CX39" s="13"/>
      <c r="CY39" s="155">
        <v>42494</v>
      </c>
      <c r="CZ39" s="37">
        <v>6991.07</v>
      </c>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31">
        <f t="shared" si="12"/>
        <v>6991.07</v>
      </c>
      <c r="DZ39" s="13"/>
      <c r="EA39" s="13"/>
      <c r="EB39" s="13"/>
      <c r="EC39" s="13"/>
      <c r="ED39" s="13"/>
      <c r="EE39" s="13"/>
      <c r="EF39" s="13"/>
      <c r="EG39" s="13">
        <v>15</v>
      </c>
      <c r="EH39" s="13"/>
      <c r="EI39" s="13"/>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5">
        <v>1</v>
      </c>
      <c r="FT39" s="25">
        <v>1</v>
      </c>
      <c r="FU39" s="25">
        <v>1</v>
      </c>
      <c r="FV39" s="25">
        <v>1</v>
      </c>
      <c r="FW39" s="25">
        <v>1</v>
      </c>
      <c r="FX39" s="25">
        <v>1</v>
      </c>
      <c r="FY39" s="25">
        <v>1</v>
      </c>
      <c r="FZ39" s="25">
        <v>1</v>
      </c>
      <c r="GA39" s="25">
        <v>1</v>
      </c>
      <c r="GB39" s="25">
        <v>1</v>
      </c>
      <c r="GC39" s="25">
        <v>1</v>
      </c>
      <c r="GD39" s="25">
        <v>1</v>
      </c>
      <c r="GE39" s="25">
        <v>1</v>
      </c>
      <c r="GF39" s="25">
        <v>1</v>
      </c>
      <c r="GG39" s="25">
        <v>1</v>
      </c>
      <c r="GH39" s="25">
        <v>1</v>
      </c>
      <c r="GI39" s="25">
        <v>1</v>
      </c>
      <c r="GJ39" s="25">
        <v>1</v>
      </c>
      <c r="GK39" s="25">
        <v>1</v>
      </c>
      <c r="GL39" s="25">
        <v>1</v>
      </c>
      <c r="GM39" s="25">
        <v>1</v>
      </c>
      <c r="GN39" s="25">
        <v>1</v>
      </c>
      <c r="GO39" s="25">
        <v>1</v>
      </c>
      <c r="GP39" s="25">
        <v>1</v>
      </c>
      <c r="GQ39" s="25">
        <v>1</v>
      </c>
      <c r="GR39" s="25">
        <v>1</v>
      </c>
      <c r="GS39" s="25">
        <v>1</v>
      </c>
      <c r="GT39" s="25">
        <v>1</v>
      </c>
      <c r="GU39" s="25">
        <v>1</v>
      </c>
      <c r="GV39" s="25" t="s">
        <v>455</v>
      </c>
      <c r="GW39" s="25" t="s">
        <v>455</v>
      </c>
      <c r="GX39" s="25" t="s">
        <v>455</v>
      </c>
      <c r="GY39" s="25" t="s">
        <v>455</v>
      </c>
      <c r="GZ39" s="25" t="s">
        <v>455</v>
      </c>
      <c r="HA39" s="25" t="s">
        <v>455</v>
      </c>
      <c r="HB39" s="25" t="s">
        <v>455</v>
      </c>
      <c r="HC39" s="25" t="s">
        <v>455</v>
      </c>
      <c r="HD39" s="25" t="s">
        <v>455</v>
      </c>
      <c r="HE39" s="25" t="s">
        <v>455</v>
      </c>
      <c r="HF39" s="25" t="s">
        <v>455</v>
      </c>
      <c r="HG39" s="25" t="s">
        <v>455</v>
      </c>
      <c r="HH39" s="25" t="s">
        <v>455</v>
      </c>
      <c r="HI39" s="25"/>
      <c r="HJ39" s="25"/>
      <c r="HK39" s="25"/>
      <c r="HL39" s="25"/>
      <c r="HM39" s="25"/>
      <c r="HN39" s="25"/>
      <c r="HO39" s="25"/>
      <c r="HP39" s="25"/>
      <c r="HQ39" s="25"/>
      <c r="HR39" s="25"/>
      <c r="HS39" s="25"/>
      <c r="HT39" s="25"/>
      <c r="HU39" s="13" t="s">
        <v>483</v>
      </c>
      <c r="HV39" s="13"/>
      <c r="HW39" s="32"/>
      <c r="HX39" s="55"/>
      <c r="HY39" s="55"/>
      <c r="HZ39" s="55"/>
      <c r="IA39" s="55"/>
      <c r="IB39" s="55"/>
      <c r="IC39" s="55"/>
      <c r="ID39" s="55"/>
      <c r="IE39" s="55"/>
      <c r="IF39" s="107">
        <v>6991.07</v>
      </c>
      <c r="IG39" s="107">
        <v>6991.07</v>
      </c>
      <c r="IH39" s="250">
        <f t="shared" si="3"/>
        <v>0</v>
      </c>
      <c r="II39" s="55"/>
      <c r="IJ39" s="55"/>
      <c r="IK39" s="55"/>
      <c r="IL39" s="55"/>
      <c r="IM39" s="55"/>
      <c r="IN39" s="55"/>
      <c r="IO39" s="55"/>
      <c r="IP39" s="55"/>
      <c r="IQ39" s="55"/>
      <c r="IR39" s="55"/>
      <c r="IS39" s="55"/>
      <c r="IT39" s="55"/>
      <c r="IU39" s="55"/>
      <c r="IV39" s="55"/>
      <c r="IW39" s="55"/>
      <c r="IX39" s="55"/>
      <c r="IY39" s="55"/>
      <c r="IZ39" s="55"/>
      <c r="JA39" s="55"/>
      <c r="JB39" s="55"/>
      <c r="JC39" s="55"/>
      <c r="JD39" s="55">
        <v>2016</v>
      </c>
    </row>
    <row r="40" spans="1:411" s="5" customFormat="1" ht="24.95" hidden="1" customHeight="1">
      <c r="A40" s="26" t="s">
        <v>16</v>
      </c>
      <c r="B40" s="26" t="s">
        <v>1</v>
      </c>
      <c r="C40" s="13" t="s">
        <v>358</v>
      </c>
      <c r="D40" s="13" t="s">
        <v>379</v>
      </c>
      <c r="E40" s="16" t="s">
        <v>359</v>
      </c>
      <c r="F40" s="13" t="s">
        <v>359</v>
      </c>
      <c r="G40" s="39" t="s">
        <v>354</v>
      </c>
      <c r="H40" s="28" t="s">
        <v>1518</v>
      </c>
      <c r="I40" s="21" t="s">
        <v>25</v>
      </c>
      <c r="J40" s="13" t="s">
        <v>1391</v>
      </c>
      <c r="K40" s="13" t="s">
        <v>1391</v>
      </c>
      <c r="L40" s="26" t="s">
        <v>24</v>
      </c>
      <c r="M40" s="20" t="s">
        <v>25</v>
      </c>
      <c r="N40" s="20"/>
      <c r="O40" s="13" t="s">
        <v>3</v>
      </c>
      <c r="P40" s="13" t="s">
        <v>4</v>
      </c>
      <c r="Q40" s="22" t="s">
        <v>1118</v>
      </c>
      <c r="R40" s="44">
        <v>17395</v>
      </c>
      <c r="S40" s="13" t="s">
        <v>456</v>
      </c>
      <c r="T40" s="13" t="s">
        <v>1387</v>
      </c>
      <c r="U40" s="13" t="s">
        <v>479</v>
      </c>
      <c r="V40" s="13" t="s">
        <v>482</v>
      </c>
      <c r="W40" s="13"/>
      <c r="X40" s="13"/>
      <c r="Y40" s="13"/>
      <c r="Z40" s="13"/>
      <c r="AA40" s="41"/>
      <c r="AB40" s="29">
        <v>6991.07</v>
      </c>
      <c r="AC40" s="29">
        <v>0</v>
      </c>
      <c r="AD40" s="29">
        <v>6991.07</v>
      </c>
      <c r="AE40" s="29">
        <v>0</v>
      </c>
      <c r="AF40" s="29">
        <f t="shared" si="4"/>
        <v>6991.07</v>
      </c>
      <c r="AG40" s="25">
        <v>0.12</v>
      </c>
      <c r="AH40" s="29">
        <f t="shared" si="5"/>
        <v>838.9283999999999</v>
      </c>
      <c r="AI40" s="29">
        <f t="shared" si="6"/>
        <v>0</v>
      </c>
      <c r="AJ40" s="29">
        <f t="shared" si="0"/>
        <v>7829.9984000000004</v>
      </c>
      <c r="AK40" s="126">
        <v>6991.07</v>
      </c>
      <c r="AL40" s="126">
        <f t="shared" si="14"/>
        <v>0</v>
      </c>
      <c r="AM40" s="126"/>
      <c r="AN40" s="41"/>
      <c r="AO40" s="29">
        <v>6991.07</v>
      </c>
      <c r="AP40" s="41"/>
      <c r="AQ40" s="29">
        <v>6991.07</v>
      </c>
      <c r="AR40" s="29"/>
      <c r="AS40" s="29"/>
      <c r="AT40" s="29"/>
      <c r="AU40" s="29"/>
      <c r="AV40" s="29"/>
      <c r="AW40" s="29"/>
      <c r="AX40" s="29"/>
      <c r="AY40" s="29"/>
      <c r="AZ40" s="29"/>
      <c r="BA40" s="29"/>
      <c r="BB40" s="29"/>
      <c r="BC40" s="29"/>
      <c r="BD40" s="29"/>
      <c r="BE40" s="29"/>
      <c r="BF40" s="29">
        <f t="shared" si="13"/>
        <v>0</v>
      </c>
      <c r="BG40" s="29">
        <f t="shared" si="11"/>
        <v>0</v>
      </c>
      <c r="BH40" s="37"/>
      <c r="BI40" s="29" t="s">
        <v>570</v>
      </c>
      <c r="BJ40" s="29" t="s">
        <v>570</v>
      </c>
      <c r="BK40" s="29" t="s">
        <v>570</v>
      </c>
      <c r="BL40" s="29" t="s">
        <v>570</v>
      </c>
      <c r="BM40" s="29" t="s">
        <v>570</v>
      </c>
      <c r="BN40" s="102">
        <v>42285</v>
      </c>
      <c r="BO40" s="102">
        <v>42306</v>
      </c>
      <c r="BP40" s="102">
        <v>42316</v>
      </c>
      <c r="BQ40" s="102">
        <v>42317</v>
      </c>
      <c r="BR40" s="102"/>
      <c r="BS40" s="102"/>
      <c r="BT40" s="102"/>
      <c r="BU40" s="13" t="s">
        <v>570</v>
      </c>
      <c r="BV40" s="13" t="s">
        <v>570</v>
      </c>
      <c r="BW40" s="224" t="s">
        <v>570</v>
      </c>
      <c r="BX40" s="22"/>
      <c r="BY40" s="22"/>
      <c r="BZ40" s="22">
        <v>42555</v>
      </c>
      <c r="CA40" s="22">
        <v>42599</v>
      </c>
      <c r="CB40" s="224" t="s">
        <v>570</v>
      </c>
      <c r="CC40" s="224" t="s">
        <v>570</v>
      </c>
      <c r="CD40" s="224" t="s">
        <v>570</v>
      </c>
      <c r="CE40" s="22"/>
      <c r="CF40" s="22"/>
      <c r="CG40" s="22"/>
      <c r="CH40" s="22"/>
      <c r="CI40" s="22"/>
      <c r="CJ40" s="22"/>
      <c r="CK40" s="22"/>
      <c r="CL40" s="22"/>
      <c r="CM40" s="22"/>
      <c r="CN40" s="22"/>
      <c r="CO40" s="22"/>
      <c r="CP40" s="22"/>
      <c r="CQ40" s="22"/>
      <c r="CR40" s="127" t="s">
        <v>829</v>
      </c>
      <c r="CS40" s="13" t="s">
        <v>570</v>
      </c>
      <c r="CT40" s="13" t="s">
        <v>570</v>
      </c>
      <c r="CU40" s="13" t="s">
        <v>570</v>
      </c>
      <c r="CV40" s="23"/>
      <c r="CW40" s="30"/>
      <c r="CX40" s="99"/>
      <c r="CY40" s="155">
        <v>42664</v>
      </c>
      <c r="CZ40" s="37">
        <v>6991.07</v>
      </c>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31">
        <f t="shared" si="12"/>
        <v>6991.07</v>
      </c>
      <c r="DZ40" s="13"/>
      <c r="EA40" s="13"/>
      <c r="EB40" s="13"/>
      <c r="EC40" s="13"/>
      <c r="ED40" s="13"/>
      <c r="EE40" s="13"/>
      <c r="EF40" s="13"/>
      <c r="EG40" s="13">
        <v>15</v>
      </c>
      <c r="EH40" s="13"/>
      <c r="EI40" s="13"/>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5">
        <v>1</v>
      </c>
      <c r="FT40" s="25">
        <v>1</v>
      </c>
      <c r="FU40" s="25">
        <v>1</v>
      </c>
      <c r="FV40" s="25">
        <v>1</v>
      </c>
      <c r="FW40" s="25">
        <v>1</v>
      </c>
      <c r="FX40" s="25">
        <v>1</v>
      </c>
      <c r="FY40" s="25">
        <v>1</v>
      </c>
      <c r="FZ40" s="25">
        <v>1</v>
      </c>
      <c r="GA40" s="25">
        <v>1</v>
      </c>
      <c r="GB40" s="25">
        <v>1</v>
      </c>
      <c r="GC40" s="25">
        <v>1</v>
      </c>
      <c r="GD40" s="25">
        <v>1</v>
      </c>
      <c r="GE40" s="25">
        <v>1</v>
      </c>
      <c r="GF40" s="25">
        <v>1</v>
      </c>
      <c r="GG40" s="25">
        <v>1</v>
      </c>
      <c r="GH40" s="25">
        <v>1</v>
      </c>
      <c r="GI40" s="25">
        <v>1</v>
      </c>
      <c r="GJ40" s="25">
        <v>1</v>
      </c>
      <c r="GK40" s="25">
        <v>1</v>
      </c>
      <c r="GL40" s="25">
        <v>1</v>
      </c>
      <c r="GM40" s="25">
        <v>1</v>
      </c>
      <c r="GN40" s="25">
        <v>1</v>
      </c>
      <c r="GO40" s="25">
        <v>1</v>
      </c>
      <c r="GP40" s="25">
        <v>1</v>
      </c>
      <c r="GQ40" s="25">
        <v>1</v>
      </c>
      <c r="GR40" s="25">
        <v>1</v>
      </c>
      <c r="GS40" s="25">
        <v>1</v>
      </c>
      <c r="GT40" s="25">
        <v>1</v>
      </c>
      <c r="GU40" s="25">
        <v>1</v>
      </c>
      <c r="GV40" s="25" t="s">
        <v>455</v>
      </c>
      <c r="GW40" s="25" t="s">
        <v>455</v>
      </c>
      <c r="GX40" s="25" t="s">
        <v>455</v>
      </c>
      <c r="GY40" s="25" t="s">
        <v>455</v>
      </c>
      <c r="GZ40" s="25" t="s">
        <v>455</v>
      </c>
      <c r="HA40" s="25" t="s">
        <v>455</v>
      </c>
      <c r="HB40" s="25" t="s">
        <v>455</v>
      </c>
      <c r="HC40" s="25" t="s">
        <v>455</v>
      </c>
      <c r="HD40" s="25" t="s">
        <v>455</v>
      </c>
      <c r="HE40" s="25" t="s">
        <v>455</v>
      </c>
      <c r="HF40" s="25" t="s">
        <v>455</v>
      </c>
      <c r="HG40" s="25" t="s">
        <v>455</v>
      </c>
      <c r="HH40" s="25" t="s">
        <v>455</v>
      </c>
      <c r="HI40" s="25"/>
      <c r="HJ40" s="25"/>
      <c r="HK40" s="25"/>
      <c r="HL40" s="25"/>
      <c r="HM40" s="25"/>
      <c r="HN40" s="25"/>
      <c r="HO40" s="25"/>
      <c r="HP40" s="25"/>
      <c r="HQ40" s="25"/>
      <c r="HR40" s="25"/>
      <c r="HS40" s="25"/>
      <c r="HT40" s="25"/>
      <c r="HU40" s="13" t="s">
        <v>483</v>
      </c>
      <c r="HV40" s="13"/>
      <c r="HW40" s="32"/>
      <c r="HX40" s="55"/>
      <c r="HY40" s="55"/>
      <c r="HZ40" s="55"/>
      <c r="IA40" s="55"/>
      <c r="IB40" s="55"/>
      <c r="IC40" s="55"/>
      <c r="ID40" s="55"/>
      <c r="IE40" s="55"/>
      <c r="IF40" s="107">
        <v>6991.07</v>
      </c>
      <c r="IG40" s="107">
        <v>6991.07</v>
      </c>
      <c r="IH40" s="250">
        <f t="shared" si="3"/>
        <v>0</v>
      </c>
      <c r="II40" s="55"/>
      <c r="IJ40" s="55"/>
      <c r="IK40" s="55"/>
      <c r="IL40" s="55"/>
      <c r="IM40" s="55"/>
      <c r="IN40" s="55"/>
      <c r="IO40" s="55"/>
      <c r="IP40" s="55"/>
      <c r="IQ40" s="55"/>
      <c r="IR40" s="55"/>
      <c r="IS40" s="55"/>
      <c r="IT40" s="55"/>
      <c r="IU40" s="55"/>
      <c r="IV40" s="55"/>
      <c r="IW40" s="55"/>
      <c r="IX40" s="55"/>
      <c r="IY40" s="55"/>
      <c r="IZ40" s="55"/>
      <c r="JA40" s="55"/>
      <c r="JB40" s="55"/>
      <c r="JC40" s="55"/>
      <c r="JD40" s="55">
        <v>2016</v>
      </c>
    </row>
    <row r="41" spans="1:411" s="106" customFormat="1" ht="24.95" hidden="1" customHeight="1">
      <c r="A41" s="26" t="s">
        <v>23</v>
      </c>
      <c r="B41" s="26" t="s">
        <v>1</v>
      </c>
      <c r="C41" s="13" t="s">
        <v>352</v>
      </c>
      <c r="D41" s="13" t="s">
        <v>377</v>
      </c>
      <c r="E41" s="16" t="s">
        <v>357</v>
      </c>
      <c r="F41" s="13" t="s">
        <v>357</v>
      </c>
      <c r="G41" s="39" t="s">
        <v>354</v>
      </c>
      <c r="H41" s="13"/>
      <c r="I41" s="378" t="s">
        <v>1662</v>
      </c>
      <c r="J41" s="13"/>
      <c r="K41" s="13" t="s">
        <v>1812</v>
      </c>
      <c r="L41" s="298" t="s">
        <v>1724</v>
      </c>
      <c r="M41" s="372" t="s">
        <v>1662</v>
      </c>
      <c r="N41"/>
      <c r="O41" s="13" t="s">
        <v>14</v>
      </c>
      <c r="P41" s="13" t="s">
        <v>15</v>
      </c>
      <c r="Q41" s="375" t="s">
        <v>2097</v>
      </c>
      <c r="R41" s="22"/>
      <c r="S41" s="13"/>
      <c r="T41" s="13"/>
      <c r="U41" s="13"/>
      <c r="V41" s="13"/>
      <c r="W41" s="13"/>
      <c r="X41" s="13"/>
      <c r="Y41" s="13"/>
      <c r="Z41" s="13"/>
      <c r="AA41" s="41"/>
      <c r="AB41" s="45"/>
      <c r="AC41" s="29">
        <v>0</v>
      </c>
      <c r="AD41" s="45"/>
      <c r="AE41" s="29">
        <v>0</v>
      </c>
      <c r="AF41" s="29">
        <f t="shared" ref="AF41:AF81" si="17">AD41+AE41</f>
        <v>0</v>
      </c>
      <c r="AG41" s="25">
        <v>0.12</v>
      </c>
      <c r="AH41" s="29">
        <f t="shared" si="5"/>
        <v>0</v>
      </c>
      <c r="AI41" s="29">
        <f t="shared" si="6"/>
        <v>0</v>
      </c>
      <c r="AJ41" s="29">
        <f t="shared" si="0"/>
        <v>0</v>
      </c>
      <c r="AK41" s="29"/>
      <c r="AL41" s="29"/>
      <c r="AM41" s="29"/>
      <c r="AN41" s="41"/>
      <c r="AO41" s="41"/>
      <c r="AP41" s="41"/>
      <c r="AQ41" s="41"/>
      <c r="AR41" s="41"/>
      <c r="AS41" s="41"/>
      <c r="AT41" s="41"/>
      <c r="AU41" s="41"/>
      <c r="AV41" s="41"/>
      <c r="AW41" s="41"/>
      <c r="AX41" s="41"/>
      <c r="AY41" s="41"/>
      <c r="AZ41" s="41"/>
      <c r="BA41" s="41"/>
      <c r="BB41" s="41"/>
      <c r="BC41" s="41"/>
      <c r="BD41" s="37"/>
      <c r="BE41" s="37"/>
      <c r="BF41" s="37"/>
      <c r="BG41" s="29"/>
      <c r="BH41" s="37"/>
      <c r="BI41" s="23">
        <v>43640</v>
      </c>
      <c r="BJ41" s="23">
        <v>43717</v>
      </c>
      <c r="BK41" s="29"/>
      <c r="BL41" s="29"/>
      <c r="BM41" s="29"/>
      <c r="BN41" s="23">
        <v>43717</v>
      </c>
      <c r="BO41" s="23">
        <f>BN41+45</f>
        <v>43762</v>
      </c>
      <c r="BP41" s="13"/>
      <c r="BQ41" s="23">
        <v>43837</v>
      </c>
      <c r="BR41" s="23"/>
      <c r="BS41" s="23"/>
      <c r="BT41" s="23"/>
      <c r="BU41" s="13"/>
      <c r="BV41" s="13"/>
      <c r="BW41" s="23"/>
      <c r="BX41" s="23"/>
      <c r="BY41" s="13"/>
      <c r="BZ41" s="23"/>
      <c r="CA41" s="23"/>
      <c r="CB41" s="23"/>
      <c r="CC41" s="23"/>
      <c r="CD41" s="23"/>
      <c r="CE41" s="23"/>
      <c r="CF41" s="23"/>
      <c r="CG41" s="23">
        <v>43717</v>
      </c>
      <c r="CH41" s="23"/>
      <c r="CI41" s="23"/>
      <c r="CJ41" s="23"/>
      <c r="CK41" s="23"/>
      <c r="CL41" s="23"/>
      <c r="CM41" s="23"/>
      <c r="CN41" s="23"/>
      <c r="CO41" s="23"/>
      <c r="CP41" s="23"/>
      <c r="CQ41" s="23"/>
      <c r="CR41" s="23"/>
      <c r="CS41" s="23"/>
      <c r="CT41" s="29"/>
      <c r="CU41" s="29"/>
      <c r="CV41" s="23"/>
      <c r="CW41" s="30"/>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31"/>
      <c r="DZ41" s="13"/>
      <c r="EA41" s="13"/>
      <c r="EB41" s="13"/>
      <c r="EC41" s="13"/>
      <c r="ED41" s="13"/>
      <c r="EE41" s="13"/>
      <c r="EF41" s="13"/>
      <c r="EG41" s="13"/>
      <c r="EH41" s="13"/>
      <c r="EI41" s="23"/>
      <c r="EJ41" s="2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25"/>
      <c r="FV41" s="25"/>
      <c r="FW41" s="25"/>
      <c r="FX41" s="25"/>
      <c r="FY41" s="25"/>
      <c r="FZ41" s="25"/>
      <c r="GA41" s="25"/>
      <c r="GB41" s="25"/>
      <c r="GC41" s="25"/>
      <c r="GD41" s="25"/>
      <c r="GE41" s="25"/>
      <c r="GF41" s="25">
        <v>0</v>
      </c>
      <c r="GG41" s="25">
        <v>0</v>
      </c>
      <c r="GH41" s="25">
        <v>0</v>
      </c>
      <c r="GI41" s="25">
        <v>0</v>
      </c>
      <c r="GJ41" s="25">
        <v>0</v>
      </c>
      <c r="GK41" s="25">
        <v>0</v>
      </c>
      <c r="GL41" s="25">
        <v>0</v>
      </c>
      <c r="GM41" s="25">
        <v>0</v>
      </c>
      <c r="GN41" s="25">
        <v>0</v>
      </c>
      <c r="GO41" s="25">
        <v>0</v>
      </c>
      <c r="GP41" s="25">
        <v>0</v>
      </c>
      <c r="GQ41" s="25">
        <v>0</v>
      </c>
      <c r="GR41" s="25">
        <v>0</v>
      </c>
      <c r="GS41" s="25">
        <v>0</v>
      </c>
      <c r="GT41" s="25">
        <v>0</v>
      </c>
      <c r="GU41" s="25">
        <v>0</v>
      </c>
      <c r="GV41" s="25"/>
      <c r="GW41" s="25" t="s">
        <v>1588</v>
      </c>
      <c r="GX41" s="25" t="s">
        <v>1588</v>
      </c>
      <c r="GY41" s="25" t="s">
        <v>1588</v>
      </c>
      <c r="GZ41" s="25" t="s">
        <v>1588</v>
      </c>
      <c r="HA41" s="25" t="s">
        <v>1588</v>
      </c>
      <c r="HB41" s="25" t="s">
        <v>1588</v>
      </c>
      <c r="HC41" s="25" t="s">
        <v>1588</v>
      </c>
      <c r="HD41" s="25" t="s">
        <v>1588</v>
      </c>
      <c r="HE41" s="25" t="s">
        <v>1588</v>
      </c>
      <c r="HF41" s="25" t="s">
        <v>1588</v>
      </c>
      <c r="HG41" s="25" t="s">
        <v>1588</v>
      </c>
      <c r="HH41" s="25" t="s">
        <v>1588</v>
      </c>
      <c r="HI41" s="25"/>
      <c r="HJ41" s="25"/>
      <c r="HK41" s="25"/>
      <c r="HL41" s="25"/>
      <c r="HM41" s="25"/>
      <c r="HN41" s="25"/>
      <c r="HO41" s="25"/>
      <c r="HP41" s="25"/>
      <c r="HQ41" s="25" t="s">
        <v>2058</v>
      </c>
      <c r="HR41" s="25" t="s">
        <v>2053</v>
      </c>
      <c r="HS41" s="25"/>
      <c r="HT41" s="25" t="s">
        <v>2102</v>
      </c>
      <c r="HU41" s="16" t="s">
        <v>1664</v>
      </c>
      <c r="HV41" s="13"/>
      <c r="HW41" s="13"/>
      <c r="HX41" s="55"/>
      <c r="HY41" s="55"/>
      <c r="HZ41" s="55"/>
      <c r="IA41" s="55"/>
      <c r="IB41" s="55"/>
      <c r="IC41" s="55"/>
      <c r="ID41" s="55"/>
      <c r="IE41" s="55"/>
      <c r="IF41" s="107">
        <v>1151600</v>
      </c>
      <c r="IG41" s="107"/>
      <c r="IH41" s="250">
        <f t="shared" si="3"/>
        <v>0</v>
      </c>
      <c r="II41" s="55"/>
      <c r="IJ41" s="55"/>
      <c r="IK41" s="55"/>
      <c r="IL41" s="55"/>
      <c r="IM41" s="55"/>
      <c r="IN41" s="55"/>
      <c r="IO41" s="55"/>
      <c r="IP41" s="55"/>
      <c r="IQ41" s="55"/>
      <c r="IR41" s="55"/>
      <c r="IS41" s="55"/>
      <c r="IT41" s="55"/>
      <c r="IU41" s="55"/>
      <c r="IV41" s="55"/>
      <c r="IW41" s="55"/>
      <c r="IX41" s="55"/>
      <c r="IY41" s="55"/>
      <c r="IZ41" s="55"/>
      <c r="JA41" s="55"/>
      <c r="JB41" s="55"/>
      <c r="JC41" s="55"/>
      <c r="JD41" s="55">
        <v>2021</v>
      </c>
    </row>
    <row r="42" spans="1:411" s="106" customFormat="1" ht="24.95" hidden="1" customHeight="1">
      <c r="A42" s="26" t="s">
        <v>23</v>
      </c>
      <c r="B42" s="26" t="s">
        <v>1</v>
      </c>
      <c r="C42" s="13" t="s">
        <v>352</v>
      </c>
      <c r="D42" s="13" t="s">
        <v>377</v>
      </c>
      <c r="E42" s="16" t="s">
        <v>357</v>
      </c>
      <c r="F42" s="13" t="s">
        <v>357</v>
      </c>
      <c r="G42" s="39" t="s">
        <v>354</v>
      </c>
      <c r="H42" s="13"/>
      <c r="I42" s="379"/>
      <c r="J42" s="13"/>
      <c r="K42" s="13" t="s">
        <v>1812</v>
      </c>
      <c r="L42" s="298" t="s">
        <v>1724</v>
      </c>
      <c r="M42" s="373"/>
      <c r="N42" s="274" t="s">
        <v>2054</v>
      </c>
      <c r="O42" s="13" t="s">
        <v>14</v>
      </c>
      <c r="P42" s="13" t="s">
        <v>15</v>
      </c>
      <c r="Q42" s="376"/>
      <c r="R42" s="22"/>
      <c r="S42" s="13"/>
      <c r="T42" s="13"/>
      <c r="U42" s="13"/>
      <c r="V42" s="13"/>
      <c r="W42" s="13"/>
      <c r="X42" s="13"/>
      <c r="Y42" s="13"/>
      <c r="Z42" s="13"/>
      <c r="AA42" s="41"/>
      <c r="AB42" s="45"/>
      <c r="AC42" s="29">
        <v>0</v>
      </c>
      <c r="AD42" s="45">
        <f>Z42</f>
        <v>0</v>
      </c>
      <c r="AE42" s="29">
        <v>0</v>
      </c>
      <c r="AF42" s="29">
        <f t="shared" ref="AF42" si="18">AD42+AE42</f>
        <v>0</v>
      </c>
      <c r="AG42" s="25">
        <v>0.12</v>
      </c>
      <c r="AH42" s="29">
        <f t="shared" ref="AH42" si="19">AD42*0.12</f>
        <v>0</v>
      </c>
      <c r="AI42" s="29">
        <f t="shared" ref="AI42" si="20">AE42*0.12</f>
        <v>0</v>
      </c>
      <c r="AJ42" s="29">
        <f t="shared" ref="AJ42" si="21">AF42*1.12</f>
        <v>0</v>
      </c>
      <c r="AK42" s="29"/>
      <c r="AL42" s="29"/>
      <c r="AM42" s="29"/>
      <c r="AN42" s="41"/>
      <c r="AO42" s="41"/>
      <c r="AP42" s="41"/>
      <c r="AQ42" s="41"/>
      <c r="AR42" s="41"/>
      <c r="AS42" s="41"/>
      <c r="AT42" s="41"/>
      <c r="AU42" s="41"/>
      <c r="AV42" s="41"/>
      <c r="AW42" s="41"/>
      <c r="AX42" s="41"/>
      <c r="AY42" s="41"/>
      <c r="AZ42" s="41"/>
      <c r="BA42" s="41"/>
      <c r="BB42" s="41"/>
      <c r="BC42" s="41"/>
      <c r="BD42" s="37"/>
      <c r="BE42" s="37"/>
      <c r="BF42" s="37"/>
      <c r="BG42" s="29"/>
      <c r="BH42" s="37"/>
      <c r="BI42" s="23">
        <v>43640</v>
      </c>
      <c r="BJ42" s="23">
        <v>43717</v>
      </c>
      <c r="BK42" s="29"/>
      <c r="BL42" s="29"/>
      <c r="BM42" s="29"/>
      <c r="BN42" s="23">
        <v>43717</v>
      </c>
      <c r="BO42" s="23">
        <f>BN42+45</f>
        <v>43762</v>
      </c>
      <c r="BP42" s="13"/>
      <c r="BQ42" s="23">
        <v>43837</v>
      </c>
      <c r="BR42" s="23"/>
      <c r="BS42" s="23"/>
      <c r="BT42" s="23"/>
      <c r="BU42" s="13"/>
      <c r="BV42" s="13"/>
      <c r="BW42" s="23"/>
      <c r="BX42" s="23"/>
      <c r="BY42" s="13"/>
      <c r="BZ42" s="23"/>
      <c r="CA42" s="23"/>
      <c r="CB42" s="23"/>
      <c r="CC42" s="23"/>
      <c r="CD42" s="23"/>
      <c r="CE42" s="23"/>
      <c r="CF42" s="23"/>
      <c r="CG42" s="23">
        <v>43717</v>
      </c>
      <c r="CH42" s="23"/>
      <c r="CI42" s="23"/>
      <c r="CJ42" s="23"/>
      <c r="CK42" s="23"/>
      <c r="CL42" s="23"/>
      <c r="CM42" s="23"/>
      <c r="CN42" s="23"/>
      <c r="CO42" s="23"/>
      <c r="CP42" s="23"/>
      <c r="CQ42" s="23"/>
      <c r="CR42" s="23"/>
      <c r="CS42" s="23"/>
      <c r="CT42" s="29"/>
      <c r="CU42" s="29"/>
      <c r="CV42" s="23"/>
      <c r="CW42" s="30"/>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31"/>
      <c r="DZ42" s="13"/>
      <c r="EA42" s="13"/>
      <c r="EB42" s="13"/>
      <c r="EC42" s="13"/>
      <c r="ED42" s="13"/>
      <c r="EE42" s="13"/>
      <c r="EF42" s="13"/>
      <c r="EG42" s="13"/>
      <c r="EH42" s="13"/>
      <c r="EI42" s="23"/>
      <c r="EJ42" s="2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25"/>
      <c r="FV42" s="25"/>
      <c r="FW42" s="25"/>
      <c r="FX42" s="25"/>
      <c r="FY42" s="25"/>
      <c r="FZ42" s="25"/>
      <c r="GA42" s="25"/>
      <c r="GB42" s="25"/>
      <c r="GC42" s="25"/>
      <c r="GD42" s="25"/>
      <c r="GE42" s="25"/>
      <c r="GF42" s="25">
        <v>0</v>
      </c>
      <c r="GG42" s="25">
        <v>0</v>
      </c>
      <c r="GH42" s="25">
        <v>0</v>
      </c>
      <c r="GI42" s="25">
        <v>0</v>
      </c>
      <c r="GJ42" s="25">
        <v>0</v>
      </c>
      <c r="GK42" s="25">
        <v>0</v>
      </c>
      <c r="GL42" s="25">
        <v>0</v>
      </c>
      <c r="GM42" s="25">
        <v>0</v>
      </c>
      <c r="GN42" s="25">
        <v>0</v>
      </c>
      <c r="GO42" s="25">
        <v>0</v>
      </c>
      <c r="GP42" s="25">
        <v>0</v>
      </c>
      <c r="GQ42" s="25">
        <v>0</v>
      </c>
      <c r="GR42" s="25">
        <v>0</v>
      </c>
      <c r="GS42" s="25">
        <v>0</v>
      </c>
      <c r="GT42" s="25">
        <v>0</v>
      </c>
      <c r="GU42" s="25">
        <v>0</v>
      </c>
      <c r="GV42" s="25"/>
      <c r="GW42" s="25" t="s">
        <v>1588</v>
      </c>
      <c r="GX42" s="25" t="s">
        <v>1588</v>
      </c>
      <c r="GY42" s="25" t="s">
        <v>1588</v>
      </c>
      <c r="GZ42" s="25" t="s">
        <v>1588</v>
      </c>
      <c r="HA42" s="25" t="s">
        <v>1588</v>
      </c>
      <c r="HB42" s="25" t="s">
        <v>1588</v>
      </c>
      <c r="HC42" s="25" t="s">
        <v>1588</v>
      </c>
      <c r="HD42" s="25" t="s">
        <v>1588</v>
      </c>
      <c r="HE42" s="25" t="s">
        <v>1588</v>
      </c>
      <c r="HF42" s="25" t="s">
        <v>1588</v>
      </c>
      <c r="HG42" s="25" t="s">
        <v>1588</v>
      </c>
      <c r="HH42" s="25" t="s">
        <v>1588</v>
      </c>
      <c r="HI42" s="25"/>
      <c r="HJ42" s="25"/>
      <c r="HK42" s="25"/>
      <c r="HL42" s="25"/>
      <c r="HM42" s="25"/>
      <c r="HN42" s="25"/>
      <c r="HO42" s="25"/>
      <c r="HP42" s="25"/>
      <c r="HQ42" s="25"/>
      <c r="HR42" s="25"/>
      <c r="HS42" s="25"/>
      <c r="HT42" s="25" t="s">
        <v>2102</v>
      </c>
      <c r="HU42" s="16" t="s">
        <v>1664</v>
      </c>
      <c r="HV42" s="13"/>
      <c r="HW42" s="13"/>
      <c r="HX42" s="55"/>
      <c r="HY42" s="55"/>
      <c r="HZ42" s="55"/>
      <c r="IA42" s="55"/>
      <c r="IB42" s="55"/>
      <c r="IC42" s="55"/>
      <c r="ID42" s="55"/>
      <c r="IE42" s="55"/>
      <c r="IF42" s="107">
        <v>1151600</v>
      </c>
      <c r="IG42" s="107"/>
      <c r="IH42" s="250">
        <f t="shared" ref="IH42" si="22">AK42-IG42</f>
        <v>0</v>
      </c>
      <c r="II42" s="55"/>
      <c r="IJ42" s="55"/>
      <c r="IK42" s="55"/>
      <c r="IL42" s="55"/>
      <c r="IM42" s="55"/>
      <c r="IN42" s="55"/>
      <c r="IO42" s="55"/>
      <c r="IP42" s="55"/>
      <c r="IQ42" s="55"/>
      <c r="IR42" s="55"/>
      <c r="IS42" s="55"/>
      <c r="IT42" s="55"/>
      <c r="IU42" s="55"/>
      <c r="IV42" s="55"/>
      <c r="IW42" s="55"/>
      <c r="IX42" s="55"/>
      <c r="IY42" s="55"/>
      <c r="IZ42" s="55"/>
      <c r="JA42" s="55"/>
      <c r="JB42" s="55"/>
      <c r="JC42" s="55"/>
      <c r="JD42" s="55">
        <v>2021</v>
      </c>
    </row>
    <row r="43" spans="1:411" s="106" customFormat="1" ht="24.95" hidden="1" customHeight="1">
      <c r="A43" s="26" t="s">
        <v>23</v>
      </c>
      <c r="B43" s="26" t="s">
        <v>1</v>
      </c>
      <c r="C43" s="13" t="s">
        <v>352</v>
      </c>
      <c r="D43" s="13" t="s">
        <v>377</v>
      </c>
      <c r="E43" s="16" t="s">
        <v>357</v>
      </c>
      <c r="F43" s="13" t="s">
        <v>357</v>
      </c>
      <c r="G43" s="39" t="s">
        <v>354</v>
      </c>
      <c r="H43" s="13"/>
      <c r="I43" s="379"/>
      <c r="J43" s="13"/>
      <c r="K43" s="13" t="s">
        <v>1812</v>
      </c>
      <c r="L43" s="298" t="s">
        <v>1724</v>
      </c>
      <c r="M43" s="373"/>
      <c r="N43" t="s">
        <v>2059</v>
      </c>
      <c r="O43" s="13" t="s">
        <v>14</v>
      </c>
      <c r="P43" s="13" t="s">
        <v>15</v>
      </c>
      <c r="Q43" s="376"/>
      <c r="R43" s="22"/>
      <c r="S43" s="13"/>
      <c r="T43" s="13"/>
      <c r="U43" s="13"/>
      <c r="V43" s="13"/>
      <c r="W43" s="13"/>
      <c r="X43" s="13"/>
      <c r="Y43" s="13"/>
      <c r="Z43" s="13"/>
      <c r="AA43" s="41"/>
      <c r="AB43" s="45"/>
      <c r="AC43" s="29">
        <v>0</v>
      </c>
      <c r="AD43" s="45">
        <f>Z43</f>
        <v>0</v>
      </c>
      <c r="AE43" s="29">
        <v>0</v>
      </c>
      <c r="AF43" s="29">
        <f t="shared" ref="AF43:AF46" si="23">AD43+AE43</f>
        <v>0</v>
      </c>
      <c r="AG43" s="25">
        <v>0.12</v>
      </c>
      <c r="AH43" s="29">
        <f t="shared" ref="AH43:AH46" si="24">AD43*0.12</f>
        <v>0</v>
      </c>
      <c r="AI43" s="29">
        <f t="shared" ref="AI43:AI46" si="25">AE43*0.12</f>
        <v>0</v>
      </c>
      <c r="AJ43" s="29">
        <f t="shared" ref="AJ43:AJ46" si="26">AF43*1.12</f>
        <v>0</v>
      </c>
      <c r="AK43" s="29"/>
      <c r="AL43" s="29"/>
      <c r="AM43" s="29"/>
      <c r="AN43" s="41"/>
      <c r="AO43" s="41"/>
      <c r="AP43" s="41"/>
      <c r="AQ43" s="41"/>
      <c r="AR43" s="41"/>
      <c r="AS43" s="41"/>
      <c r="AT43" s="41"/>
      <c r="AU43" s="41"/>
      <c r="AV43" s="41"/>
      <c r="AW43" s="41"/>
      <c r="AX43" s="41"/>
      <c r="AY43" s="41"/>
      <c r="AZ43" s="41"/>
      <c r="BA43" s="41"/>
      <c r="BB43" s="41"/>
      <c r="BC43" s="41"/>
      <c r="BD43" s="37"/>
      <c r="BE43" s="37"/>
      <c r="BF43" s="37"/>
      <c r="BG43" s="29"/>
      <c r="BH43" s="37"/>
      <c r="BI43" s="23">
        <v>43640</v>
      </c>
      <c r="BJ43" s="23">
        <v>43717</v>
      </c>
      <c r="BK43" s="29"/>
      <c r="BL43" s="29"/>
      <c r="BM43" s="29"/>
      <c r="BN43" s="23">
        <v>43717</v>
      </c>
      <c r="BO43" s="23">
        <f>BN43+45</f>
        <v>43762</v>
      </c>
      <c r="BP43" s="13"/>
      <c r="BQ43" s="23">
        <v>43837</v>
      </c>
      <c r="BR43" s="23"/>
      <c r="BS43" s="23"/>
      <c r="BT43" s="23"/>
      <c r="BU43" s="13"/>
      <c r="BV43" s="13"/>
      <c r="BW43" s="23"/>
      <c r="BX43" s="23"/>
      <c r="BY43" s="13"/>
      <c r="BZ43" s="23"/>
      <c r="CA43" s="23"/>
      <c r="CB43" s="23"/>
      <c r="CC43" s="23"/>
      <c r="CD43" s="23"/>
      <c r="CE43" s="23"/>
      <c r="CF43" s="23"/>
      <c r="CG43" s="23">
        <v>43717</v>
      </c>
      <c r="CH43" s="23"/>
      <c r="CI43" s="23"/>
      <c r="CJ43" s="23"/>
      <c r="CK43" s="23"/>
      <c r="CL43" s="23"/>
      <c r="CM43" s="23"/>
      <c r="CN43" s="23"/>
      <c r="CO43" s="23"/>
      <c r="CP43" s="23"/>
      <c r="CQ43" s="23"/>
      <c r="CR43" s="23"/>
      <c r="CS43" s="23"/>
      <c r="CT43" s="29"/>
      <c r="CU43" s="29"/>
      <c r="CV43" s="23"/>
      <c r="CW43" s="30"/>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31"/>
      <c r="DZ43" s="13"/>
      <c r="EA43" s="13"/>
      <c r="EB43" s="13"/>
      <c r="EC43" s="13"/>
      <c r="ED43" s="13"/>
      <c r="EE43" s="13"/>
      <c r="EF43" s="13"/>
      <c r="EG43" s="13"/>
      <c r="EH43" s="13"/>
      <c r="EI43" s="23"/>
      <c r="EJ43" s="2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25"/>
      <c r="FV43" s="25"/>
      <c r="FW43" s="25"/>
      <c r="FX43" s="25"/>
      <c r="FY43" s="25"/>
      <c r="FZ43" s="25"/>
      <c r="GA43" s="25"/>
      <c r="GB43" s="25"/>
      <c r="GC43" s="25"/>
      <c r="GD43" s="25"/>
      <c r="GE43" s="25"/>
      <c r="GF43" s="25">
        <v>0</v>
      </c>
      <c r="GG43" s="25">
        <v>0</v>
      </c>
      <c r="GH43" s="25">
        <v>0</v>
      </c>
      <c r="GI43" s="25">
        <v>0</v>
      </c>
      <c r="GJ43" s="25">
        <v>0</v>
      </c>
      <c r="GK43" s="25">
        <v>0</v>
      </c>
      <c r="GL43" s="25">
        <v>0</v>
      </c>
      <c r="GM43" s="25">
        <v>0</v>
      </c>
      <c r="GN43" s="25">
        <v>0</v>
      </c>
      <c r="GO43" s="25">
        <v>0</v>
      </c>
      <c r="GP43" s="25">
        <v>0</v>
      </c>
      <c r="GQ43" s="25">
        <v>0</v>
      </c>
      <c r="GR43" s="25">
        <v>0</v>
      </c>
      <c r="GS43" s="25">
        <v>0</v>
      </c>
      <c r="GT43" s="25">
        <v>0</v>
      </c>
      <c r="GU43" s="25">
        <v>0</v>
      </c>
      <c r="GV43" s="25"/>
      <c r="GW43" s="25" t="s">
        <v>1588</v>
      </c>
      <c r="GX43" s="25" t="s">
        <v>1588</v>
      </c>
      <c r="GY43" s="25" t="s">
        <v>1588</v>
      </c>
      <c r="GZ43" s="25" t="s">
        <v>1588</v>
      </c>
      <c r="HA43" s="25" t="s">
        <v>1588</v>
      </c>
      <c r="HB43" s="25" t="s">
        <v>1588</v>
      </c>
      <c r="HC43" s="25" t="s">
        <v>1588</v>
      </c>
      <c r="HD43" s="25" t="s">
        <v>1588</v>
      </c>
      <c r="HE43" s="25" t="s">
        <v>1588</v>
      </c>
      <c r="HF43" s="25" t="s">
        <v>1588</v>
      </c>
      <c r="HG43" s="25" t="s">
        <v>1588</v>
      </c>
      <c r="HH43" s="25" t="s">
        <v>1588</v>
      </c>
      <c r="HI43" s="25"/>
      <c r="HJ43" s="25"/>
      <c r="HK43" s="25"/>
      <c r="HL43" s="25"/>
      <c r="HM43" s="25"/>
      <c r="HN43" s="25"/>
      <c r="HO43" s="25"/>
      <c r="HP43" s="25"/>
      <c r="HQ43" s="25"/>
      <c r="HR43" s="25"/>
      <c r="HS43" s="25"/>
      <c r="HT43" s="25" t="s">
        <v>2102</v>
      </c>
      <c r="HU43" s="16" t="s">
        <v>1664</v>
      </c>
      <c r="HV43" s="13"/>
      <c r="HW43" s="13"/>
      <c r="HX43" s="55"/>
      <c r="HY43" s="55"/>
      <c r="HZ43" s="55"/>
      <c r="IA43" s="55"/>
      <c r="IB43" s="55"/>
      <c r="IC43" s="55"/>
      <c r="ID43" s="55"/>
      <c r="IE43" s="55"/>
      <c r="IF43" s="107">
        <v>1151600</v>
      </c>
      <c r="IG43" s="107"/>
      <c r="IH43" s="250">
        <f t="shared" ref="IH43:IH44" si="27">AK43-IG43</f>
        <v>0</v>
      </c>
      <c r="II43" s="55"/>
      <c r="IJ43" s="55"/>
      <c r="IK43" s="55"/>
      <c r="IL43" s="55"/>
      <c r="IM43" s="55"/>
      <c r="IN43" s="55"/>
      <c r="IO43" s="55"/>
      <c r="IP43" s="55"/>
      <c r="IQ43" s="55"/>
      <c r="IR43" s="55"/>
      <c r="IS43" s="55"/>
      <c r="IT43" s="55"/>
      <c r="IU43" s="55"/>
      <c r="IV43" s="55"/>
      <c r="IW43" s="55"/>
      <c r="IX43" s="55"/>
      <c r="IY43" s="55"/>
      <c r="IZ43" s="55"/>
      <c r="JA43" s="55"/>
      <c r="JB43" s="55"/>
      <c r="JC43" s="55"/>
      <c r="JD43" s="55">
        <v>2021</v>
      </c>
    </row>
    <row r="44" spans="1:411" s="106" customFormat="1" ht="24.95" hidden="1" customHeight="1">
      <c r="A44" s="13" t="s">
        <v>1039</v>
      </c>
      <c r="B44" s="26" t="s">
        <v>1</v>
      </c>
      <c r="C44" s="13" t="s">
        <v>352</v>
      </c>
      <c r="D44" s="13" t="s">
        <v>377</v>
      </c>
      <c r="E44" s="16" t="s">
        <v>357</v>
      </c>
      <c r="F44" s="13" t="s">
        <v>357</v>
      </c>
      <c r="G44" s="39" t="s">
        <v>354</v>
      </c>
      <c r="H44" s="28"/>
      <c r="I44" s="380"/>
      <c r="J44" s="13"/>
      <c r="K44" s="13" t="s">
        <v>1812</v>
      </c>
      <c r="L44" s="303" t="s">
        <v>1724</v>
      </c>
      <c r="M44" s="374"/>
      <c r="N44" s="20"/>
      <c r="O44" s="13" t="s">
        <v>14</v>
      </c>
      <c r="P44" s="13" t="s">
        <v>15</v>
      </c>
      <c r="Q44" s="377"/>
      <c r="R44" s="26"/>
      <c r="S44" s="13"/>
      <c r="T44" s="13"/>
      <c r="U44" s="13"/>
      <c r="V44" s="24"/>
      <c r="W44" s="13"/>
      <c r="X44" s="13"/>
      <c r="Y44" s="13"/>
      <c r="Z44" s="13"/>
      <c r="AA44" s="29"/>
      <c r="AB44" s="29"/>
      <c r="AC44" s="29">
        <v>0</v>
      </c>
      <c r="AD44" s="29"/>
      <c r="AE44" s="29">
        <v>0</v>
      </c>
      <c r="AF44" s="29">
        <f t="shared" si="23"/>
        <v>0</v>
      </c>
      <c r="AG44" s="25">
        <v>0.12</v>
      </c>
      <c r="AH44" s="29">
        <f t="shared" si="24"/>
        <v>0</v>
      </c>
      <c r="AI44" s="29">
        <f t="shared" si="25"/>
        <v>0</v>
      </c>
      <c r="AJ44" s="29">
        <f t="shared" si="26"/>
        <v>0</v>
      </c>
      <c r="AK44" s="29"/>
      <c r="AL44" s="29"/>
      <c r="AM44" s="29"/>
      <c r="AN44" s="29"/>
      <c r="AO44" s="29"/>
      <c r="AP44" s="29"/>
      <c r="AQ44" s="29"/>
      <c r="AR44" s="25"/>
      <c r="AS44" s="37"/>
      <c r="AT44" s="29"/>
      <c r="AU44" s="29"/>
      <c r="AV44" s="29"/>
      <c r="AW44" s="29"/>
      <c r="AX44" s="29"/>
      <c r="AY44" s="29"/>
      <c r="AZ44" s="29"/>
      <c r="BA44" s="29"/>
      <c r="BB44" s="29"/>
      <c r="BC44" s="29"/>
      <c r="BD44" s="29"/>
      <c r="BE44" s="29"/>
      <c r="BF44" s="29"/>
      <c r="BG44" s="29"/>
      <c r="BH44" s="29"/>
      <c r="BI44" s="23">
        <v>43640</v>
      </c>
      <c r="BJ44" s="23">
        <v>43717</v>
      </c>
      <c r="BK44" s="29"/>
      <c r="BL44" s="29"/>
      <c r="BM44" s="29"/>
      <c r="BN44" s="23">
        <v>43717</v>
      </c>
      <c r="BO44" s="23">
        <f>BN44+45</f>
        <v>43762</v>
      </c>
      <c r="BP44" s="13"/>
      <c r="BQ44" s="23">
        <v>43837</v>
      </c>
      <c r="BR44" s="23"/>
      <c r="BS44" s="23"/>
      <c r="BT44" s="23"/>
      <c r="BU44" s="13"/>
      <c r="BV44" s="13"/>
      <c r="BW44" s="23"/>
      <c r="BX44" s="23"/>
      <c r="BY44" s="13"/>
      <c r="BZ44" s="23"/>
      <c r="CA44" s="23"/>
      <c r="CB44" s="23"/>
      <c r="CC44" s="23"/>
      <c r="CD44" s="23"/>
      <c r="CE44" s="23"/>
      <c r="CF44" s="23"/>
      <c r="CG44" s="23">
        <v>43717</v>
      </c>
      <c r="CH44" s="23"/>
      <c r="CI44" s="23"/>
      <c r="CJ44" s="23"/>
      <c r="CK44" s="23"/>
      <c r="CL44" s="23"/>
      <c r="CM44" s="23"/>
      <c r="CN44" s="23"/>
      <c r="CO44" s="23"/>
      <c r="CP44" s="23"/>
      <c r="CQ44" s="23"/>
      <c r="CR44" s="23"/>
      <c r="CS44" s="23"/>
      <c r="CT44" s="29"/>
      <c r="CU44" s="29"/>
      <c r="CV44" s="2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31"/>
      <c r="DZ44" s="13"/>
      <c r="EA44" s="13"/>
      <c r="EB44" s="13"/>
      <c r="EC44" s="13"/>
      <c r="ED44" s="13"/>
      <c r="EE44" s="13"/>
      <c r="EF44" s="13"/>
      <c r="EG44" s="13"/>
      <c r="EH44" s="13"/>
      <c r="EI44" s="23"/>
      <c r="EJ44" s="2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25"/>
      <c r="FW44" s="25"/>
      <c r="FX44" s="25"/>
      <c r="FY44" s="25"/>
      <c r="FZ44" s="25"/>
      <c r="GA44" s="25"/>
      <c r="GB44" s="25"/>
      <c r="GC44" s="25"/>
      <c r="GD44" s="25"/>
      <c r="GE44" s="25"/>
      <c r="GF44" s="25">
        <v>0</v>
      </c>
      <c r="GG44" s="25">
        <v>0</v>
      </c>
      <c r="GH44" s="25">
        <v>0</v>
      </c>
      <c r="GI44" s="25">
        <v>0</v>
      </c>
      <c r="GJ44" s="25">
        <v>0</v>
      </c>
      <c r="GK44" s="25">
        <v>0</v>
      </c>
      <c r="GL44" s="25">
        <v>0</v>
      </c>
      <c r="GM44" s="25">
        <v>0</v>
      </c>
      <c r="GN44" s="25">
        <v>0</v>
      </c>
      <c r="GO44" s="25">
        <v>0</v>
      </c>
      <c r="GP44" s="25">
        <v>0</v>
      </c>
      <c r="GQ44" s="25">
        <v>0</v>
      </c>
      <c r="GR44" s="25">
        <v>0</v>
      </c>
      <c r="GS44" s="25">
        <v>0</v>
      </c>
      <c r="GT44" s="25">
        <v>0</v>
      </c>
      <c r="GU44" s="25">
        <v>0</v>
      </c>
      <c r="GV44" s="25"/>
      <c r="GW44" s="25" t="s">
        <v>1588</v>
      </c>
      <c r="GX44" s="25" t="s">
        <v>1588</v>
      </c>
      <c r="GY44" s="25" t="s">
        <v>1588</v>
      </c>
      <c r="GZ44" s="25" t="s">
        <v>1588</v>
      </c>
      <c r="HA44" s="25" t="s">
        <v>1588</v>
      </c>
      <c r="HB44" s="25" t="s">
        <v>1588</v>
      </c>
      <c r="HC44" s="25" t="s">
        <v>1588</v>
      </c>
      <c r="HD44" s="25" t="s">
        <v>1588</v>
      </c>
      <c r="HE44" s="25" t="s">
        <v>1588</v>
      </c>
      <c r="HF44" s="25" t="s">
        <v>1588</v>
      </c>
      <c r="HG44" s="25" t="s">
        <v>1588</v>
      </c>
      <c r="HH44" s="25" t="s">
        <v>1588</v>
      </c>
      <c r="HI44" s="25"/>
      <c r="HJ44" s="25"/>
      <c r="HK44" s="25"/>
      <c r="HL44" s="25"/>
      <c r="HM44" s="25"/>
      <c r="HN44" s="25"/>
      <c r="HO44" s="25"/>
      <c r="HP44" s="25"/>
      <c r="HQ44" s="25"/>
      <c r="HR44" s="25"/>
      <c r="HS44" s="25"/>
      <c r="HT44" s="25" t="s">
        <v>2102</v>
      </c>
      <c r="HU44" s="16" t="s">
        <v>1664</v>
      </c>
      <c r="HV44" s="13"/>
      <c r="HW44" s="13"/>
      <c r="HX44" s="55"/>
      <c r="HY44" s="55"/>
      <c r="HZ44" s="55"/>
      <c r="IA44" s="55"/>
      <c r="IB44" s="55"/>
      <c r="IC44" s="55"/>
      <c r="ID44" s="55"/>
      <c r="IE44" s="55"/>
      <c r="IF44" s="107">
        <v>8073900</v>
      </c>
      <c r="IG44" s="107"/>
      <c r="IH44" s="250">
        <f t="shared" si="27"/>
        <v>0</v>
      </c>
      <c r="II44" s="55"/>
      <c r="IJ44" s="55"/>
      <c r="IK44" s="55"/>
      <c r="IL44" s="55"/>
      <c r="IM44" s="55"/>
      <c r="IN44" s="55"/>
      <c r="IO44" s="55"/>
      <c r="IP44" s="55"/>
      <c r="IQ44" s="55"/>
      <c r="IR44" s="55"/>
      <c r="IS44" s="55"/>
      <c r="IT44" s="55"/>
      <c r="IU44" s="55"/>
      <c r="IV44" s="55"/>
      <c r="IW44" s="55"/>
      <c r="IX44" s="55"/>
      <c r="IY44" s="55"/>
      <c r="IZ44" s="55"/>
      <c r="JA44" s="55"/>
      <c r="JB44" s="55"/>
      <c r="JC44" s="55"/>
      <c r="JD44" s="55">
        <v>2021</v>
      </c>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row>
    <row r="45" spans="1:411" s="106" customFormat="1" ht="24.95" hidden="1" customHeight="1">
      <c r="A45" s="26" t="s">
        <v>23</v>
      </c>
      <c r="B45" s="26" t="s">
        <v>1</v>
      </c>
      <c r="C45" s="13" t="s">
        <v>352</v>
      </c>
      <c r="D45" s="13" t="s">
        <v>377</v>
      </c>
      <c r="E45" s="16" t="s">
        <v>357</v>
      </c>
      <c r="F45" s="13" t="s">
        <v>357</v>
      </c>
      <c r="G45" s="39" t="s">
        <v>354</v>
      </c>
      <c r="H45" s="28"/>
      <c r="I45" s="389" t="s">
        <v>1662</v>
      </c>
      <c r="J45" s="13"/>
      <c r="K45" s="13" t="s">
        <v>1812</v>
      </c>
      <c r="L45" s="315" t="s">
        <v>2098</v>
      </c>
      <c r="M45" s="372" t="s">
        <v>1662</v>
      </c>
      <c r="N45"/>
      <c r="O45" s="13" t="s">
        <v>14</v>
      </c>
      <c r="P45" s="13" t="s">
        <v>15</v>
      </c>
      <c r="Q45" s="375" t="s">
        <v>1667</v>
      </c>
      <c r="R45" s="22"/>
      <c r="S45" s="13"/>
      <c r="T45" s="13"/>
      <c r="U45" s="13"/>
      <c r="V45" s="13"/>
      <c r="W45" s="13"/>
      <c r="X45" s="13"/>
      <c r="Y45" s="13"/>
      <c r="Z45" s="13"/>
      <c r="AA45" s="41"/>
      <c r="AB45" s="45">
        <v>1151600</v>
      </c>
      <c r="AC45" s="29">
        <v>0</v>
      </c>
      <c r="AD45" s="45">
        <v>1151600</v>
      </c>
      <c r="AE45" s="29">
        <v>0</v>
      </c>
      <c r="AF45" s="29">
        <f t="shared" si="23"/>
        <v>1151600</v>
      </c>
      <c r="AG45" s="25">
        <v>0.12</v>
      </c>
      <c r="AH45" s="29">
        <f t="shared" si="24"/>
        <v>138192</v>
      </c>
      <c r="AI45" s="29">
        <f t="shared" si="25"/>
        <v>0</v>
      </c>
      <c r="AJ45" s="29">
        <f t="shared" si="26"/>
        <v>1289792.0000000002</v>
      </c>
      <c r="AK45" s="29"/>
      <c r="AL45" s="29"/>
      <c r="AM45" s="29"/>
      <c r="AN45" s="41"/>
      <c r="AO45" s="41"/>
      <c r="AP45" s="41"/>
      <c r="AQ45" s="41"/>
      <c r="AR45" s="41"/>
      <c r="AS45" s="41"/>
      <c r="AT45" s="41"/>
      <c r="AU45" s="41"/>
      <c r="AV45" s="41"/>
      <c r="AW45" s="41"/>
      <c r="AX45" s="41"/>
      <c r="AY45" s="41"/>
      <c r="AZ45" s="41"/>
      <c r="BA45" s="41"/>
      <c r="BB45" s="41"/>
      <c r="BC45" s="41"/>
      <c r="BD45" s="37"/>
      <c r="BE45" s="37"/>
      <c r="BF45" s="37"/>
      <c r="BG45" s="29"/>
      <c r="BH45" s="37"/>
      <c r="BI45" s="23"/>
      <c r="BJ45" s="23"/>
      <c r="BK45" s="29"/>
      <c r="BL45" s="29"/>
      <c r="BM45" s="29"/>
      <c r="BN45" s="23"/>
      <c r="BO45" s="23"/>
      <c r="BP45" s="13"/>
      <c r="BQ45" s="23"/>
      <c r="BR45" s="23"/>
      <c r="BS45" s="23"/>
      <c r="BT45" s="23"/>
      <c r="BU45" s="13"/>
      <c r="BV45" s="13"/>
      <c r="BW45" s="23"/>
      <c r="BX45" s="23"/>
      <c r="BY45" s="13"/>
      <c r="BZ45" s="23"/>
      <c r="CA45" s="23"/>
      <c r="CB45" s="23"/>
      <c r="CC45" s="23"/>
      <c r="CD45" s="23"/>
      <c r="CE45" s="23"/>
      <c r="CF45" s="23"/>
      <c r="CG45" s="23"/>
      <c r="CH45" s="23"/>
      <c r="CI45" s="23"/>
      <c r="CJ45" s="23"/>
      <c r="CK45" s="23"/>
      <c r="CL45" s="23"/>
      <c r="CM45" s="23"/>
      <c r="CN45" s="23"/>
      <c r="CO45" s="23"/>
      <c r="CP45" s="23"/>
      <c r="CQ45" s="23"/>
      <c r="CR45" s="23"/>
      <c r="CS45" s="23"/>
      <c r="CT45" s="29"/>
      <c r="CU45" s="29"/>
      <c r="CV45" s="23"/>
      <c r="CW45" s="30"/>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31"/>
      <c r="DZ45" s="13"/>
      <c r="EA45" s="13"/>
      <c r="EB45" s="13"/>
      <c r="EC45" s="13"/>
      <c r="ED45" s="13"/>
      <c r="EE45" s="13"/>
      <c r="EF45" s="13"/>
      <c r="EG45" s="13"/>
      <c r="EH45" s="13"/>
      <c r="EI45" s="23"/>
      <c r="EJ45" s="2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25"/>
      <c r="FV45" s="25"/>
      <c r="FW45" s="25"/>
      <c r="FX45" s="25"/>
      <c r="FY45" s="25"/>
      <c r="FZ45" s="25"/>
      <c r="GA45" s="25"/>
      <c r="GB45" s="25"/>
      <c r="GC45" s="25"/>
      <c r="GD45" s="25"/>
      <c r="GE45" s="25"/>
      <c r="GF45" s="25">
        <v>0</v>
      </c>
      <c r="GG45" s="25">
        <v>0</v>
      </c>
      <c r="GH45" s="25">
        <v>0</v>
      </c>
      <c r="GI45" s="25">
        <v>0</v>
      </c>
      <c r="GJ45" s="25">
        <v>0</v>
      </c>
      <c r="GK45" s="25">
        <v>0</v>
      </c>
      <c r="GL45" s="25">
        <v>0</v>
      </c>
      <c r="GM45" s="25">
        <v>0</v>
      </c>
      <c r="GN45" s="25">
        <v>0</v>
      </c>
      <c r="GO45" s="25">
        <v>0</v>
      </c>
      <c r="GP45" s="25">
        <v>0</v>
      </c>
      <c r="GQ45" s="25">
        <v>0</v>
      </c>
      <c r="GR45" s="25">
        <v>0</v>
      </c>
      <c r="GS45" s="25">
        <v>0</v>
      </c>
      <c r="GT45" s="25">
        <v>0</v>
      </c>
      <c r="GU45" s="25">
        <v>0</v>
      </c>
      <c r="GV45" s="25"/>
      <c r="GW45" s="25" t="s">
        <v>1588</v>
      </c>
      <c r="GX45" s="25" t="s">
        <v>1588</v>
      </c>
      <c r="GY45" s="25" t="s">
        <v>1588</v>
      </c>
      <c r="GZ45" s="25" t="s">
        <v>1588</v>
      </c>
      <c r="HA45" s="25" t="s">
        <v>1588</v>
      </c>
      <c r="HB45" s="25" t="s">
        <v>1588</v>
      </c>
      <c r="HC45" s="25" t="s">
        <v>1588</v>
      </c>
      <c r="HD45" s="25" t="s">
        <v>1588</v>
      </c>
      <c r="HE45" s="25" t="s">
        <v>1588</v>
      </c>
      <c r="HF45" s="25" t="s">
        <v>1588</v>
      </c>
      <c r="HG45" s="25" t="s">
        <v>1588</v>
      </c>
      <c r="HH45" s="25" t="s">
        <v>1588</v>
      </c>
      <c r="HI45" s="25"/>
      <c r="HJ45" s="25"/>
      <c r="HK45" s="25"/>
      <c r="HL45" s="25"/>
      <c r="HM45" s="25"/>
      <c r="HN45" s="25"/>
      <c r="HO45" s="25"/>
      <c r="HP45" s="25"/>
      <c r="HQ45" s="25"/>
      <c r="HR45" s="25"/>
      <c r="HS45" s="25"/>
      <c r="HT45" s="25"/>
      <c r="HU45" s="16"/>
      <c r="HV45" s="13"/>
      <c r="HW45" s="13"/>
      <c r="HX45" s="55"/>
      <c r="HY45" s="55"/>
      <c r="HZ45" s="55"/>
      <c r="IA45" s="55"/>
      <c r="IB45" s="55"/>
      <c r="IC45" s="55"/>
      <c r="ID45" s="55"/>
      <c r="IE45" s="55"/>
      <c r="IF45" s="107"/>
      <c r="IG45" s="107"/>
      <c r="IH45" s="250"/>
      <c r="II45" s="55"/>
      <c r="IJ45" s="55"/>
      <c r="IK45" s="55"/>
      <c r="IL45" s="55"/>
      <c r="IM45" s="55"/>
      <c r="IN45" s="55"/>
      <c r="IO45" s="55"/>
      <c r="IP45" s="55"/>
      <c r="IQ45" s="55"/>
      <c r="IR45" s="55"/>
      <c r="IS45" s="55"/>
      <c r="IT45" s="55"/>
      <c r="IU45" s="55"/>
      <c r="IV45" s="55"/>
      <c r="IW45" s="55"/>
      <c r="IX45" s="55"/>
      <c r="IY45" s="55"/>
      <c r="IZ45" s="55"/>
      <c r="JA45" s="55"/>
      <c r="JB45" s="55"/>
      <c r="JC45" s="55"/>
      <c r="JD45" s="55">
        <v>2021</v>
      </c>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row>
    <row r="46" spans="1:411" s="106" customFormat="1" ht="24.95" hidden="1" customHeight="1">
      <c r="A46" s="26" t="s">
        <v>23</v>
      </c>
      <c r="B46" s="26" t="s">
        <v>1</v>
      </c>
      <c r="C46" s="13" t="s">
        <v>352</v>
      </c>
      <c r="D46" s="13" t="s">
        <v>377</v>
      </c>
      <c r="E46" s="16" t="s">
        <v>357</v>
      </c>
      <c r="F46" s="13" t="s">
        <v>357</v>
      </c>
      <c r="G46" s="39" t="s">
        <v>354</v>
      </c>
      <c r="H46" s="28"/>
      <c r="I46" s="390"/>
      <c r="J46" s="13"/>
      <c r="K46" s="13" t="s">
        <v>1812</v>
      </c>
      <c r="L46" s="315" t="s">
        <v>2098</v>
      </c>
      <c r="M46" s="373"/>
      <c r="N46" s="274" t="s">
        <v>2054</v>
      </c>
      <c r="O46" s="13" t="s">
        <v>14</v>
      </c>
      <c r="P46" s="13" t="s">
        <v>15</v>
      </c>
      <c r="Q46" s="376"/>
      <c r="R46" s="22"/>
      <c r="S46" s="13"/>
      <c r="T46" s="13"/>
      <c r="U46" s="13"/>
      <c r="V46" s="13"/>
      <c r="W46" s="13"/>
      <c r="X46" s="13"/>
      <c r="Y46" s="13"/>
      <c r="Z46" s="13"/>
      <c r="AA46" s="41"/>
      <c r="AB46" s="45"/>
      <c r="AC46" s="29">
        <v>0</v>
      </c>
      <c r="AD46" s="45">
        <f>Z46</f>
        <v>0</v>
      </c>
      <c r="AE46" s="29">
        <v>0</v>
      </c>
      <c r="AF46" s="29">
        <f t="shared" si="23"/>
        <v>0</v>
      </c>
      <c r="AG46" s="25">
        <v>0.12</v>
      </c>
      <c r="AH46" s="29">
        <f t="shared" si="24"/>
        <v>0</v>
      </c>
      <c r="AI46" s="29">
        <f t="shared" si="25"/>
        <v>0</v>
      </c>
      <c r="AJ46" s="29">
        <f t="shared" si="26"/>
        <v>0</v>
      </c>
      <c r="AK46" s="29"/>
      <c r="AL46" s="29"/>
      <c r="AM46" s="29"/>
      <c r="AN46" s="41"/>
      <c r="AO46" s="41"/>
      <c r="AP46" s="41"/>
      <c r="AQ46" s="41"/>
      <c r="AR46" s="41"/>
      <c r="AS46" s="41"/>
      <c r="AT46" s="41"/>
      <c r="AU46" s="41"/>
      <c r="AV46" s="41"/>
      <c r="AW46" s="41"/>
      <c r="AX46" s="41"/>
      <c r="AY46" s="41"/>
      <c r="AZ46" s="41"/>
      <c r="BA46" s="41"/>
      <c r="BB46" s="41"/>
      <c r="BC46" s="41"/>
      <c r="BD46" s="37"/>
      <c r="BE46" s="37"/>
      <c r="BF46" s="37"/>
      <c r="BG46" s="29"/>
      <c r="BH46" s="37"/>
      <c r="BI46" s="23"/>
      <c r="BJ46" s="23"/>
      <c r="BK46" s="29"/>
      <c r="BL46" s="29"/>
      <c r="BM46" s="29"/>
      <c r="BN46" s="23"/>
      <c r="BO46" s="23"/>
      <c r="BP46" s="13"/>
      <c r="BQ46" s="23"/>
      <c r="BR46" s="23"/>
      <c r="BS46" s="23"/>
      <c r="BT46" s="23"/>
      <c r="BU46" s="13"/>
      <c r="BV46" s="13"/>
      <c r="BW46" s="23"/>
      <c r="BX46" s="23"/>
      <c r="BY46" s="13"/>
      <c r="BZ46" s="23"/>
      <c r="CA46" s="23"/>
      <c r="CB46" s="23"/>
      <c r="CC46" s="23"/>
      <c r="CD46" s="23"/>
      <c r="CE46" s="23"/>
      <c r="CF46" s="23"/>
      <c r="CG46" s="23"/>
      <c r="CH46" s="23"/>
      <c r="CI46" s="23"/>
      <c r="CJ46" s="23"/>
      <c r="CK46" s="23"/>
      <c r="CL46" s="23"/>
      <c r="CM46" s="23"/>
      <c r="CN46" s="23"/>
      <c r="CO46" s="23"/>
      <c r="CP46" s="23"/>
      <c r="CQ46" s="23"/>
      <c r="CR46" s="23"/>
      <c r="CS46" s="23"/>
      <c r="CT46" s="29"/>
      <c r="CU46" s="29"/>
      <c r="CV46" s="23"/>
      <c r="CW46" s="30"/>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31"/>
      <c r="DZ46" s="13"/>
      <c r="EA46" s="13"/>
      <c r="EB46" s="13"/>
      <c r="EC46" s="13"/>
      <c r="ED46" s="13"/>
      <c r="EE46" s="13"/>
      <c r="EF46" s="13"/>
      <c r="EG46" s="13"/>
      <c r="EH46" s="13"/>
      <c r="EI46" s="23"/>
      <c r="EJ46" s="2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25"/>
      <c r="FV46" s="25"/>
      <c r="FW46" s="25"/>
      <c r="FX46" s="25"/>
      <c r="FY46" s="25"/>
      <c r="FZ46" s="25"/>
      <c r="GA46" s="25"/>
      <c r="GB46" s="25"/>
      <c r="GC46" s="25"/>
      <c r="GD46" s="25"/>
      <c r="GE46" s="25"/>
      <c r="GF46" s="25">
        <v>0</v>
      </c>
      <c r="GG46" s="25">
        <v>0</v>
      </c>
      <c r="GH46" s="25">
        <v>0</v>
      </c>
      <c r="GI46" s="25">
        <v>0</v>
      </c>
      <c r="GJ46" s="25">
        <v>0</v>
      </c>
      <c r="GK46" s="25">
        <v>0</v>
      </c>
      <c r="GL46" s="25">
        <v>0</v>
      </c>
      <c r="GM46" s="25">
        <v>0</v>
      </c>
      <c r="GN46" s="25">
        <v>0</v>
      </c>
      <c r="GO46" s="25">
        <v>0</v>
      </c>
      <c r="GP46" s="25">
        <v>0</v>
      </c>
      <c r="GQ46" s="25">
        <v>0</v>
      </c>
      <c r="GR46" s="25">
        <v>0</v>
      </c>
      <c r="GS46" s="25">
        <v>0</v>
      </c>
      <c r="GT46" s="25">
        <v>0</v>
      </c>
      <c r="GU46" s="25">
        <v>0</v>
      </c>
      <c r="GV46" s="25"/>
      <c r="GW46" s="25" t="s">
        <v>1588</v>
      </c>
      <c r="GX46" s="25" t="s">
        <v>1588</v>
      </c>
      <c r="GY46" s="25" t="s">
        <v>1588</v>
      </c>
      <c r="GZ46" s="25" t="s">
        <v>1588</v>
      </c>
      <c r="HA46" s="25" t="s">
        <v>1588</v>
      </c>
      <c r="HB46" s="25" t="s">
        <v>1588</v>
      </c>
      <c r="HC46" s="25" t="s">
        <v>1588</v>
      </c>
      <c r="HD46" s="25" t="s">
        <v>1588</v>
      </c>
      <c r="HE46" s="25" t="s">
        <v>1588</v>
      </c>
      <c r="HF46" s="25" t="s">
        <v>1588</v>
      </c>
      <c r="HG46" s="25" t="s">
        <v>1588</v>
      </c>
      <c r="HH46" s="25" t="s">
        <v>1588</v>
      </c>
      <c r="HI46" s="25"/>
      <c r="HJ46" s="25"/>
      <c r="HK46" s="25"/>
      <c r="HL46" s="25"/>
      <c r="HM46" s="25"/>
      <c r="HN46" s="25"/>
      <c r="HO46" s="25"/>
      <c r="HP46" s="25"/>
      <c r="HQ46" s="25"/>
      <c r="HR46" s="25"/>
      <c r="HS46" s="25"/>
      <c r="HT46" s="25"/>
      <c r="HU46" s="16"/>
      <c r="HV46" s="13"/>
      <c r="HW46" s="13"/>
      <c r="HX46" s="55"/>
      <c r="HY46" s="55"/>
      <c r="HZ46" s="55"/>
      <c r="IA46" s="55"/>
      <c r="IB46" s="55"/>
      <c r="IC46" s="55"/>
      <c r="ID46" s="55"/>
      <c r="IE46" s="55"/>
      <c r="IF46" s="107"/>
      <c r="IG46" s="107"/>
      <c r="IH46" s="250"/>
      <c r="II46" s="55"/>
      <c r="IJ46" s="55"/>
      <c r="IK46" s="55"/>
      <c r="IL46" s="55"/>
      <c r="IM46" s="55"/>
      <c r="IN46" s="55"/>
      <c r="IO46" s="55"/>
      <c r="IP46" s="55"/>
      <c r="IQ46" s="55"/>
      <c r="IR46" s="55"/>
      <c r="IS46" s="55"/>
      <c r="IT46" s="55"/>
      <c r="IU46" s="55"/>
      <c r="IV46" s="55"/>
      <c r="IW46" s="55"/>
      <c r="IX46" s="55"/>
      <c r="IY46" s="55"/>
      <c r="IZ46" s="55"/>
      <c r="JA46" s="55"/>
      <c r="JB46" s="55"/>
      <c r="JC46" s="55"/>
      <c r="JD46" s="55">
        <v>2021</v>
      </c>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row>
    <row r="47" spans="1:411" s="106" customFormat="1" ht="24.95" hidden="1" customHeight="1">
      <c r="A47" s="26" t="s">
        <v>23</v>
      </c>
      <c r="B47" s="26" t="s">
        <v>1</v>
      </c>
      <c r="C47" s="13" t="s">
        <v>352</v>
      </c>
      <c r="D47" s="13" t="s">
        <v>377</v>
      </c>
      <c r="E47" s="16" t="s">
        <v>357</v>
      </c>
      <c r="F47" s="13" t="s">
        <v>357</v>
      </c>
      <c r="G47" s="39" t="s">
        <v>354</v>
      </c>
      <c r="H47" s="28"/>
      <c r="I47" s="390"/>
      <c r="J47" s="13"/>
      <c r="K47" s="13" t="s">
        <v>1812</v>
      </c>
      <c r="L47" s="315" t="s">
        <v>2098</v>
      </c>
      <c r="M47" s="373"/>
      <c r="N47" t="s">
        <v>2059</v>
      </c>
      <c r="O47" s="13" t="s">
        <v>14</v>
      </c>
      <c r="P47" s="13" t="s">
        <v>15</v>
      </c>
      <c r="Q47" s="376"/>
      <c r="R47" s="22"/>
      <c r="S47" s="13"/>
      <c r="T47" s="13"/>
      <c r="U47" s="13"/>
      <c r="V47" s="13"/>
      <c r="W47" s="13"/>
      <c r="X47" s="13"/>
      <c r="Y47" s="13"/>
      <c r="Z47" s="13"/>
      <c r="AA47" s="41"/>
      <c r="AB47" s="45"/>
      <c r="AC47" s="29">
        <v>0</v>
      </c>
      <c r="AD47" s="45">
        <f>Z47</f>
        <v>0</v>
      </c>
      <c r="AE47" s="29">
        <v>0</v>
      </c>
      <c r="AF47" s="29">
        <f t="shared" ref="AF47:AF48" si="28">AD47+AE47</f>
        <v>0</v>
      </c>
      <c r="AG47" s="25">
        <v>0.12</v>
      </c>
      <c r="AH47" s="29">
        <f t="shared" ref="AH47:AH48" si="29">AD47*0.12</f>
        <v>0</v>
      </c>
      <c r="AI47" s="29">
        <f t="shared" ref="AI47:AI48" si="30">AE47*0.12</f>
        <v>0</v>
      </c>
      <c r="AJ47" s="29">
        <f t="shared" ref="AJ47:AJ48" si="31">AF47*1.12</f>
        <v>0</v>
      </c>
      <c r="AK47" s="29"/>
      <c r="AL47" s="29"/>
      <c r="AM47" s="29"/>
      <c r="AN47" s="41"/>
      <c r="AO47" s="41"/>
      <c r="AP47" s="41"/>
      <c r="AQ47" s="41"/>
      <c r="AR47" s="41"/>
      <c r="AS47" s="41"/>
      <c r="AT47" s="41"/>
      <c r="AU47" s="41"/>
      <c r="AV47" s="41"/>
      <c r="AW47" s="41"/>
      <c r="AX47" s="41"/>
      <c r="AY47" s="41"/>
      <c r="AZ47" s="41"/>
      <c r="BA47" s="41"/>
      <c r="BB47" s="41"/>
      <c r="BC47" s="41"/>
      <c r="BD47" s="37"/>
      <c r="BE47" s="37"/>
      <c r="BF47" s="37"/>
      <c r="BG47" s="29"/>
      <c r="BH47" s="37"/>
      <c r="BI47" s="23"/>
      <c r="BJ47" s="23"/>
      <c r="BK47" s="29"/>
      <c r="BL47" s="29"/>
      <c r="BM47" s="29"/>
      <c r="BN47" s="23"/>
      <c r="BO47" s="23"/>
      <c r="BP47" s="13"/>
      <c r="BQ47" s="23"/>
      <c r="BR47" s="23"/>
      <c r="BS47" s="23"/>
      <c r="BT47" s="23"/>
      <c r="BU47" s="13"/>
      <c r="BV47" s="13"/>
      <c r="BW47" s="23"/>
      <c r="BX47" s="23"/>
      <c r="BY47" s="13"/>
      <c r="BZ47" s="23"/>
      <c r="CA47" s="23"/>
      <c r="CB47" s="23"/>
      <c r="CC47" s="23"/>
      <c r="CD47" s="23"/>
      <c r="CE47" s="23"/>
      <c r="CF47" s="23"/>
      <c r="CG47" s="23"/>
      <c r="CH47" s="23"/>
      <c r="CI47" s="23"/>
      <c r="CJ47" s="23"/>
      <c r="CK47" s="23"/>
      <c r="CL47" s="23"/>
      <c r="CM47" s="23"/>
      <c r="CN47" s="23"/>
      <c r="CO47" s="23"/>
      <c r="CP47" s="23"/>
      <c r="CQ47" s="23"/>
      <c r="CR47" s="23"/>
      <c r="CS47" s="23"/>
      <c r="CT47" s="29"/>
      <c r="CU47" s="29"/>
      <c r="CV47" s="23"/>
      <c r="CW47" s="30"/>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31"/>
      <c r="DZ47" s="13"/>
      <c r="EA47" s="13"/>
      <c r="EB47" s="13"/>
      <c r="EC47" s="13"/>
      <c r="ED47" s="13"/>
      <c r="EE47" s="13"/>
      <c r="EF47" s="13"/>
      <c r="EG47" s="13"/>
      <c r="EH47" s="13"/>
      <c r="EI47" s="23"/>
      <c r="EJ47" s="2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25"/>
      <c r="FV47" s="25"/>
      <c r="FW47" s="25"/>
      <c r="FX47" s="25"/>
      <c r="FY47" s="25"/>
      <c r="FZ47" s="25"/>
      <c r="GA47" s="25"/>
      <c r="GB47" s="25"/>
      <c r="GC47" s="25"/>
      <c r="GD47" s="25"/>
      <c r="GE47" s="25"/>
      <c r="GF47" s="25">
        <v>0</v>
      </c>
      <c r="GG47" s="25">
        <v>0</v>
      </c>
      <c r="GH47" s="25">
        <v>0</v>
      </c>
      <c r="GI47" s="25">
        <v>0</v>
      </c>
      <c r="GJ47" s="25">
        <v>0</v>
      </c>
      <c r="GK47" s="25">
        <v>0</v>
      </c>
      <c r="GL47" s="25">
        <v>0</v>
      </c>
      <c r="GM47" s="25">
        <v>0</v>
      </c>
      <c r="GN47" s="25">
        <v>0</v>
      </c>
      <c r="GO47" s="25">
        <v>0</v>
      </c>
      <c r="GP47" s="25">
        <v>0</v>
      </c>
      <c r="GQ47" s="25">
        <v>0</v>
      </c>
      <c r="GR47" s="25">
        <v>0</v>
      </c>
      <c r="GS47" s="25">
        <v>0</v>
      </c>
      <c r="GT47" s="25">
        <v>0</v>
      </c>
      <c r="GU47" s="25">
        <v>0</v>
      </c>
      <c r="GV47" s="25"/>
      <c r="GW47" s="25" t="s">
        <v>1588</v>
      </c>
      <c r="GX47" s="25" t="s">
        <v>1588</v>
      </c>
      <c r="GY47" s="25" t="s">
        <v>1588</v>
      </c>
      <c r="GZ47" s="25" t="s">
        <v>1588</v>
      </c>
      <c r="HA47" s="25" t="s">
        <v>1588</v>
      </c>
      <c r="HB47" s="25" t="s">
        <v>1588</v>
      </c>
      <c r="HC47" s="25" t="s">
        <v>1588</v>
      </c>
      <c r="HD47" s="25" t="s">
        <v>1588</v>
      </c>
      <c r="HE47" s="25" t="s">
        <v>1588</v>
      </c>
      <c r="HF47" s="25" t="s">
        <v>1588</v>
      </c>
      <c r="HG47" s="25" t="s">
        <v>1588</v>
      </c>
      <c r="HH47" s="25" t="s">
        <v>1588</v>
      </c>
      <c r="HI47" s="25"/>
      <c r="HJ47" s="25"/>
      <c r="HK47" s="25"/>
      <c r="HL47" s="25"/>
      <c r="HM47" s="25"/>
      <c r="HN47" s="25"/>
      <c r="HO47" s="25"/>
      <c r="HP47" s="25"/>
      <c r="HQ47" s="25"/>
      <c r="HR47" s="25"/>
      <c r="HS47" s="25"/>
      <c r="HT47" s="25"/>
      <c r="HU47" s="16"/>
      <c r="HV47" s="13"/>
      <c r="HW47" s="13"/>
      <c r="HX47" s="55"/>
      <c r="HY47" s="55"/>
      <c r="HZ47" s="55"/>
      <c r="IA47" s="55"/>
      <c r="IB47" s="55"/>
      <c r="IC47" s="55"/>
      <c r="ID47" s="55"/>
      <c r="IE47" s="55"/>
      <c r="IF47" s="107"/>
      <c r="IG47" s="107"/>
      <c r="IH47" s="250"/>
      <c r="II47" s="55"/>
      <c r="IJ47" s="55"/>
      <c r="IK47" s="55"/>
      <c r="IL47" s="55"/>
      <c r="IM47" s="55"/>
      <c r="IN47" s="55"/>
      <c r="IO47" s="55"/>
      <c r="IP47" s="55"/>
      <c r="IQ47" s="55"/>
      <c r="IR47" s="55"/>
      <c r="IS47" s="55"/>
      <c r="IT47" s="55"/>
      <c r="IU47" s="55"/>
      <c r="IV47" s="55"/>
      <c r="IW47" s="55"/>
      <c r="IX47" s="55"/>
      <c r="IY47" s="55"/>
      <c r="IZ47" s="55"/>
      <c r="JA47" s="55"/>
      <c r="JB47" s="55"/>
      <c r="JC47" s="55"/>
      <c r="JD47" s="55">
        <v>2021</v>
      </c>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row>
    <row r="48" spans="1:411" s="106" customFormat="1" ht="24.95" hidden="1" customHeight="1">
      <c r="A48" s="13" t="s">
        <v>1039</v>
      </c>
      <c r="B48" s="26" t="s">
        <v>1</v>
      </c>
      <c r="C48" s="13" t="s">
        <v>352</v>
      </c>
      <c r="D48" s="13" t="s">
        <v>377</v>
      </c>
      <c r="E48" s="16" t="s">
        <v>357</v>
      </c>
      <c r="F48" s="13" t="s">
        <v>357</v>
      </c>
      <c r="G48" s="39" t="s">
        <v>354</v>
      </c>
      <c r="H48" s="28"/>
      <c r="I48" s="391"/>
      <c r="J48" s="13"/>
      <c r="K48" s="13" t="s">
        <v>1812</v>
      </c>
      <c r="L48" s="315" t="s">
        <v>2098</v>
      </c>
      <c r="M48" s="374"/>
      <c r="N48" s="20"/>
      <c r="O48" s="13" t="s">
        <v>14</v>
      </c>
      <c r="P48" s="13" t="s">
        <v>15</v>
      </c>
      <c r="Q48" s="377"/>
      <c r="R48" s="26"/>
      <c r="S48" s="13"/>
      <c r="T48" s="13"/>
      <c r="U48" s="13"/>
      <c r="V48" s="24"/>
      <c r="W48" s="13"/>
      <c r="X48" s="13"/>
      <c r="Y48" s="13"/>
      <c r="Z48" s="13"/>
      <c r="AA48" s="29"/>
      <c r="AB48" s="29">
        <v>8073900</v>
      </c>
      <c r="AC48" s="29">
        <v>0</v>
      </c>
      <c r="AD48" s="29">
        <v>8073900</v>
      </c>
      <c r="AE48" s="29">
        <v>0</v>
      </c>
      <c r="AF48" s="29">
        <f t="shared" si="28"/>
        <v>8073900</v>
      </c>
      <c r="AG48" s="25">
        <v>0.12</v>
      </c>
      <c r="AH48" s="29">
        <f t="shared" si="29"/>
        <v>968868</v>
      </c>
      <c r="AI48" s="29">
        <f t="shared" si="30"/>
        <v>0</v>
      </c>
      <c r="AJ48" s="29">
        <f t="shared" si="31"/>
        <v>9042768</v>
      </c>
      <c r="AK48" s="29"/>
      <c r="AL48" s="29"/>
      <c r="AM48" s="29"/>
      <c r="AN48" s="29"/>
      <c r="AO48" s="29"/>
      <c r="AP48" s="29"/>
      <c r="AQ48" s="29"/>
      <c r="AR48" s="25"/>
      <c r="AS48" s="37"/>
      <c r="AT48" s="29"/>
      <c r="AU48" s="29"/>
      <c r="AV48" s="29"/>
      <c r="AW48" s="29"/>
      <c r="AX48" s="29"/>
      <c r="AY48" s="29"/>
      <c r="AZ48" s="29"/>
      <c r="BA48" s="29"/>
      <c r="BB48" s="29"/>
      <c r="BC48" s="29"/>
      <c r="BD48" s="29"/>
      <c r="BE48" s="29"/>
      <c r="BF48" s="29"/>
      <c r="BG48" s="29"/>
      <c r="BH48" s="29"/>
      <c r="BI48" s="23"/>
      <c r="BJ48" s="23"/>
      <c r="BK48" s="29"/>
      <c r="BL48" s="29"/>
      <c r="BM48" s="29"/>
      <c r="BN48" s="23"/>
      <c r="BO48" s="23"/>
      <c r="BP48" s="13"/>
      <c r="BQ48" s="23"/>
      <c r="BR48" s="23"/>
      <c r="BS48" s="23"/>
      <c r="BT48" s="23"/>
      <c r="BU48" s="13"/>
      <c r="BV48" s="13"/>
      <c r="BW48" s="23"/>
      <c r="BX48" s="23"/>
      <c r="BY48" s="13"/>
      <c r="BZ48" s="23"/>
      <c r="CA48" s="23"/>
      <c r="CB48" s="23"/>
      <c r="CC48" s="23"/>
      <c r="CD48" s="23"/>
      <c r="CE48" s="23"/>
      <c r="CF48" s="23"/>
      <c r="CG48" s="23"/>
      <c r="CH48" s="23"/>
      <c r="CI48" s="23"/>
      <c r="CJ48" s="23"/>
      <c r="CK48" s="23"/>
      <c r="CL48" s="23"/>
      <c r="CM48" s="23"/>
      <c r="CN48" s="23"/>
      <c r="CO48" s="23"/>
      <c r="CP48" s="23"/>
      <c r="CQ48" s="23"/>
      <c r="CR48" s="23"/>
      <c r="CS48" s="23"/>
      <c r="CT48" s="29"/>
      <c r="CU48" s="29"/>
      <c r="CV48" s="2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31"/>
      <c r="DZ48" s="13"/>
      <c r="EA48" s="13"/>
      <c r="EB48" s="13"/>
      <c r="EC48" s="13"/>
      <c r="ED48" s="13"/>
      <c r="EE48" s="13"/>
      <c r="EF48" s="13"/>
      <c r="EG48" s="13"/>
      <c r="EH48" s="13"/>
      <c r="EI48" s="23"/>
      <c r="EJ48" s="2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25"/>
      <c r="FW48" s="25"/>
      <c r="FX48" s="25"/>
      <c r="FY48" s="25"/>
      <c r="FZ48" s="25"/>
      <c r="GA48" s="25"/>
      <c r="GB48" s="25"/>
      <c r="GC48" s="25"/>
      <c r="GD48" s="25"/>
      <c r="GE48" s="25"/>
      <c r="GF48" s="25">
        <v>0</v>
      </c>
      <c r="GG48" s="25">
        <v>0</v>
      </c>
      <c r="GH48" s="25">
        <v>0</v>
      </c>
      <c r="GI48" s="25">
        <v>0</v>
      </c>
      <c r="GJ48" s="25">
        <v>0</v>
      </c>
      <c r="GK48" s="25">
        <v>0</v>
      </c>
      <c r="GL48" s="25">
        <v>0</v>
      </c>
      <c r="GM48" s="25">
        <v>0</v>
      </c>
      <c r="GN48" s="25">
        <v>0</v>
      </c>
      <c r="GO48" s="25">
        <v>0</v>
      </c>
      <c r="GP48" s="25">
        <v>0</v>
      </c>
      <c r="GQ48" s="25">
        <v>0</v>
      </c>
      <c r="GR48" s="25">
        <v>0</v>
      </c>
      <c r="GS48" s="25">
        <v>0</v>
      </c>
      <c r="GT48" s="25">
        <v>0</v>
      </c>
      <c r="GU48" s="25">
        <v>0</v>
      </c>
      <c r="GV48" s="25"/>
      <c r="GW48" s="25" t="s">
        <v>1588</v>
      </c>
      <c r="GX48" s="25" t="s">
        <v>1588</v>
      </c>
      <c r="GY48" s="25" t="s">
        <v>1588</v>
      </c>
      <c r="GZ48" s="25" t="s">
        <v>1588</v>
      </c>
      <c r="HA48" s="25" t="s">
        <v>1588</v>
      </c>
      <c r="HB48" s="25" t="s">
        <v>1588</v>
      </c>
      <c r="HC48" s="25" t="s">
        <v>1588</v>
      </c>
      <c r="HD48" s="25" t="s">
        <v>1588</v>
      </c>
      <c r="HE48" s="25" t="s">
        <v>1588</v>
      </c>
      <c r="HF48" s="25" t="s">
        <v>1588</v>
      </c>
      <c r="HG48" s="25" t="s">
        <v>1588</v>
      </c>
      <c r="HH48" s="25" t="s">
        <v>1588</v>
      </c>
      <c r="HI48" s="25"/>
      <c r="HJ48" s="25"/>
      <c r="HK48" s="25"/>
      <c r="HL48" s="25"/>
      <c r="HM48" s="25"/>
      <c r="HN48" s="25"/>
      <c r="HO48" s="25"/>
      <c r="HP48" s="25"/>
      <c r="HQ48" s="25"/>
      <c r="HR48" s="25"/>
      <c r="HS48" s="25"/>
      <c r="HT48" s="25"/>
      <c r="HU48" s="16"/>
      <c r="HV48" s="13"/>
      <c r="HW48" s="13"/>
      <c r="HX48" s="55"/>
      <c r="HY48" s="55"/>
      <c r="HZ48" s="55"/>
      <c r="IA48" s="55"/>
      <c r="IB48" s="55"/>
      <c r="IC48" s="55"/>
      <c r="ID48" s="55"/>
      <c r="IE48" s="55"/>
      <c r="IF48" s="107"/>
      <c r="IG48" s="107"/>
      <c r="IH48" s="250"/>
      <c r="II48" s="55"/>
      <c r="IJ48" s="55"/>
      <c r="IK48" s="55"/>
      <c r="IL48" s="55"/>
      <c r="IM48" s="55"/>
      <c r="IN48" s="55"/>
      <c r="IO48" s="55"/>
      <c r="IP48" s="55"/>
      <c r="IQ48" s="55"/>
      <c r="IR48" s="55"/>
      <c r="IS48" s="55"/>
      <c r="IT48" s="55"/>
      <c r="IU48" s="55"/>
      <c r="IV48" s="55"/>
      <c r="IW48" s="55"/>
      <c r="IX48" s="55"/>
      <c r="IY48" s="55"/>
      <c r="IZ48" s="55"/>
      <c r="JA48" s="55"/>
      <c r="JB48" s="55"/>
      <c r="JC48" s="55"/>
      <c r="JD48" s="55">
        <v>2021</v>
      </c>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row>
    <row r="49" spans="1:264" s="5" customFormat="1" ht="81" hidden="1" customHeight="1">
      <c r="A49" s="26" t="s">
        <v>23</v>
      </c>
      <c r="B49" s="26" t="s">
        <v>1</v>
      </c>
      <c r="C49" s="13" t="s">
        <v>352</v>
      </c>
      <c r="D49" s="13" t="s">
        <v>377</v>
      </c>
      <c r="E49" s="16" t="s">
        <v>353</v>
      </c>
      <c r="F49" s="13" t="s">
        <v>353</v>
      </c>
      <c r="G49" s="39" t="s">
        <v>354</v>
      </c>
      <c r="H49" s="28" t="s">
        <v>1550</v>
      </c>
      <c r="I49" s="20" t="s">
        <v>823</v>
      </c>
      <c r="J49" s="48">
        <v>5</v>
      </c>
      <c r="K49" s="13" t="s">
        <v>375</v>
      </c>
      <c r="L49" s="314" t="s">
        <v>1661</v>
      </c>
      <c r="M49" s="20" t="s">
        <v>1604</v>
      </c>
      <c r="N49" s="20"/>
      <c r="O49" s="13" t="s">
        <v>1666</v>
      </c>
      <c r="P49" s="13" t="s">
        <v>4</v>
      </c>
      <c r="Q49" s="22" t="s">
        <v>364</v>
      </c>
      <c r="R49" s="22"/>
      <c r="S49" s="13"/>
      <c r="T49" s="13"/>
      <c r="U49" s="13"/>
      <c r="V49" s="13"/>
      <c r="W49" s="13"/>
      <c r="X49" s="13"/>
      <c r="Y49" s="13"/>
      <c r="Z49" s="13"/>
      <c r="AA49" s="41"/>
      <c r="AB49" s="41">
        <v>272563.8</v>
      </c>
      <c r="AC49" s="29">
        <v>0</v>
      </c>
      <c r="AD49" s="41">
        <v>250000</v>
      </c>
      <c r="AE49" s="29">
        <v>0</v>
      </c>
      <c r="AF49" s="29">
        <f t="shared" si="17"/>
        <v>250000</v>
      </c>
      <c r="AG49" s="25">
        <v>0.12</v>
      </c>
      <c r="AH49" s="29">
        <f t="shared" si="5"/>
        <v>30000</v>
      </c>
      <c r="AI49" s="29">
        <f t="shared" si="6"/>
        <v>0</v>
      </c>
      <c r="AJ49" s="29">
        <f t="shared" si="0"/>
        <v>280000</v>
      </c>
      <c r="AK49" s="29"/>
      <c r="AL49" s="29"/>
      <c r="AM49" s="29"/>
      <c r="AN49" s="41"/>
      <c r="AO49" s="41"/>
      <c r="AP49" s="41"/>
      <c r="AQ49" s="41">
        <v>384505.15</v>
      </c>
      <c r="AR49" s="41"/>
      <c r="AS49" s="41"/>
      <c r="AT49" s="41"/>
      <c r="AU49" s="41"/>
      <c r="AV49" s="41"/>
      <c r="AW49" s="41"/>
      <c r="AX49" s="41"/>
      <c r="AY49" s="41"/>
      <c r="AZ49" s="41"/>
      <c r="BA49" s="41"/>
      <c r="BB49" s="41"/>
      <c r="BC49" s="41"/>
      <c r="BD49" s="37"/>
      <c r="BE49" s="37"/>
      <c r="BF49" s="37"/>
      <c r="BG49" s="29"/>
      <c r="BH49" s="37"/>
      <c r="BI49" s="29" t="s">
        <v>570</v>
      </c>
      <c r="BJ49" s="29" t="s">
        <v>570</v>
      </c>
      <c r="BK49" s="29" t="s">
        <v>570</v>
      </c>
      <c r="BL49" s="29" t="s">
        <v>570</v>
      </c>
      <c r="BM49" s="29" t="s">
        <v>570</v>
      </c>
      <c r="BN49" s="23"/>
      <c r="BO49" s="13"/>
      <c r="BP49" s="13"/>
      <c r="BQ49" s="13"/>
      <c r="BR49" s="13"/>
      <c r="BS49" s="13"/>
      <c r="BT49" s="13"/>
      <c r="BU49" s="13" t="s">
        <v>570</v>
      </c>
      <c r="BV49" s="13" t="s">
        <v>570</v>
      </c>
      <c r="BW49" s="224" t="s">
        <v>570</v>
      </c>
      <c r="BX49" s="23"/>
      <c r="BY49" s="13"/>
      <c r="BZ49" s="13"/>
      <c r="CA49" s="23"/>
      <c r="CB49" s="224" t="s">
        <v>570</v>
      </c>
      <c r="CC49" s="224" t="s">
        <v>570</v>
      </c>
      <c r="CD49" s="224" t="s">
        <v>570</v>
      </c>
      <c r="CE49" s="23"/>
      <c r="CF49" s="23"/>
      <c r="CG49" s="23"/>
      <c r="CH49" s="23"/>
      <c r="CI49" s="23"/>
      <c r="CJ49" s="23"/>
      <c r="CK49" s="23"/>
      <c r="CL49" s="23"/>
      <c r="CM49" s="23"/>
      <c r="CN49" s="23"/>
      <c r="CO49" s="23"/>
      <c r="CP49" s="23"/>
      <c r="CQ49" s="23"/>
      <c r="CR49" s="23"/>
      <c r="CS49" s="13" t="s">
        <v>570</v>
      </c>
      <c r="CT49" s="13" t="s">
        <v>570</v>
      </c>
      <c r="CU49" s="13" t="s">
        <v>570</v>
      </c>
      <c r="CV49" s="2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31"/>
      <c r="DZ49" s="13"/>
      <c r="EA49" s="13"/>
      <c r="EB49" s="13"/>
      <c r="EC49" s="13"/>
      <c r="ED49" s="13"/>
      <c r="EE49" s="13"/>
      <c r="EF49" s="13"/>
      <c r="EG49" s="13">
        <v>180</v>
      </c>
      <c r="EH49" s="13"/>
      <c r="EI49" s="23"/>
      <c r="EJ49" s="2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25"/>
      <c r="FW49" s="25"/>
      <c r="FX49" s="25"/>
      <c r="FY49" s="25"/>
      <c r="FZ49" s="25"/>
      <c r="GA49" s="25">
        <v>0</v>
      </c>
      <c r="GB49" s="25">
        <v>0</v>
      </c>
      <c r="GC49" s="25">
        <v>0</v>
      </c>
      <c r="GD49" s="25">
        <v>0</v>
      </c>
      <c r="GE49" s="25">
        <v>0</v>
      </c>
      <c r="GF49" s="25">
        <v>0</v>
      </c>
      <c r="GG49" s="25">
        <v>0</v>
      </c>
      <c r="GH49" s="25">
        <v>0</v>
      </c>
      <c r="GI49" s="25">
        <v>0</v>
      </c>
      <c r="GJ49" s="25">
        <v>0</v>
      </c>
      <c r="GK49" s="25">
        <v>0</v>
      </c>
      <c r="GL49" s="25">
        <v>0</v>
      </c>
      <c r="GM49" s="25">
        <v>0</v>
      </c>
      <c r="GN49" s="25">
        <v>1</v>
      </c>
      <c r="GO49" s="25">
        <v>1</v>
      </c>
      <c r="GP49" s="25">
        <v>1</v>
      </c>
      <c r="GQ49" s="25">
        <v>1</v>
      </c>
      <c r="GR49" s="25">
        <v>1</v>
      </c>
      <c r="GS49" s="25">
        <v>1</v>
      </c>
      <c r="GT49" s="25">
        <v>1</v>
      </c>
      <c r="GU49" s="25">
        <v>1</v>
      </c>
      <c r="GV49" s="25" t="s">
        <v>1588</v>
      </c>
      <c r="GW49" s="25" t="s">
        <v>1588</v>
      </c>
      <c r="GX49" s="25" t="s">
        <v>1588</v>
      </c>
      <c r="GY49" s="25" t="s">
        <v>1588</v>
      </c>
      <c r="GZ49" s="25" t="s">
        <v>1588</v>
      </c>
      <c r="HA49" s="25" t="s">
        <v>1588</v>
      </c>
      <c r="HB49" s="25" t="s">
        <v>1588</v>
      </c>
      <c r="HC49" s="25" t="s">
        <v>1588</v>
      </c>
      <c r="HD49" s="25" t="s">
        <v>1588</v>
      </c>
      <c r="HE49" s="25" t="s">
        <v>1588</v>
      </c>
      <c r="HF49" s="25" t="s">
        <v>1588</v>
      </c>
      <c r="HG49" s="25" t="s">
        <v>1588</v>
      </c>
      <c r="HH49" s="25" t="s">
        <v>1588</v>
      </c>
      <c r="HI49" s="25" t="s">
        <v>1648</v>
      </c>
      <c r="HJ49" s="25"/>
      <c r="HK49" s="25"/>
      <c r="HL49" s="25"/>
      <c r="HM49" s="25"/>
      <c r="HN49" s="25" t="s">
        <v>1776</v>
      </c>
      <c r="HO49" s="25" t="s">
        <v>1903</v>
      </c>
      <c r="HP49" s="25"/>
      <c r="HQ49" s="25"/>
      <c r="HR49" s="25"/>
      <c r="HS49" s="25"/>
      <c r="HT49" s="25"/>
      <c r="HU49" s="43" t="s">
        <v>1691</v>
      </c>
      <c r="HV49" s="13"/>
      <c r="HW49" s="13"/>
      <c r="HX49" s="55"/>
      <c r="HY49" s="55"/>
      <c r="HZ49" s="55"/>
      <c r="IA49" s="55"/>
      <c r="IB49" s="55"/>
      <c r="IC49" s="55"/>
      <c r="ID49" s="55"/>
      <c r="IE49" s="55"/>
      <c r="IF49" s="107">
        <v>272563.8</v>
      </c>
      <c r="IG49" s="107"/>
      <c r="IH49" s="250">
        <f t="shared" ref="IH49:IH55" si="32">AK49-IG49</f>
        <v>0</v>
      </c>
      <c r="II49" s="55"/>
      <c r="IJ49" s="55"/>
      <c r="IK49" s="55"/>
      <c r="IL49" s="55"/>
      <c r="IM49" s="55"/>
      <c r="IN49" s="55"/>
      <c r="IO49" s="55"/>
      <c r="IP49" s="55"/>
      <c r="IQ49" s="55"/>
      <c r="IR49" s="55"/>
      <c r="IS49" s="55"/>
      <c r="IT49" s="55"/>
      <c r="IU49" s="55"/>
      <c r="IV49" s="55"/>
      <c r="IW49" s="55"/>
      <c r="IX49" s="55"/>
      <c r="IY49" s="55"/>
      <c r="IZ49" s="55"/>
      <c r="JA49" s="55"/>
      <c r="JB49" s="55"/>
      <c r="JC49" s="55"/>
      <c r="JD49" s="55">
        <v>2019</v>
      </c>
    </row>
    <row r="50" spans="1:264" s="106" customFormat="1" ht="24.95" hidden="1" customHeight="1">
      <c r="A50" s="26" t="s">
        <v>23</v>
      </c>
      <c r="B50" s="26" t="s">
        <v>198</v>
      </c>
      <c r="C50" s="13" t="s">
        <v>352</v>
      </c>
      <c r="D50" s="13" t="s">
        <v>377</v>
      </c>
      <c r="E50" s="16" t="s">
        <v>357</v>
      </c>
      <c r="F50" s="13" t="s">
        <v>357</v>
      </c>
      <c r="G50" s="39" t="s">
        <v>354</v>
      </c>
      <c r="H50" s="13" t="s">
        <v>1582</v>
      </c>
      <c r="I50" s="20" t="s">
        <v>1670</v>
      </c>
      <c r="J50" s="13"/>
      <c r="K50" s="49" t="s">
        <v>375</v>
      </c>
      <c r="L50" s="314" t="s">
        <v>1723</v>
      </c>
      <c r="M50" s="20" t="s">
        <v>1670</v>
      </c>
      <c r="N50" s="20"/>
      <c r="O50" s="13" t="s">
        <v>1668</v>
      </c>
      <c r="P50" s="13" t="s">
        <v>15</v>
      </c>
      <c r="Q50" s="136" t="s">
        <v>1663</v>
      </c>
      <c r="R50" s="22"/>
      <c r="S50" s="13"/>
      <c r="T50" s="13"/>
      <c r="U50" s="13"/>
      <c r="V50" s="13"/>
      <c r="W50" s="13"/>
      <c r="X50" s="13"/>
      <c r="Y50" s="13"/>
      <c r="Z50" s="13"/>
      <c r="AA50" s="41"/>
      <c r="AB50" s="29">
        <v>1113743.58</v>
      </c>
      <c r="AC50" s="29">
        <v>0</v>
      </c>
      <c r="AD50" s="29">
        <v>1113743.58</v>
      </c>
      <c r="AE50" s="29">
        <v>0</v>
      </c>
      <c r="AF50" s="29">
        <f t="shared" si="17"/>
        <v>1113743.58</v>
      </c>
      <c r="AG50" s="25">
        <v>0.12</v>
      </c>
      <c r="AH50" s="29">
        <f t="shared" si="5"/>
        <v>133649.22959999999</v>
      </c>
      <c r="AI50" s="29">
        <f t="shared" si="6"/>
        <v>0</v>
      </c>
      <c r="AJ50" s="29">
        <f t="shared" si="0"/>
        <v>1247392.8096000003</v>
      </c>
      <c r="AK50" s="29"/>
      <c r="AL50" s="29"/>
      <c r="AM50" s="29"/>
      <c r="AN50" s="41"/>
      <c r="AO50" s="41"/>
      <c r="AP50" s="41"/>
      <c r="AQ50" s="41"/>
      <c r="AR50" s="41"/>
      <c r="AS50" s="41"/>
      <c r="AT50" s="41"/>
      <c r="AU50" s="41"/>
      <c r="AV50" s="41"/>
      <c r="AW50" s="41"/>
      <c r="AX50" s="41"/>
      <c r="AY50" s="41"/>
      <c r="AZ50" s="41"/>
      <c r="BA50" s="41"/>
      <c r="BB50" s="41"/>
      <c r="BC50" s="41"/>
      <c r="BD50" s="37"/>
      <c r="BE50" s="37"/>
      <c r="BF50" s="37"/>
      <c r="BG50" s="29"/>
      <c r="BH50" s="37"/>
      <c r="BI50" s="23">
        <v>43640</v>
      </c>
      <c r="BJ50" s="23">
        <v>43647</v>
      </c>
      <c r="BK50" s="29"/>
      <c r="BL50" s="29"/>
      <c r="BM50" s="29"/>
      <c r="BN50" s="23">
        <v>43647</v>
      </c>
      <c r="BO50" s="23">
        <f>BN50+45</f>
        <v>43692</v>
      </c>
      <c r="BP50" s="13"/>
      <c r="BQ50" s="23">
        <f>BN50+60</f>
        <v>43707</v>
      </c>
      <c r="BR50" s="23"/>
      <c r="BS50" s="23">
        <f>BQ50+31</f>
        <v>43738</v>
      </c>
      <c r="BT50" s="23">
        <f>BS50+30</f>
        <v>43768</v>
      </c>
      <c r="BU50" s="13"/>
      <c r="BV50" s="13"/>
      <c r="BW50" s="23"/>
      <c r="BX50" s="23"/>
      <c r="BY50" s="13"/>
      <c r="BZ50" s="23"/>
      <c r="CA50" s="23">
        <f>BT50+15</f>
        <v>43783</v>
      </c>
      <c r="CB50" s="23"/>
      <c r="CC50" s="23"/>
      <c r="CD50" s="23"/>
      <c r="CE50" s="23"/>
      <c r="CF50" s="23"/>
      <c r="CG50" s="23">
        <v>43782</v>
      </c>
      <c r="CH50" s="23"/>
      <c r="CI50" s="23"/>
      <c r="CJ50" s="23"/>
      <c r="CK50" s="23"/>
      <c r="CL50" s="23"/>
      <c r="CM50" s="23"/>
      <c r="CN50" s="23"/>
      <c r="CO50" s="23"/>
      <c r="CP50" s="23"/>
      <c r="CQ50" s="23"/>
      <c r="CR50" s="23"/>
      <c r="CS50" s="23"/>
      <c r="CT50" s="29"/>
      <c r="CU50" s="29"/>
      <c r="CV50" s="23">
        <v>43800</v>
      </c>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31"/>
      <c r="DZ50" s="13"/>
      <c r="EA50" s="13"/>
      <c r="EB50" s="13"/>
      <c r="EC50" s="13"/>
      <c r="ED50" s="13"/>
      <c r="EE50" s="13"/>
      <c r="EF50" s="13"/>
      <c r="EG50" s="13"/>
      <c r="EH50" s="13"/>
      <c r="EI50" s="23"/>
      <c r="EJ50" s="2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25"/>
      <c r="FV50" s="25"/>
      <c r="FW50" s="25"/>
      <c r="FX50" s="25"/>
      <c r="FY50" s="25"/>
      <c r="FZ50" s="25"/>
      <c r="GA50" s="25"/>
      <c r="GB50" s="25"/>
      <c r="GC50" s="25"/>
      <c r="GD50" s="25"/>
      <c r="GE50" s="25"/>
      <c r="GF50" s="25">
        <v>0</v>
      </c>
      <c r="GG50" s="25">
        <v>0</v>
      </c>
      <c r="GH50" s="25">
        <v>0</v>
      </c>
      <c r="GI50" s="25">
        <v>0</v>
      </c>
      <c r="GJ50" s="25">
        <v>0</v>
      </c>
      <c r="GK50" s="25">
        <v>0</v>
      </c>
      <c r="GL50" s="25">
        <v>0</v>
      </c>
      <c r="GM50" s="25">
        <v>0</v>
      </c>
      <c r="GN50" s="25">
        <v>0</v>
      </c>
      <c r="GO50" s="25">
        <v>0</v>
      </c>
      <c r="GP50" s="25">
        <v>0</v>
      </c>
      <c r="GQ50" s="25">
        <v>0</v>
      </c>
      <c r="GR50" s="25">
        <v>0</v>
      </c>
      <c r="GS50" s="25">
        <v>0</v>
      </c>
      <c r="GT50" s="25">
        <v>0</v>
      </c>
      <c r="GU50" s="25">
        <v>0</v>
      </c>
      <c r="GV50" s="25"/>
      <c r="GW50" s="25" t="s">
        <v>1588</v>
      </c>
      <c r="GX50" s="25" t="s">
        <v>1588</v>
      </c>
      <c r="GY50" s="25" t="s">
        <v>1588</v>
      </c>
      <c r="GZ50" s="25" t="s">
        <v>1588</v>
      </c>
      <c r="HA50" s="25" t="s">
        <v>1588</v>
      </c>
      <c r="HB50" s="25" t="s">
        <v>1588</v>
      </c>
      <c r="HC50" s="25" t="s">
        <v>1588</v>
      </c>
      <c r="HD50" s="25" t="s">
        <v>1588</v>
      </c>
      <c r="HE50" s="25" t="s">
        <v>1588</v>
      </c>
      <c r="HF50" s="25" t="s">
        <v>1588</v>
      </c>
      <c r="HG50" s="25" t="s">
        <v>1588</v>
      </c>
      <c r="HH50" s="25" t="s">
        <v>1588</v>
      </c>
      <c r="HI50" s="25"/>
      <c r="HJ50" s="25"/>
      <c r="HK50" s="25"/>
      <c r="HL50" s="25"/>
      <c r="HM50" s="25"/>
      <c r="HN50" s="25"/>
      <c r="HO50" s="25"/>
      <c r="HP50" s="25"/>
      <c r="HQ50" s="25"/>
      <c r="HR50" s="25"/>
      <c r="HS50" s="25"/>
      <c r="HT50" s="25"/>
      <c r="HU50" s="13"/>
      <c r="HV50" s="13"/>
      <c r="HW50" s="13"/>
      <c r="HX50" s="55"/>
      <c r="HY50" s="55"/>
      <c r="HZ50" s="55"/>
      <c r="IA50" s="55"/>
      <c r="IB50" s="55"/>
      <c r="IC50" s="55"/>
      <c r="ID50" s="55"/>
      <c r="IE50" s="55"/>
      <c r="IF50" s="107">
        <v>1113743.58</v>
      </c>
      <c r="IG50" s="107"/>
      <c r="IH50" s="250">
        <f t="shared" si="32"/>
        <v>0</v>
      </c>
      <c r="II50" s="55"/>
      <c r="IJ50" s="55"/>
      <c r="IK50" s="55"/>
      <c r="IL50" s="55"/>
      <c r="IM50" s="55"/>
      <c r="IN50" s="55"/>
      <c r="IO50" s="55"/>
      <c r="IP50" s="55"/>
      <c r="IQ50" s="55"/>
      <c r="IR50" s="55"/>
      <c r="IS50" s="55"/>
      <c r="IT50" s="55"/>
      <c r="IU50" s="55"/>
      <c r="IV50" s="55"/>
      <c r="IW50" s="55"/>
      <c r="IX50" s="55"/>
      <c r="IY50" s="55"/>
      <c r="IZ50" s="55"/>
      <c r="JA50" s="55"/>
      <c r="JB50" s="55"/>
      <c r="JC50" s="55"/>
      <c r="JD50" s="55">
        <v>2021</v>
      </c>
    </row>
    <row r="51" spans="1:264" s="106" customFormat="1" ht="40.5" hidden="1" customHeight="1">
      <c r="A51" s="26" t="s">
        <v>175</v>
      </c>
      <c r="B51" s="26" t="s">
        <v>198</v>
      </c>
      <c r="C51" s="13" t="s">
        <v>352</v>
      </c>
      <c r="D51" s="13" t="s">
        <v>377</v>
      </c>
      <c r="E51" s="16" t="s">
        <v>357</v>
      </c>
      <c r="F51" s="13" t="s">
        <v>357</v>
      </c>
      <c r="G51" s="39" t="s">
        <v>354</v>
      </c>
      <c r="H51" s="13"/>
      <c r="I51" s="47" t="s">
        <v>1669</v>
      </c>
      <c r="J51" s="13">
        <v>22</v>
      </c>
      <c r="K51" s="49" t="s">
        <v>375</v>
      </c>
      <c r="L51" s="46" t="s">
        <v>1722</v>
      </c>
      <c r="M51" s="20" t="s">
        <v>1669</v>
      </c>
      <c r="N51" s="20"/>
      <c r="O51" s="13" t="s">
        <v>1668</v>
      </c>
      <c r="P51" s="13" t="s">
        <v>15</v>
      </c>
      <c r="Q51" s="136" t="s">
        <v>1663</v>
      </c>
      <c r="R51" s="22"/>
      <c r="S51" s="13"/>
      <c r="T51" s="13"/>
      <c r="U51" s="13"/>
      <c r="V51" s="13"/>
      <c r="W51" s="13"/>
      <c r="X51" s="13"/>
      <c r="Y51" s="13"/>
      <c r="Z51" s="13"/>
      <c r="AA51" s="41"/>
      <c r="AB51" s="29">
        <v>1800000</v>
      </c>
      <c r="AC51" s="29">
        <v>0</v>
      </c>
      <c r="AD51" s="29">
        <v>1800000</v>
      </c>
      <c r="AE51" s="29">
        <v>0</v>
      </c>
      <c r="AF51" s="29">
        <f t="shared" si="17"/>
        <v>1800000</v>
      </c>
      <c r="AG51" s="25">
        <v>0.12</v>
      </c>
      <c r="AH51" s="29">
        <f t="shared" si="5"/>
        <v>216000</v>
      </c>
      <c r="AI51" s="29">
        <f t="shared" si="6"/>
        <v>0</v>
      </c>
      <c r="AJ51" s="29">
        <f t="shared" si="0"/>
        <v>2016000.0000000002</v>
      </c>
      <c r="AK51" s="29"/>
      <c r="AL51" s="29"/>
      <c r="AM51" s="29"/>
      <c r="AN51" s="41"/>
      <c r="AO51" s="41"/>
      <c r="AP51" s="41"/>
      <c r="AQ51" s="41"/>
      <c r="AR51" s="41"/>
      <c r="AS51" s="41"/>
      <c r="AT51" s="41"/>
      <c r="AU51" s="41"/>
      <c r="AV51" s="41"/>
      <c r="AW51" s="41"/>
      <c r="AX51" s="41"/>
      <c r="AY51" s="41"/>
      <c r="AZ51" s="41"/>
      <c r="BA51" s="41"/>
      <c r="BB51" s="41"/>
      <c r="BC51" s="41"/>
      <c r="BD51" s="37"/>
      <c r="BE51" s="37"/>
      <c r="BF51" s="37"/>
      <c r="BG51" s="29"/>
      <c r="BH51" s="37"/>
      <c r="BI51" s="29"/>
      <c r="BJ51" s="29"/>
      <c r="BK51" s="29"/>
      <c r="BL51" s="29"/>
      <c r="BM51" s="29"/>
      <c r="BN51" s="23"/>
      <c r="BO51" s="13"/>
      <c r="BP51" s="13"/>
      <c r="BQ51" s="13"/>
      <c r="BR51" s="13"/>
      <c r="BS51" s="13"/>
      <c r="BT51" s="13"/>
      <c r="BU51" s="13"/>
      <c r="BV51" s="13"/>
      <c r="BW51" s="224"/>
      <c r="BX51" s="23"/>
      <c r="BY51" s="13"/>
      <c r="BZ51" s="13"/>
      <c r="CA51" s="23"/>
      <c r="CB51" s="224"/>
      <c r="CC51" s="224"/>
      <c r="CD51" s="224"/>
      <c r="CE51" s="23"/>
      <c r="CF51" s="23"/>
      <c r="CG51" s="23"/>
      <c r="CH51" s="23"/>
      <c r="CI51" s="23"/>
      <c r="CJ51" s="23"/>
      <c r="CK51" s="23"/>
      <c r="CL51" s="23"/>
      <c r="CM51" s="23"/>
      <c r="CN51" s="23"/>
      <c r="CO51" s="23"/>
      <c r="CP51" s="23"/>
      <c r="CQ51" s="23"/>
      <c r="CR51" s="23"/>
      <c r="CS51" s="29"/>
      <c r="CT51" s="29"/>
      <c r="CU51" s="29"/>
      <c r="CV51" s="2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31"/>
      <c r="DZ51" s="13"/>
      <c r="EA51" s="13"/>
      <c r="EB51" s="13"/>
      <c r="EC51" s="13"/>
      <c r="ED51" s="13"/>
      <c r="EE51" s="13"/>
      <c r="EF51" s="13"/>
      <c r="EG51" s="13"/>
      <c r="EH51" s="13"/>
      <c r="EI51" s="23"/>
      <c r="EJ51" s="2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25"/>
      <c r="FV51" s="25"/>
      <c r="FW51" s="25"/>
      <c r="FX51" s="25"/>
      <c r="FY51" s="25"/>
      <c r="FZ51" s="25"/>
      <c r="GA51" s="25"/>
      <c r="GB51" s="25"/>
      <c r="GC51" s="25"/>
      <c r="GD51" s="25"/>
      <c r="GE51" s="25"/>
      <c r="GF51" s="25">
        <v>0</v>
      </c>
      <c r="GG51" s="25">
        <v>0</v>
      </c>
      <c r="GH51" s="25">
        <v>0</v>
      </c>
      <c r="GI51" s="25">
        <v>0</v>
      </c>
      <c r="GJ51" s="25">
        <v>0</v>
      </c>
      <c r="GK51" s="25">
        <v>0</v>
      </c>
      <c r="GL51" s="25">
        <v>0</v>
      </c>
      <c r="GM51" s="25">
        <v>0</v>
      </c>
      <c r="GN51" s="25">
        <v>0</v>
      </c>
      <c r="GO51" s="25">
        <v>0</v>
      </c>
      <c r="GP51" s="25">
        <v>0</v>
      </c>
      <c r="GQ51" s="25">
        <v>0</v>
      </c>
      <c r="GR51" s="25">
        <v>0</v>
      </c>
      <c r="GS51" s="25">
        <v>0</v>
      </c>
      <c r="GT51" s="25">
        <v>0</v>
      </c>
      <c r="GU51" s="25">
        <v>0</v>
      </c>
      <c r="GV51" s="25"/>
      <c r="GW51" s="25" t="s">
        <v>1588</v>
      </c>
      <c r="GX51" s="25" t="s">
        <v>1588</v>
      </c>
      <c r="GY51" s="25" t="s">
        <v>1588</v>
      </c>
      <c r="GZ51" s="25" t="s">
        <v>1588</v>
      </c>
      <c r="HA51" s="25" t="s">
        <v>1588</v>
      </c>
      <c r="HB51" s="25" t="s">
        <v>1588</v>
      </c>
      <c r="HC51" s="25" t="s">
        <v>1588</v>
      </c>
      <c r="HD51" s="25" t="s">
        <v>1588</v>
      </c>
      <c r="HE51" s="25" t="s">
        <v>1588</v>
      </c>
      <c r="HF51" s="25" t="s">
        <v>1588</v>
      </c>
      <c r="HG51" s="25" t="s">
        <v>1588</v>
      </c>
      <c r="HH51" s="25" t="s">
        <v>1588</v>
      </c>
      <c r="HI51" s="25"/>
      <c r="HJ51" s="25"/>
      <c r="HK51" s="25"/>
      <c r="HL51" s="25"/>
      <c r="HM51" s="25"/>
      <c r="HN51" s="25"/>
      <c r="HO51" s="25"/>
      <c r="HP51" s="25"/>
      <c r="HQ51" s="25"/>
      <c r="HR51" s="25"/>
      <c r="HS51" s="25" t="s">
        <v>2072</v>
      </c>
      <c r="HT51" s="25" t="s">
        <v>2072</v>
      </c>
      <c r="HU51" s="13"/>
      <c r="HV51" s="13"/>
      <c r="HW51" s="13"/>
      <c r="HX51" s="55"/>
      <c r="HY51" s="55"/>
      <c r="HZ51" s="55"/>
      <c r="IA51" s="55"/>
      <c r="IB51" s="55"/>
      <c r="IC51" s="55"/>
      <c r="ID51" s="55"/>
      <c r="IE51" s="55"/>
      <c r="IF51" s="107">
        <v>1800000</v>
      </c>
      <c r="IG51" s="107"/>
      <c r="IH51" s="250">
        <f t="shared" si="32"/>
        <v>0</v>
      </c>
      <c r="II51" s="55"/>
      <c r="IJ51" s="55"/>
      <c r="IK51" s="55"/>
      <c r="IL51" s="55"/>
      <c r="IM51" s="55"/>
      <c r="IN51" s="55"/>
      <c r="IO51" s="55"/>
      <c r="IP51" s="55"/>
      <c r="IQ51" s="55"/>
      <c r="IR51" s="55"/>
      <c r="IS51" s="55"/>
      <c r="IT51" s="55"/>
      <c r="IU51" s="55"/>
      <c r="IV51" s="55"/>
      <c r="IW51" s="55"/>
      <c r="IX51" s="55"/>
      <c r="IY51" s="55"/>
      <c r="IZ51" s="55"/>
      <c r="JA51" s="55"/>
      <c r="JB51" s="55"/>
      <c r="JC51" s="55"/>
      <c r="JD51" s="55">
        <v>2021</v>
      </c>
    </row>
    <row r="52" spans="1:264" s="5" customFormat="1" ht="38.25" hidden="1" customHeight="1">
      <c r="A52" s="26" t="s">
        <v>138</v>
      </c>
      <c r="B52" s="26" t="s">
        <v>198</v>
      </c>
      <c r="C52" s="13" t="s">
        <v>352</v>
      </c>
      <c r="D52" s="13" t="s">
        <v>377</v>
      </c>
      <c r="E52" s="16" t="s">
        <v>357</v>
      </c>
      <c r="F52" s="13" t="s">
        <v>357</v>
      </c>
      <c r="G52" s="39" t="s">
        <v>354</v>
      </c>
      <c r="H52" s="13" t="s">
        <v>1582</v>
      </c>
      <c r="I52" s="125" t="s">
        <v>1832</v>
      </c>
      <c r="J52" s="13" t="s">
        <v>1665</v>
      </c>
      <c r="K52" s="13" t="s">
        <v>1665</v>
      </c>
      <c r="L52" s="78" t="s">
        <v>1868</v>
      </c>
      <c r="M52" s="125" t="s">
        <v>1832</v>
      </c>
      <c r="N52" s="130"/>
      <c r="O52" s="13" t="s">
        <v>1666</v>
      </c>
      <c r="P52" s="13" t="s">
        <v>15</v>
      </c>
      <c r="Q52" s="22" t="s">
        <v>1667</v>
      </c>
      <c r="R52" s="22"/>
      <c r="S52" s="13"/>
      <c r="T52" s="13"/>
      <c r="U52" s="13"/>
      <c r="V52" s="13"/>
      <c r="W52" s="13"/>
      <c r="X52" s="13"/>
      <c r="Y52" s="13"/>
      <c r="Z52" s="13"/>
      <c r="AA52" s="41"/>
      <c r="AB52" s="29">
        <v>27408.89</v>
      </c>
      <c r="AC52" s="29">
        <v>0</v>
      </c>
      <c r="AD52" s="29">
        <v>27408.89</v>
      </c>
      <c r="AE52" s="29">
        <v>0</v>
      </c>
      <c r="AF52" s="29">
        <f t="shared" ref="AF52" si="33">AD52+AE52</f>
        <v>27408.89</v>
      </c>
      <c r="AG52" s="25">
        <v>0.12</v>
      </c>
      <c r="AH52" s="29">
        <f t="shared" si="5"/>
        <v>3289.0667999999996</v>
      </c>
      <c r="AI52" s="29">
        <f t="shared" si="6"/>
        <v>0</v>
      </c>
      <c r="AJ52" s="29">
        <f t="shared" si="0"/>
        <v>30697.956800000004</v>
      </c>
      <c r="AK52" s="29"/>
      <c r="AL52" s="29"/>
      <c r="AM52" s="29"/>
      <c r="AN52" s="41"/>
      <c r="AO52" s="41"/>
      <c r="AP52" s="41"/>
      <c r="AQ52" s="41"/>
      <c r="AR52" s="41"/>
      <c r="AS52" s="41"/>
      <c r="AT52" s="41"/>
      <c r="AU52" s="41"/>
      <c r="AV52" s="41"/>
      <c r="AW52" s="41"/>
      <c r="AX52" s="41"/>
      <c r="AY52" s="41"/>
      <c r="AZ52" s="41"/>
      <c r="BA52" s="41"/>
      <c r="BB52" s="41"/>
      <c r="BC52" s="41"/>
      <c r="BD52" s="37"/>
      <c r="BE52" s="37"/>
      <c r="BF52" s="37"/>
      <c r="BG52" s="29"/>
      <c r="BH52" s="37"/>
      <c r="BI52" s="29"/>
      <c r="BJ52" s="29"/>
      <c r="BK52" s="29"/>
      <c r="BL52" s="29"/>
      <c r="BM52" s="29"/>
      <c r="BN52" s="23"/>
      <c r="BO52" s="13"/>
      <c r="BP52" s="13"/>
      <c r="BQ52" s="13"/>
      <c r="BR52" s="13"/>
      <c r="BS52" s="13"/>
      <c r="BT52" s="13"/>
      <c r="BU52" s="13"/>
      <c r="BV52" s="13"/>
      <c r="BW52" s="224"/>
      <c r="BX52" s="23"/>
      <c r="BY52" s="13"/>
      <c r="BZ52" s="13"/>
      <c r="CA52" s="23"/>
      <c r="CB52" s="224"/>
      <c r="CC52" s="224"/>
      <c r="CD52" s="224"/>
      <c r="CE52" s="23"/>
      <c r="CF52" s="23"/>
      <c r="CG52" s="23"/>
      <c r="CH52" s="23"/>
      <c r="CI52" s="23"/>
      <c r="CJ52" s="23"/>
      <c r="CK52" s="23"/>
      <c r="CL52" s="23"/>
      <c r="CM52" s="23"/>
      <c r="CN52" s="23"/>
      <c r="CO52" s="23"/>
      <c r="CP52" s="23"/>
      <c r="CQ52" s="23"/>
      <c r="CR52" s="23"/>
      <c r="CS52" s="29"/>
      <c r="CT52" s="29"/>
      <c r="CU52" s="29"/>
      <c r="CV52" s="2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31"/>
      <c r="DZ52" s="13"/>
      <c r="EA52" s="13"/>
      <c r="EB52" s="13"/>
      <c r="EC52" s="13"/>
      <c r="ED52" s="13"/>
      <c r="EE52" s="13"/>
      <c r="EF52" s="13"/>
      <c r="EG52" s="13"/>
      <c r="EH52" s="13"/>
      <c r="EI52" s="23"/>
      <c r="EJ52" s="2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25"/>
      <c r="FW52" s="25"/>
      <c r="FX52" s="25"/>
      <c r="FY52" s="25"/>
      <c r="FZ52" s="25"/>
      <c r="GA52" s="25"/>
      <c r="GB52" s="25"/>
      <c r="GC52" s="25"/>
      <c r="GD52" s="25"/>
      <c r="GE52" s="25"/>
      <c r="GF52" s="25">
        <v>0</v>
      </c>
      <c r="GG52" s="25">
        <v>0</v>
      </c>
      <c r="GH52" s="25">
        <v>0</v>
      </c>
      <c r="GI52" s="25">
        <v>0</v>
      </c>
      <c r="GJ52" s="25">
        <v>0</v>
      </c>
      <c r="GK52" s="25">
        <v>0</v>
      </c>
      <c r="GL52" s="25">
        <v>0</v>
      </c>
      <c r="GM52" s="25">
        <v>0</v>
      </c>
      <c r="GN52" s="25">
        <v>0</v>
      </c>
      <c r="GO52" s="25">
        <v>0</v>
      </c>
      <c r="GP52" s="25">
        <v>0</v>
      </c>
      <c r="GQ52" s="25">
        <v>0</v>
      </c>
      <c r="GR52" s="25">
        <v>0</v>
      </c>
      <c r="GS52" s="25">
        <v>0</v>
      </c>
      <c r="GT52" s="25">
        <v>0</v>
      </c>
      <c r="GU52" s="25">
        <v>0</v>
      </c>
      <c r="GV52" s="25"/>
      <c r="GW52" s="25" t="s">
        <v>1588</v>
      </c>
      <c r="GX52" s="25" t="s">
        <v>1588</v>
      </c>
      <c r="GY52" s="25" t="s">
        <v>1588</v>
      </c>
      <c r="GZ52" s="25" t="s">
        <v>1588</v>
      </c>
      <c r="HA52" s="25" t="s">
        <v>1588</v>
      </c>
      <c r="HB52" s="25" t="s">
        <v>1588</v>
      </c>
      <c r="HC52" s="25" t="s">
        <v>1588</v>
      </c>
      <c r="HD52" s="25" t="s">
        <v>1588</v>
      </c>
      <c r="HE52" s="25" t="s">
        <v>1588</v>
      </c>
      <c r="HF52" s="25" t="s">
        <v>1588</v>
      </c>
      <c r="HG52" s="25" t="s">
        <v>1588</v>
      </c>
      <c r="HH52" s="25" t="s">
        <v>1588</v>
      </c>
      <c r="HI52" s="25"/>
      <c r="HJ52" s="25"/>
      <c r="HK52" s="25"/>
      <c r="HL52" s="25"/>
      <c r="HM52" s="25"/>
      <c r="HN52" s="25"/>
      <c r="HO52" s="25"/>
      <c r="HP52" s="25"/>
      <c r="HQ52" s="25"/>
      <c r="HR52" s="25"/>
      <c r="HS52" s="25" t="s">
        <v>2072</v>
      </c>
      <c r="HT52" s="25" t="s">
        <v>2072</v>
      </c>
      <c r="HU52" s="13"/>
      <c r="HV52" s="13"/>
      <c r="HW52" s="13"/>
      <c r="HX52" s="55"/>
      <c r="HY52" s="55"/>
      <c r="HZ52" s="55"/>
      <c r="IA52" s="55"/>
      <c r="IB52" s="55"/>
      <c r="IC52" s="55"/>
      <c r="ID52" s="55"/>
      <c r="IE52" s="55"/>
      <c r="IF52" s="107">
        <v>27408.89</v>
      </c>
      <c r="IG52" s="107"/>
      <c r="IH52" s="250">
        <f t="shared" si="32"/>
        <v>0</v>
      </c>
      <c r="II52" s="55"/>
      <c r="IJ52" s="55"/>
      <c r="IK52" s="55"/>
      <c r="IL52" s="55"/>
      <c r="IM52" s="55"/>
      <c r="IN52" s="55"/>
      <c r="IO52" s="55"/>
      <c r="IP52" s="55"/>
      <c r="IQ52" s="55"/>
      <c r="IR52" s="55"/>
      <c r="IS52" s="55"/>
      <c r="IT52" s="55"/>
      <c r="IU52" s="55"/>
      <c r="IV52" s="55"/>
      <c r="IW52" s="55"/>
      <c r="IX52" s="55"/>
      <c r="IY52" s="55"/>
      <c r="IZ52" s="55"/>
      <c r="JA52" s="55"/>
      <c r="JB52" s="55"/>
      <c r="JC52" s="55"/>
      <c r="JD52" s="55">
        <v>2021</v>
      </c>
    </row>
    <row r="53" spans="1:264" s="5" customFormat="1" ht="24.95" hidden="1" customHeight="1">
      <c r="A53" s="26" t="s">
        <v>16</v>
      </c>
      <c r="B53" s="26" t="s">
        <v>198</v>
      </c>
      <c r="C53" s="13" t="s">
        <v>352</v>
      </c>
      <c r="D53" s="13" t="s">
        <v>377</v>
      </c>
      <c r="E53" s="16" t="s">
        <v>357</v>
      </c>
      <c r="F53" s="13" t="s">
        <v>357</v>
      </c>
      <c r="G53" s="39" t="s">
        <v>354</v>
      </c>
      <c r="H53" s="13" t="s">
        <v>1582</v>
      </c>
      <c r="I53" s="125" t="s">
        <v>1832</v>
      </c>
      <c r="J53" s="13" t="s">
        <v>1665</v>
      </c>
      <c r="K53" s="13" t="s">
        <v>1665</v>
      </c>
      <c r="L53" s="78" t="s">
        <v>1868</v>
      </c>
      <c r="M53" s="125" t="s">
        <v>1832</v>
      </c>
      <c r="N53" s="130"/>
      <c r="O53" s="13" t="s">
        <v>1666</v>
      </c>
      <c r="P53" s="13" t="s">
        <v>15</v>
      </c>
      <c r="Q53" s="22" t="s">
        <v>1667</v>
      </c>
      <c r="R53" s="22"/>
      <c r="S53" s="13"/>
      <c r="T53" s="13"/>
      <c r="U53" s="13"/>
      <c r="V53" s="13"/>
      <c r="W53" s="13"/>
      <c r="X53" s="13"/>
      <c r="Y53" s="13"/>
      <c r="Z53" s="13"/>
      <c r="AA53" s="41"/>
      <c r="AB53" s="29">
        <v>11100</v>
      </c>
      <c r="AC53" s="29">
        <v>0</v>
      </c>
      <c r="AD53" s="29">
        <v>11100</v>
      </c>
      <c r="AE53" s="29">
        <v>0</v>
      </c>
      <c r="AF53" s="29">
        <f t="shared" ref="AF53" si="34">AD53+AE53</f>
        <v>11100</v>
      </c>
      <c r="AG53" s="25">
        <v>0.12</v>
      </c>
      <c r="AH53" s="29">
        <f t="shared" si="5"/>
        <v>1332</v>
      </c>
      <c r="AI53" s="29">
        <f t="shared" si="6"/>
        <v>0</v>
      </c>
      <c r="AJ53" s="29">
        <f t="shared" si="0"/>
        <v>12432.000000000002</v>
      </c>
      <c r="AK53" s="29"/>
      <c r="AL53" s="29"/>
      <c r="AM53" s="29"/>
      <c r="AN53" s="41"/>
      <c r="AO53" s="41"/>
      <c r="AP53" s="41"/>
      <c r="AQ53" s="41"/>
      <c r="AR53" s="41"/>
      <c r="AS53" s="41"/>
      <c r="AT53" s="41"/>
      <c r="AU53" s="41"/>
      <c r="AV53" s="41"/>
      <c r="AW53" s="41"/>
      <c r="AX53" s="41"/>
      <c r="AY53" s="41"/>
      <c r="AZ53" s="41"/>
      <c r="BA53" s="41"/>
      <c r="BB53" s="41"/>
      <c r="BC53" s="41"/>
      <c r="BD53" s="37"/>
      <c r="BE53" s="37"/>
      <c r="BF53" s="37"/>
      <c r="BG53" s="29"/>
      <c r="BH53" s="37"/>
      <c r="BI53" s="29"/>
      <c r="BJ53" s="29"/>
      <c r="BK53" s="29"/>
      <c r="BL53" s="29"/>
      <c r="BM53" s="29"/>
      <c r="BN53" s="23"/>
      <c r="BO53" s="13"/>
      <c r="BP53" s="13"/>
      <c r="BQ53" s="13"/>
      <c r="BR53" s="13"/>
      <c r="BS53" s="13"/>
      <c r="BT53" s="13"/>
      <c r="BU53" s="13"/>
      <c r="BV53" s="13"/>
      <c r="BW53" s="224"/>
      <c r="BX53" s="23"/>
      <c r="BY53" s="13"/>
      <c r="BZ53" s="13"/>
      <c r="CA53" s="23"/>
      <c r="CB53" s="224"/>
      <c r="CC53" s="224"/>
      <c r="CD53" s="224"/>
      <c r="CE53" s="23"/>
      <c r="CF53" s="23"/>
      <c r="CG53" s="23"/>
      <c r="CH53" s="23"/>
      <c r="CI53" s="23"/>
      <c r="CJ53" s="23"/>
      <c r="CK53" s="23"/>
      <c r="CL53" s="23"/>
      <c r="CM53" s="23"/>
      <c r="CN53" s="23"/>
      <c r="CO53" s="23"/>
      <c r="CP53" s="23"/>
      <c r="CQ53" s="23"/>
      <c r="CR53" s="23"/>
      <c r="CS53" s="29"/>
      <c r="CT53" s="29"/>
      <c r="CU53" s="29"/>
      <c r="CV53" s="2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31"/>
      <c r="DZ53" s="13"/>
      <c r="EA53" s="13"/>
      <c r="EB53" s="13"/>
      <c r="EC53" s="13"/>
      <c r="ED53" s="13"/>
      <c r="EE53" s="13"/>
      <c r="EF53" s="13"/>
      <c r="EG53" s="13"/>
      <c r="EH53" s="13"/>
      <c r="EI53" s="23"/>
      <c r="EJ53" s="2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25"/>
      <c r="FW53" s="25"/>
      <c r="FX53" s="25"/>
      <c r="FY53" s="25"/>
      <c r="FZ53" s="25"/>
      <c r="GA53" s="25"/>
      <c r="GB53" s="25"/>
      <c r="GC53" s="25"/>
      <c r="GD53" s="25"/>
      <c r="GE53" s="25"/>
      <c r="GF53" s="25">
        <v>0</v>
      </c>
      <c r="GG53" s="25">
        <v>0</v>
      </c>
      <c r="GH53" s="25">
        <v>0</v>
      </c>
      <c r="GI53" s="25">
        <v>0</v>
      </c>
      <c r="GJ53" s="25">
        <v>0</v>
      </c>
      <c r="GK53" s="25">
        <v>0</v>
      </c>
      <c r="GL53" s="25">
        <v>0</v>
      </c>
      <c r="GM53" s="25">
        <v>0</v>
      </c>
      <c r="GN53" s="25">
        <v>0</v>
      </c>
      <c r="GO53" s="25">
        <v>0</v>
      </c>
      <c r="GP53" s="25">
        <v>0</v>
      </c>
      <c r="GQ53" s="25">
        <v>0</v>
      </c>
      <c r="GR53" s="25">
        <v>0</v>
      </c>
      <c r="GS53" s="25">
        <v>0</v>
      </c>
      <c r="GT53" s="25">
        <v>0</v>
      </c>
      <c r="GU53" s="25">
        <v>0</v>
      </c>
      <c r="GV53" s="25"/>
      <c r="GW53" s="25" t="s">
        <v>1588</v>
      </c>
      <c r="GX53" s="25" t="s">
        <v>1588</v>
      </c>
      <c r="GY53" s="25" t="s">
        <v>1588</v>
      </c>
      <c r="GZ53" s="25" t="s">
        <v>1588</v>
      </c>
      <c r="HA53" s="25" t="s">
        <v>1588</v>
      </c>
      <c r="HB53" s="25" t="s">
        <v>1588</v>
      </c>
      <c r="HC53" s="25" t="s">
        <v>1588</v>
      </c>
      <c r="HD53" s="25" t="s">
        <v>1588</v>
      </c>
      <c r="HE53" s="25" t="s">
        <v>1588</v>
      </c>
      <c r="HF53" s="25" t="s">
        <v>1588</v>
      </c>
      <c r="HG53" s="25" t="s">
        <v>1588</v>
      </c>
      <c r="HH53" s="25" t="s">
        <v>1588</v>
      </c>
      <c r="HI53" s="25"/>
      <c r="HJ53" s="25"/>
      <c r="HK53" s="25"/>
      <c r="HL53" s="25"/>
      <c r="HM53" s="25"/>
      <c r="HN53" s="25"/>
      <c r="HO53" s="25"/>
      <c r="HP53" s="25"/>
      <c r="HQ53" s="25"/>
      <c r="HR53" s="25"/>
      <c r="HS53" s="25" t="s">
        <v>2072</v>
      </c>
      <c r="HT53" s="25" t="s">
        <v>2072</v>
      </c>
      <c r="HU53" s="13"/>
      <c r="HV53" s="13"/>
      <c r="HW53" s="13"/>
      <c r="HX53" s="55"/>
      <c r="HY53" s="55"/>
      <c r="HZ53" s="55"/>
      <c r="IA53" s="55"/>
      <c r="IB53" s="55"/>
      <c r="IC53" s="55"/>
      <c r="ID53" s="55"/>
      <c r="IE53" s="55"/>
      <c r="IF53" s="107">
        <v>11100</v>
      </c>
      <c r="IG53" s="107"/>
      <c r="IH53" s="250">
        <f t="shared" si="32"/>
        <v>0</v>
      </c>
      <c r="II53" s="55"/>
      <c r="IJ53" s="55"/>
      <c r="IK53" s="55"/>
      <c r="IL53" s="55"/>
      <c r="IM53" s="55"/>
      <c r="IN53" s="55"/>
      <c r="IO53" s="55"/>
      <c r="IP53" s="55"/>
      <c r="IQ53" s="55"/>
      <c r="IR53" s="55"/>
      <c r="IS53" s="55"/>
      <c r="IT53" s="55"/>
      <c r="IU53" s="55"/>
      <c r="IV53" s="55"/>
      <c r="IW53" s="55"/>
      <c r="IX53" s="55"/>
      <c r="IY53" s="55"/>
      <c r="IZ53" s="55"/>
      <c r="JA53" s="55"/>
      <c r="JB53" s="55"/>
      <c r="JC53" s="55"/>
      <c r="JD53" s="55">
        <v>2021</v>
      </c>
    </row>
    <row r="54" spans="1:264" s="5" customFormat="1" ht="24.95" hidden="1" customHeight="1">
      <c r="A54" s="26" t="s">
        <v>23</v>
      </c>
      <c r="B54" s="26" t="s">
        <v>198</v>
      </c>
      <c r="C54" s="13" t="s">
        <v>352</v>
      </c>
      <c r="D54" s="13" t="s">
        <v>377</v>
      </c>
      <c r="E54" s="16" t="s">
        <v>357</v>
      </c>
      <c r="F54" s="13" t="s">
        <v>357</v>
      </c>
      <c r="G54" s="39" t="s">
        <v>354</v>
      </c>
      <c r="H54" s="13" t="s">
        <v>1582</v>
      </c>
      <c r="I54" s="125" t="s">
        <v>1832</v>
      </c>
      <c r="J54" s="13" t="s">
        <v>1665</v>
      </c>
      <c r="K54" s="13" t="s">
        <v>1665</v>
      </c>
      <c r="L54" s="78" t="s">
        <v>1868</v>
      </c>
      <c r="M54" s="125" t="s">
        <v>1832</v>
      </c>
      <c r="N54" s="130"/>
      <c r="O54" s="13" t="s">
        <v>1666</v>
      </c>
      <c r="P54" s="13" t="s">
        <v>15</v>
      </c>
      <c r="Q54" s="22" t="s">
        <v>1667</v>
      </c>
      <c r="R54" s="22"/>
      <c r="S54" s="13"/>
      <c r="T54" s="13"/>
      <c r="U54" s="13"/>
      <c r="V54" s="13"/>
      <c r="W54" s="13"/>
      <c r="X54" s="13"/>
      <c r="Y54" s="13"/>
      <c r="Z54" s="13"/>
      <c r="AA54" s="41"/>
      <c r="AB54" s="29">
        <v>50000</v>
      </c>
      <c r="AC54" s="29"/>
      <c r="AD54" s="29">
        <v>50000</v>
      </c>
      <c r="AE54" s="29"/>
      <c r="AF54" s="29">
        <f t="shared" si="17"/>
        <v>50000</v>
      </c>
      <c r="AG54" s="25">
        <v>0.12</v>
      </c>
      <c r="AH54" s="29">
        <f t="shared" si="5"/>
        <v>6000</v>
      </c>
      <c r="AI54" s="29"/>
      <c r="AJ54" s="29">
        <f t="shared" si="0"/>
        <v>56000.000000000007</v>
      </c>
      <c r="AK54" s="29"/>
      <c r="AL54" s="29"/>
      <c r="AM54" s="29"/>
      <c r="AN54" s="41"/>
      <c r="AO54" s="41"/>
      <c r="AP54" s="41"/>
      <c r="AQ54" s="41"/>
      <c r="AR54" s="41"/>
      <c r="AS54" s="41"/>
      <c r="AT54" s="41"/>
      <c r="AU54" s="41"/>
      <c r="AV54" s="41"/>
      <c r="AW54" s="41"/>
      <c r="AX54" s="41"/>
      <c r="AY54" s="41"/>
      <c r="AZ54" s="41"/>
      <c r="BA54" s="41"/>
      <c r="BB54" s="41"/>
      <c r="BC54" s="41"/>
      <c r="BD54" s="37"/>
      <c r="BE54" s="37"/>
      <c r="BF54" s="37"/>
      <c r="BG54" s="29"/>
      <c r="BH54" s="37"/>
      <c r="BI54" s="29"/>
      <c r="BJ54" s="29"/>
      <c r="BK54" s="29"/>
      <c r="BL54" s="29"/>
      <c r="BM54" s="29"/>
      <c r="BN54" s="23"/>
      <c r="BO54" s="13"/>
      <c r="BP54" s="13"/>
      <c r="BQ54" s="13"/>
      <c r="BR54" s="13"/>
      <c r="BS54" s="13"/>
      <c r="BT54" s="13"/>
      <c r="BU54" s="13"/>
      <c r="BV54" s="13"/>
      <c r="BW54" s="224"/>
      <c r="BX54" s="23"/>
      <c r="BY54" s="13"/>
      <c r="BZ54" s="13"/>
      <c r="CA54" s="23"/>
      <c r="CB54" s="224"/>
      <c r="CC54" s="224"/>
      <c r="CD54" s="224"/>
      <c r="CE54" s="23"/>
      <c r="CF54" s="23"/>
      <c r="CG54" s="23"/>
      <c r="CH54" s="23"/>
      <c r="CI54" s="23"/>
      <c r="CJ54" s="23"/>
      <c r="CK54" s="23"/>
      <c r="CL54" s="23"/>
      <c r="CM54" s="23"/>
      <c r="CN54" s="23"/>
      <c r="CO54" s="23"/>
      <c r="CP54" s="23"/>
      <c r="CQ54" s="23"/>
      <c r="CR54" s="23"/>
      <c r="CS54" s="29"/>
      <c r="CT54" s="29"/>
      <c r="CU54" s="29"/>
      <c r="CV54" s="2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31"/>
      <c r="DZ54" s="13"/>
      <c r="EA54" s="13"/>
      <c r="EB54" s="13"/>
      <c r="EC54" s="13"/>
      <c r="ED54" s="13"/>
      <c r="EE54" s="13"/>
      <c r="EF54" s="13"/>
      <c r="EG54" s="13"/>
      <c r="EH54" s="13"/>
      <c r="EI54" s="23"/>
      <c r="EJ54" s="2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25"/>
      <c r="FW54" s="25"/>
      <c r="FX54" s="25"/>
      <c r="FY54" s="25"/>
      <c r="FZ54" s="25"/>
      <c r="GA54" s="25"/>
      <c r="GB54" s="25"/>
      <c r="GC54" s="25"/>
      <c r="GD54" s="25"/>
      <c r="GE54" s="25"/>
      <c r="GF54" s="25">
        <v>0</v>
      </c>
      <c r="GG54" s="25">
        <v>0</v>
      </c>
      <c r="GH54" s="25">
        <v>0</v>
      </c>
      <c r="GI54" s="25">
        <v>0</v>
      </c>
      <c r="GJ54" s="25">
        <v>0</v>
      </c>
      <c r="GK54" s="25">
        <v>0</v>
      </c>
      <c r="GL54" s="25">
        <v>0</v>
      </c>
      <c r="GM54" s="25">
        <v>0</v>
      </c>
      <c r="GN54" s="25">
        <v>0</v>
      </c>
      <c r="GO54" s="25">
        <v>0</v>
      </c>
      <c r="GP54" s="25">
        <v>0</v>
      </c>
      <c r="GQ54" s="25">
        <v>0</v>
      </c>
      <c r="GR54" s="25">
        <v>0</v>
      </c>
      <c r="GS54" s="25">
        <v>0</v>
      </c>
      <c r="GT54" s="25">
        <v>0</v>
      </c>
      <c r="GU54" s="25">
        <v>0</v>
      </c>
      <c r="GV54" s="25"/>
      <c r="GW54" s="25" t="s">
        <v>1588</v>
      </c>
      <c r="GX54" s="25" t="s">
        <v>1588</v>
      </c>
      <c r="GY54" s="25" t="s">
        <v>1588</v>
      </c>
      <c r="GZ54" s="25" t="s">
        <v>1588</v>
      </c>
      <c r="HA54" s="25" t="s">
        <v>1588</v>
      </c>
      <c r="HB54" s="25" t="s">
        <v>1588</v>
      </c>
      <c r="HC54" s="25" t="s">
        <v>1588</v>
      </c>
      <c r="HD54" s="25" t="s">
        <v>1588</v>
      </c>
      <c r="HE54" s="25" t="s">
        <v>1588</v>
      </c>
      <c r="HF54" s="25" t="s">
        <v>1588</v>
      </c>
      <c r="HG54" s="25" t="s">
        <v>1588</v>
      </c>
      <c r="HH54" s="25" t="s">
        <v>1588</v>
      </c>
      <c r="HI54" s="25"/>
      <c r="HJ54" s="25"/>
      <c r="HK54" s="25"/>
      <c r="HL54" s="25"/>
      <c r="HM54" s="25"/>
      <c r="HN54" s="25"/>
      <c r="HO54" s="25"/>
      <c r="HP54" s="25"/>
      <c r="HQ54" s="25"/>
      <c r="HR54" s="25"/>
      <c r="HS54" s="25" t="s">
        <v>2072</v>
      </c>
      <c r="HT54" s="25" t="s">
        <v>2072</v>
      </c>
      <c r="HU54" s="13"/>
      <c r="HV54" s="13"/>
      <c r="HW54" s="13"/>
      <c r="HX54" s="55"/>
      <c r="HY54" s="55"/>
      <c r="HZ54" s="55"/>
      <c r="IA54" s="55"/>
      <c r="IB54" s="55"/>
      <c r="IC54" s="55"/>
      <c r="ID54" s="55"/>
      <c r="IE54" s="55"/>
      <c r="IF54" s="107">
        <v>50000</v>
      </c>
      <c r="IG54" s="107"/>
      <c r="IH54" s="250">
        <f t="shared" si="32"/>
        <v>0</v>
      </c>
      <c r="II54" s="55"/>
      <c r="IJ54" s="55"/>
      <c r="IK54" s="55"/>
      <c r="IL54" s="55"/>
      <c r="IM54" s="55"/>
      <c r="IN54" s="55"/>
      <c r="IO54" s="55"/>
      <c r="IP54" s="55"/>
      <c r="IQ54" s="55"/>
      <c r="IR54" s="55"/>
      <c r="IS54" s="55"/>
      <c r="IT54" s="55"/>
      <c r="IU54" s="55"/>
      <c r="IV54" s="55"/>
      <c r="IW54" s="55"/>
      <c r="IX54" s="55"/>
      <c r="IY54" s="55"/>
      <c r="IZ54" s="55"/>
      <c r="JA54" s="55"/>
      <c r="JB54" s="55"/>
      <c r="JC54" s="55"/>
      <c r="JD54" s="55">
        <v>2021</v>
      </c>
    </row>
    <row r="55" spans="1:264" s="5" customFormat="1" ht="24.95" hidden="1" customHeight="1">
      <c r="A55" s="26" t="s">
        <v>19</v>
      </c>
      <c r="B55" s="26" t="s">
        <v>198</v>
      </c>
      <c r="C55" s="13" t="s">
        <v>352</v>
      </c>
      <c r="D55" s="13" t="s">
        <v>377</v>
      </c>
      <c r="E55" s="16" t="s">
        <v>357</v>
      </c>
      <c r="F55" s="13" t="s">
        <v>357</v>
      </c>
      <c r="G55" s="39" t="s">
        <v>354</v>
      </c>
      <c r="H55" s="13" t="s">
        <v>1582</v>
      </c>
      <c r="I55" s="125" t="s">
        <v>1832</v>
      </c>
      <c r="J55" s="13" t="s">
        <v>1665</v>
      </c>
      <c r="K55" s="13" t="s">
        <v>1665</v>
      </c>
      <c r="L55" s="26" t="s">
        <v>1868</v>
      </c>
      <c r="M55" s="20" t="s">
        <v>1832</v>
      </c>
      <c r="N55" s="130"/>
      <c r="O55" s="13" t="s">
        <v>1666</v>
      </c>
      <c r="P55" s="13" t="s">
        <v>15</v>
      </c>
      <c r="Q55" s="22" t="s">
        <v>1667</v>
      </c>
      <c r="R55" s="22"/>
      <c r="S55" s="13"/>
      <c r="T55" s="13"/>
      <c r="U55" s="13"/>
      <c r="V55" s="13"/>
      <c r="W55" s="13"/>
      <c r="X55" s="13"/>
      <c r="Y55" s="13"/>
      <c r="Z55" s="13"/>
      <c r="AA55" s="41"/>
      <c r="AB55" s="29">
        <v>41200</v>
      </c>
      <c r="AC55" s="29">
        <v>0</v>
      </c>
      <c r="AD55" s="29">
        <v>41200</v>
      </c>
      <c r="AE55" s="29">
        <v>0</v>
      </c>
      <c r="AF55" s="29">
        <v>41200</v>
      </c>
      <c r="AG55" s="25">
        <v>0.12</v>
      </c>
      <c r="AH55" s="29">
        <v>4944</v>
      </c>
      <c r="AI55" s="29">
        <v>0</v>
      </c>
      <c r="AJ55" s="29">
        <v>46144.000000000007</v>
      </c>
      <c r="AK55" s="29"/>
      <c r="AL55" s="29"/>
      <c r="AM55" s="29"/>
      <c r="AN55" s="41"/>
      <c r="AO55" s="41"/>
      <c r="AP55" s="41"/>
      <c r="AQ55" s="41"/>
      <c r="AR55" s="41"/>
      <c r="AS55" s="41"/>
      <c r="AT55" s="41"/>
      <c r="AU55" s="41"/>
      <c r="AV55" s="41"/>
      <c r="AW55" s="41"/>
      <c r="AX55" s="41"/>
      <c r="AY55" s="41"/>
      <c r="AZ55" s="41"/>
      <c r="BA55" s="41"/>
      <c r="BB55" s="41"/>
      <c r="BC55" s="41"/>
      <c r="BD55" s="37"/>
      <c r="BE55" s="37"/>
      <c r="BF55" s="37"/>
      <c r="BG55" s="29"/>
      <c r="BH55" s="37"/>
      <c r="BI55" s="29"/>
      <c r="BJ55" s="29"/>
      <c r="BK55" s="29"/>
      <c r="BL55" s="29"/>
      <c r="BM55" s="29"/>
      <c r="BN55" s="23"/>
      <c r="BO55" s="13"/>
      <c r="BP55" s="13"/>
      <c r="BQ55" s="13"/>
      <c r="BR55" s="13"/>
      <c r="BS55" s="13"/>
      <c r="BT55" s="13"/>
      <c r="BU55" s="13"/>
      <c r="BV55" s="13"/>
      <c r="BW55" s="224"/>
      <c r="BX55" s="23"/>
      <c r="BY55" s="13"/>
      <c r="BZ55" s="13"/>
      <c r="CA55" s="23"/>
      <c r="CB55" s="224"/>
      <c r="CC55" s="224"/>
      <c r="CD55" s="224"/>
      <c r="CE55" s="23"/>
      <c r="CF55" s="23"/>
      <c r="CG55" s="23"/>
      <c r="CH55" s="23"/>
      <c r="CI55" s="23"/>
      <c r="CJ55" s="23"/>
      <c r="CK55" s="23"/>
      <c r="CL55" s="23"/>
      <c r="CM55" s="23"/>
      <c r="CN55" s="23"/>
      <c r="CO55" s="23"/>
      <c r="CP55" s="23"/>
      <c r="CQ55" s="23"/>
      <c r="CR55" s="23"/>
      <c r="CS55" s="29"/>
      <c r="CT55" s="29"/>
      <c r="CU55" s="29"/>
      <c r="CV55" s="2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31"/>
      <c r="DZ55" s="13"/>
      <c r="EA55" s="13"/>
      <c r="EB55" s="13"/>
      <c r="EC55" s="13"/>
      <c r="ED55" s="13"/>
      <c r="EE55" s="13"/>
      <c r="EF55" s="13"/>
      <c r="EG55" s="13"/>
      <c r="EH55" s="13"/>
      <c r="EI55" s="23"/>
      <c r="EJ55" s="2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25"/>
      <c r="FW55" s="25"/>
      <c r="FX55" s="25"/>
      <c r="FY55" s="25"/>
      <c r="FZ55" s="25"/>
      <c r="GA55" s="25"/>
      <c r="GB55" s="25"/>
      <c r="GC55" s="25"/>
      <c r="GD55" s="25"/>
      <c r="GE55" s="25"/>
      <c r="GF55" s="25">
        <v>0</v>
      </c>
      <c r="GG55" s="25">
        <v>0</v>
      </c>
      <c r="GH55" s="25">
        <v>0</v>
      </c>
      <c r="GI55" s="25">
        <v>0</v>
      </c>
      <c r="GJ55" s="25">
        <v>0</v>
      </c>
      <c r="GK55" s="25">
        <v>0</v>
      </c>
      <c r="GL55" s="25">
        <v>0</v>
      </c>
      <c r="GM55" s="25">
        <v>0</v>
      </c>
      <c r="GN55" s="25">
        <v>0</v>
      </c>
      <c r="GO55" s="25">
        <v>0</v>
      </c>
      <c r="GP55" s="25">
        <v>0</v>
      </c>
      <c r="GQ55" s="25">
        <v>0</v>
      </c>
      <c r="GR55" s="25">
        <v>0</v>
      </c>
      <c r="GS55" s="25">
        <v>0</v>
      </c>
      <c r="GT55" s="25">
        <v>0</v>
      </c>
      <c r="GU55" s="25">
        <v>0</v>
      </c>
      <c r="GV55" s="25"/>
      <c r="GW55" s="25" t="s">
        <v>1588</v>
      </c>
      <c r="GX55" s="25" t="s">
        <v>1588</v>
      </c>
      <c r="GY55" s="25" t="s">
        <v>1588</v>
      </c>
      <c r="GZ55" s="25" t="s">
        <v>1588</v>
      </c>
      <c r="HA55" s="25" t="s">
        <v>1588</v>
      </c>
      <c r="HB55" s="25" t="s">
        <v>1588</v>
      </c>
      <c r="HC55" s="25" t="s">
        <v>1588</v>
      </c>
      <c r="HD55" s="25" t="s">
        <v>1588</v>
      </c>
      <c r="HE55" s="25" t="s">
        <v>1588</v>
      </c>
      <c r="HF55" s="25" t="s">
        <v>1588</v>
      </c>
      <c r="HG55" s="25" t="s">
        <v>1588</v>
      </c>
      <c r="HH55" s="25" t="s">
        <v>1588</v>
      </c>
      <c r="HI55" s="25"/>
      <c r="HJ55" s="25"/>
      <c r="HK55" s="25"/>
      <c r="HL55" s="25"/>
      <c r="HM55" s="25"/>
      <c r="HN55" s="25"/>
      <c r="HO55" s="25"/>
      <c r="HP55" s="25"/>
      <c r="HQ55" s="25"/>
      <c r="HR55" s="25"/>
      <c r="HS55" s="25" t="s">
        <v>2072</v>
      </c>
      <c r="HT55" s="25" t="s">
        <v>2072</v>
      </c>
      <c r="HU55" s="13"/>
      <c r="HV55" s="13"/>
      <c r="HW55" s="13"/>
      <c r="HX55" s="55"/>
      <c r="HY55" s="55"/>
      <c r="HZ55" s="55"/>
      <c r="IA55" s="55"/>
      <c r="IB55" s="55"/>
      <c r="IC55" s="55"/>
      <c r="ID55" s="55"/>
      <c r="IE55" s="55"/>
      <c r="IF55" s="107">
        <v>41200</v>
      </c>
      <c r="IG55" s="107"/>
      <c r="IH55" s="250">
        <f t="shared" si="32"/>
        <v>0</v>
      </c>
      <c r="II55" s="55"/>
      <c r="IJ55" s="55"/>
      <c r="IK55" s="55"/>
      <c r="IL55" s="55"/>
      <c r="IM55" s="55"/>
      <c r="IN55" s="55"/>
      <c r="IO55" s="55"/>
      <c r="IP55" s="55"/>
      <c r="IQ55" s="55"/>
      <c r="IR55" s="55"/>
      <c r="IS55" s="55"/>
      <c r="IT55" s="55"/>
      <c r="IU55" s="55"/>
      <c r="IV55" s="55"/>
      <c r="IW55" s="55"/>
      <c r="IX55" s="55"/>
      <c r="IY55" s="55"/>
      <c r="IZ55" s="55"/>
      <c r="JA55" s="55"/>
      <c r="JB55" s="55"/>
      <c r="JC55" s="55"/>
      <c r="JD55" s="55">
        <v>2021</v>
      </c>
    </row>
    <row r="56" spans="1:264" s="5" customFormat="1" ht="24.95" hidden="1" customHeight="1">
      <c r="A56" s="26" t="s">
        <v>168</v>
      </c>
      <c r="B56" s="26" t="s">
        <v>198</v>
      </c>
      <c r="C56" s="13" t="s">
        <v>352</v>
      </c>
      <c r="D56" s="13" t="s">
        <v>377</v>
      </c>
      <c r="E56" s="16" t="s">
        <v>357</v>
      </c>
      <c r="F56" s="13" t="s">
        <v>357</v>
      </c>
      <c r="G56" s="39" t="s">
        <v>354</v>
      </c>
      <c r="H56" s="13" t="s">
        <v>1582</v>
      </c>
      <c r="I56" s="125" t="s">
        <v>1832</v>
      </c>
      <c r="J56" s="13" t="s">
        <v>1665</v>
      </c>
      <c r="K56" s="13" t="s">
        <v>1665</v>
      </c>
      <c r="L56" s="78" t="s">
        <v>1868</v>
      </c>
      <c r="M56" s="125" t="s">
        <v>1832</v>
      </c>
      <c r="N56" s="130"/>
      <c r="O56" s="13" t="s">
        <v>1666</v>
      </c>
      <c r="P56" s="13" t="s">
        <v>15</v>
      </c>
      <c r="Q56" s="22" t="s">
        <v>1667</v>
      </c>
      <c r="R56" s="22"/>
      <c r="S56" s="13"/>
      <c r="T56" s="13"/>
      <c r="U56" s="13"/>
      <c r="V56" s="13"/>
      <c r="W56" s="13"/>
      <c r="X56" s="13"/>
      <c r="Y56" s="13"/>
      <c r="Z56" s="13"/>
      <c r="AA56" s="41"/>
      <c r="AB56" s="29">
        <v>24924</v>
      </c>
      <c r="AC56" s="29">
        <v>0</v>
      </c>
      <c r="AD56" s="29">
        <v>24924</v>
      </c>
      <c r="AE56" s="29">
        <v>0</v>
      </c>
      <c r="AF56" s="29">
        <v>24924</v>
      </c>
      <c r="AG56" s="25">
        <v>0.12</v>
      </c>
      <c r="AH56" s="29">
        <v>2990.88</v>
      </c>
      <c r="AI56" s="29">
        <v>0</v>
      </c>
      <c r="AJ56" s="29">
        <v>27914.880000000001</v>
      </c>
      <c r="AK56" s="29"/>
      <c r="AL56" s="126"/>
      <c r="AM56" s="29"/>
      <c r="AN56" s="41"/>
      <c r="AO56" s="41"/>
      <c r="AP56" s="41"/>
      <c r="AQ56" s="41"/>
      <c r="AR56" s="41"/>
      <c r="AS56" s="41"/>
      <c r="AT56" s="41"/>
      <c r="AU56" s="41"/>
      <c r="AV56" s="41"/>
      <c r="AW56" s="41"/>
      <c r="AX56" s="41"/>
      <c r="AY56" s="41"/>
      <c r="AZ56" s="41"/>
      <c r="BA56" s="41"/>
      <c r="BB56" s="41"/>
      <c r="BC56" s="41"/>
      <c r="BD56" s="37"/>
      <c r="BE56" s="37"/>
      <c r="BF56" s="37"/>
      <c r="BG56" s="29"/>
      <c r="BH56" s="37"/>
      <c r="BI56" s="29"/>
      <c r="BJ56" s="29"/>
      <c r="BK56" s="29"/>
      <c r="BL56" s="29"/>
      <c r="BM56" s="29"/>
      <c r="BN56" s="23"/>
      <c r="BO56" s="13"/>
      <c r="BP56" s="13"/>
      <c r="BQ56" s="13"/>
      <c r="BR56" s="13"/>
      <c r="BS56" s="13"/>
      <c r="BT56" s="13"/>
      <c r="BU56" s="13"/>
      <c r="BV56" s="13"/>
      <c r="BW56" s="224"/>
      <c r="BX56" s="23"/>
      <c r="BY56" s="13"/>
      <c r="BZ56" s="13"/>
      <c r="CA56" s="23"/>
      <c r="CB56" s="224"/>
      <c r="CC56" s="224"/>
      <c r="CD56" s="224"/>
      <c r="CE56" s="23"/>
      <c r="CF56" s="23"/>
      <c r="CG56" s="23"/>
      <c r="CH56" s="23"/>
      <c r="CI56" s="23"/>
      <c r="CJ56" s="23"/>
      <c r="CK56" s="23"/>
      <c r="CL56" s="23"/>
      <c r="CM56" s="23"/>
      <c r="CN56" s="23"/>
      <c r="CO56" s="23"/>
      <c r="CP56" s="23"/>
      <c r="CQ56" s="23"/>
      <c r="CR56" s="23"/>
      <c r="CS56" s="29"/>
      <c r="CT56" s="29"/>
      <c r="CU56" s="29"/>
      <c r="CV56" s="2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31"/>
      <c r="DZ56" s="13"/>
      <c r="EA56" s="13"/>
      <c r="EB56" s="13"/>
      <c r="EC56" s="13"/>
      <c r="ED56" s="13"/>
      <c r="EE56" s="13"/>
      <c r="EF56" s="13"/>
      <c r="EG56" s="13"/>
      <c r="EH56" s="13"/>
      <c r="EI56" s="23"/>
      <c r="EJ56" s="2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25"/>
      <c r="FW56" s="25"/>
      <c r="FX56" s="25"/>
      <c r="FY56" s="25"/>
      <c r="FZ56" s="25"/>
      <c r="GA56" s="25"/>
      <c r="GB56" s="25"/>
      <c r="GC56" s="25"/>
      <c r="GD56" s="25"/>
      <c r="GE56" s="25"/>
      <c r="GF56" s="25">
        <v>0</v>
      </c>
      <c r="GG56" s="25">
        <v>0</v>
      </c>
      <c r="GH56" s="25">
        <v>0</v>
      </c>
      <c r="GI56" s="25">
        <v>0</v>
      </c>
      <c r="GJ56" s="25">
        <v>0</v>
      </c>
      <c r="GK56" s="25">
        <v>0</v>
      </c>
      <c r="GL56" s="25">
        <v>0</v>
      </c>
      <c r="GM56" s="25">
        <v>0</v>
      </c>
      <c r="GN56" s="25">
        <v>0</v>
      </c>
      <c r="GO56" s="25">
        <v>0</v>
      </c>
      <c r="GP56" s="25">
        <v>0</v>
      </c>
      <c r="GQ56" s="25">
        <v>0</v>
      </c>
      <c r="GR56" s="25">
        <v>0</v>
      </c>
      <c r="GS56" s="25">
        <v>0</v>
      </c>
      <c r="GT56" s="25">
        <v>0</v>
      </c>
      <c r="GU56" s="25">
        <v>0</v>
      </c>
      <c r="GV56" s="25"/>
      <c r="GW56" s="25" t="s">
        <v>1588</v>
      </c>
      <c r="GX56" s="25" t="s">
        <v>1588</v>
      </c>
      <c r="GY56" s="25" t="s">
        <v>1588</v>
      </c>
      <c r="GZ56" s="25" t="s">
        <v>1588</v>
      </c>
      <c r="HA56" s="25" t="s">
        <v>1588</v>
      </c>
      <c r="HB56" s="25" t="s">
        <v>1588</v>
      </c>
      <c r="HC56" s="25" t="s">
        <v>1588</v>
      </c>
      <c r="HD56" s="25" t="s">
        <v>1588</v>
      </c>
      <c r="HE56" s="25" t="s">
        <v>1588</v>
      </c>
      <c r="HF56" s="25" t="s">
        <v>1588</v>
      </c>
      <c r="HG56" s="25" t="s">
        <v>1588</v>
      </c>
      <c r="HH56" s="25" t="s">
        <v>1588</v>
      </c>
      <c r="HI56" s="25"/>
      <c r="HJ56" s="25"/>
      <c r="HK56" s="25"/>
      <c r="HL56" s="25"/>
      <c r="HM56" s="25"/>
      <c r="HN56" s="25"/>
      <c r="HO56" s="25"/>
      <c r="HP56" s="25"/>
      <c r="HQ56" s="25"/>
      <c r="HR56" s="25"/>
      <c r="HS56" s="25" t="s">
        <v>2072</v>
      </c>
      <c r="HT56" s="25" t="s">
        <v>2072</v>
      </c>
      <c r="HU56" s="13"/>
      <c r="HV56" s="13"/>
      <c r="HW56" s="13"/>
      <c r="HX56" s="55"/>
      <c r="HY56" s="55"/>
      <c r="HZ56" s="55"/>
      <c r="IA56" s="55"/>
      <c r="IB56" s="55"/>
      <c r="IC56" s="55"/>
      <c r="ID56" s="55"/>
      <c r="IE56" s="55"/>
      <c r="IF56" s="107">
        <v>24924</v>
      </c>
      <c r="IG56" s="107"/>
      <c r="IH56" s="250"/>
      <c r="II56" s="55"/>
      <c r="IJ56" s="55"/>
      <c r="IK56" s="55"/>
      <c r="IL56" s="55"/>
      <c r="IM56" s="55"/>
      <c r="IN56" s="55"/>
      <c r="IO56" s="55"/>
      <c r="IP56" s="55"/>
      <c r="IQ56" s="55"/>
      <c r="IR56" s="55"/>
      <c r="IS56" s="55"/>
      <c r="IT56" s="55"/>
      <c r="IU56" s="55"/>
      <c r="IV56" s="55"/>
      <c r="IW56" s="55"/>
      <c r="IX56" s="55"/>
      <c r="IY56" s="55"/>
      <c r="IZ56" s="55"/>
      <c r="JA56" s="55"/>
      <c r="JB56" s="55"/>
      <c r="JC56" s="55"/>
      <c r="JD56" s="55">
        <v>2021</v>
      </c>
    </row>
    <row r="57" spans="1:264" s="5" customFormat="1" ht="24.95" hidden="1" customHeight="1">
      <c r="A57" s="26" t="s">
        <v>155</v>
      </c>
      <c r="B57" s="26" t="s">
        <v>198</v>
      </c>
      <c r="C57" s="13" t="s">
        <v>352</v>
      </c>
      <c r="D57" s="13" t="s">
        <v>377</v>
      </c>
      <c r="E57" s="16" t="s">
        <v>357</v>
      </c>
      <c r="F57" s="13" t="s">
        <v>357</v>
      </c>
      <c r="G57" s="39" t="s">
        <v>354</v>
      </c>
      <c r="H57" s="13" t="s">
        <v>1582</v>
      </c>
      <c r="I57" s="125" t="s">
        <v>1832</v>
      </c>
      <c r="J57" s="13"/>
      <c r="K57" s="13" t="s">
        <v>1665</v>
      </c>
      <c r="L57" s="78" t="s">
        <v>1868</v>
      </c>
      <c r="M57" s="125" t="s">
        <v>1832</v>
      </c>
      <c r="N57" s="130"/>
      <c r="O57" s="13" t="s">
        <v>1666</v>
      </c>
      <c r="P57" s="13" t="s">
        <v>15</v>
      </c>
      <c r="Q57" s="22" t="s">
        <v>1667</v>
      </c>
      <c r="R57" s="22"/>
      <c r="S57" s="13"/>
      <c r="T57" s="13"/>
      <c r="U57" s="13"/>
      <c r="V57" s="13"/>
      <c r="W57" s="13"/>
      <c r="X57" s="13"/>
      <c r="Y57" s="13"/>
      <c r="Z57" s="13"/>
      <c r="AA57" s="41"/>
      <c r="AB57" s="29">
        <v>230380.41</v>
      </c>
      <c r="AC57" s="29">
        <v>0</v>
      </c>
      <c r="AD57" s="29">
        <v>230380.41</v>
      </c>
      <c r="AE57" s="29">
        <v>0</v>
      </c>
      <c r="AF57" s="29">
        <v>230380.41</v>
      </c>
      <c r="AG57" s="25">
        <v>0.12</v>
      </c>
      <c r="AH57" s="29">
        <v>27645.6492</v>
      </c>
      <c r="AI57" s="29">
        <v>0</v>
      </c>
      <c r="AJ57" s="29">
        <v>258026.05920000002</v>
      </c>
      <c r="AK57" s="29"/>
      <c r="AL57" s="29"/>
      <c r="AM57" s="29"/>
      <c r="AN57" s="41"/>
      <c r="AO57" s="41"/>
      <c r="AP57" s="41"/>
      <c r="AQ57" s="41"/>
      <c r="AR57" s="41"/>
      <c r="AS57" s="41"/>
      <c r="AT57" s="41"/>
      <c r="AU57" s="41"/>
      <c r="AV57" s="41"/>
      <c r="AW57" s="41"/>
      <c r="AX57" s="41"/>
      <c r="AY57" s="41"/>
      <c r="AZ57" s="41"/>
      <c r="BA57" s="41"/>
      <c r="BB57" s="41"/>
      <c r="BC57" s="41"/>
      <c r="BD57" s="37"/>
      <c r="BE57" s="37"/>
      <c r="BF57" s="37"/>
      <c r="BG57" s="29"/>
      <c r="BH57" s="37"/>
      <c r="BI57" s="29"/>
      <c r="BJ57" s="29"/>
      <c r="BK57" s="29"/>
      <c r="BL57" s="29"/>
      <c r="BM57" s="29"/>
      <c r="BN57" s="23"/>
      <c r="BO57" s="13"/>
      <c r="BP57" s="13"/>
      <c r="BQ57" s="13"/>
      <c r="BR57" s="13"/>
      <c r="BS57" s="13"/>
      <c r="BT57" s="13"/>
      <c r="BU57" s="13"/>
      <c r="BV57" s="13"/>
      <c r="BW57" s="224"/>
      <c r="BX57" s="23"/>
      <c r="BY57" s="13"/>
      <c r="BZ57" s="13"/>
      <c r="CA57" s="23"/>
      <c r="CB57" s="224"/>
      <c r="CC57" s="224"/>
      <c r="CD57" s="224"/>
      <c r="CE57" s="23"/>
      <c r="CF57" s="23"/>
      <c r="CG57" s="23"/>
      <c r="CH57" s="23"/>
      <c r="CI57" s="23"/>
      <c r="CJ57" s="23"/>
      <c r="CK57" s="23"/>
      <c r="CL57" s="23"/>
      <c r="CM57" s="23"/>
      <c r="CN57" s="23"/>
      <c r="CO57" s="23"/>
      <c r="CP57" s="23"/>
      <c r="CQ57" s="23"/>
      <c r="CR57" s="23"/>
      <c r="CS57" s="29"/>
      <c r="CT57" s="29"/>
      <c r="CU57" s="29"/>
      <c r="CV57" s="2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31"/>
      <c r="DZ57" s="13"/>
      <c r="EA57" s="13"/>
      <c r="EB57" s="13"/>
      <c r="EC57" s="13"/>
      <c r="ED57" s="13"/>
      <c r="EE57" s="13"/>
      <c r="EF57" s="13"/>
      <c r="EG57" s="13"/>
      <c r="EH57" s="13"/>
      <c r="EI57" s="23"/>
      <c r="EJ57" s="2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25"/>
      <c r="FW57" s="25"/>
      <c r="FX57" s="25"/>
      <c r="FY57" s="25"/>
      <c r="FZ57" s="25"/>
      <c r="GA57" s="25"/>
      <c r="GB57" s="25"/>
      <c r="GC57" s="25"/>
      <c r="GD57" s="25"/>
      <c r="GE57" s="25"/>
      <c r="GF57" s="25">
        <v>0</v>
      </c>
      <c r="GG57" s="25">
        <v>0</v>
      </c>
      <c r="GH57" s="25">
        <v>0</v>
      </c>
      <c r="GI57" s="25">
        <v>0</v>
      </c>
      <c r="GJ57" s="25">
        <v>0</v>
      </c>
      <c r="GK57" s="25">
        <v>0</v>
      </c>
      <c r="GL57" s="25">
        <v>0</v>
      </c>
      <c r="GM57" s="25">
        <v>0</v>
      </c>
      <c r="GN57" s="25">
        <v>0</v>
      </c>
      <c r="GO57" s="25">
        <v>0</v>
      </c>
      <c r="GP57" s="25">
        <v>0</v>
      </c>
      <c r="GQ57" s="25">
        <v>0</v>
      </c>
      <c r="GR57" s="25">
        <v>0</v>
      </c>
      <c r="GS57" s="25">
        <v>0</v>
      </c>
      <c r="GT57" s="25">
        <v>0</v>
      </c>
      <c r="GU57" s="25">
        <v>0</v>
      </c>
      <c r="GV57" s="25"/>
      <c r="GW57" s="25" t="s">
        <v>1588</v>
      </c>
      <c r="GX57" s="25" t="s">
        <v>1588</v>
      </c>
      <c r="GY57" s="25" t="s">
        <v>1588</v>
      </c>
      <c r="GZ57" s="25" t="s">
        <v>1588</v>
      </c>
      <c r="HA57" s="25" t="s">
        <v>1588</v>
      </c>
      <c r="HB57" s="25" t="s">
        <v>1588</v>
      </c>
      <c r="HC57" s="25" t="s">
        <v>1588</v>
      </c>
      <c r="HD57" s="25" t="s">
        <v>1588</v>
      </c>
      <c r="HE57" s="25" t="s">
        <v>1588</v>
      </c>
      <c r="HF57" s="25" t="s">
        <v>1588</v>
      </c>
      <c r="HG57" s="25" t="s">
        <v>1588</v>
      </c>
      <c r="HH57" s="25" t="s">
        <v>1588</v>
      </c>
      <c r="HI57" s="25"/>
      <c r="HJ57" s="25"/>
      <c r="HK57" s="25"/>
      <c r="HL57" s="25"/>
      <c r="HM57" s="25"/>
      <c r="HN57" s="25"/>
      <c r="HO57" s="25"/>
      <c r="HP57" s="25"/>
      <c r="HQ57" s="25"/>
      <c r="HR57" s="25"/>
      <c r="HS57" s="25" t="s">
        <v>2072</v>
      </c>
      <c r="HT57" s="25" t="s">
        <v>2072</v>
      </c>
      <c r="HU57" s="13"/>
      <c r="HV57" s="13"/>
      <c r="HW57" s="13"/>
      <c r="HX57" s="55"/>
      <c r="HY57" s="55"/>
      <c r="HZ57" s="55"/>
      <c r="IA57" s="55"/>
      <c r="IB57" s="55"/>
      <c r="IC57" s="55"/>
      <c r="ID57" s="55"/>
      <c r="IE57" s="55"/>
      <c r="IF57" s="107"/>
      <c r="IG57" s="107"/>
      <c r="IH57" s="250"/>
      <c r="II57" s="55"/>
      <c r="IJ57" s="55"/>
      <c r="IK57" s="55"/>
      <c r="IL57" s="55"/>
      <c r="IM57" s="55"/>
      <c r="IN57" s="55"/>
      <c r="IO57" s="55"/>
      <c r="IP57" s="55"/>
      <c r="IQ57" s="55"/>
      <c r="IR57" s="55"/>
      <c r="IS57" s="55"/>
      <c r="IT57" s="55"/>
      <c r="IU57" s="55"/>
      <c r="IV57" s="55"/>
      <c r="IW57" s="55"/>
      <c r="IX57" s="55"/>
      <c r="IY57" s="55"/>
      <c r="IZ57" s="55"/>
      <c r="JA57" s="55"/>
      <c r="JB57" s="55"/>
      <c r="JC57" s="55"/>
      <c r="JD57" s="55">
        <v>2021</v>
      </c>
    </row>
    <row r="58" spans="1:264" s="5" customFormat="1" ht="24.95" hidden="1" customHeight="1">
      <c r="A58" s="26" t="s">
        <v>175</v>
      </c>
      <c r="B58" s="26" t="s">
        <v>198</v>
      </c>
      <c r="C58" s="13" t="s">
        <v>352</v>
      </c>
      <c r="D58" s="13" t="s">
        <v>377</v>
      </c>
      <c r="E58" s="16" t="s">
        <v>357</v>
      </c>
      <c r="F58" s="13" t="s">
        <v>357</v>
      </c>
      <c r="G58" s="39" t="s">
        <v>354</v>
      </c>
      <c r="H58" s="13" t="s">
        <v>1582</v>
      </c>
      <c r="I58" s="125" t="s">
        <v>1832</v>
      </c>
      <c r="J58" s="13"/>
      <c r="K58" s="13" t="s">
        <v>1665</v>
      </c>
      <c r="L58" s="78" t="s">
        <v>1868</v>
      </c>
      <c r="M58" s="125" t="s">
        <v>1832</v>
      </c>
      <c r="N58" s="130"/>
      <c r="O58" s="13" t="s">
        <v>1666</v>
      </c>
      <c r="P58" s="13" t="s">
        <v>15</v>
      </c>
      <c r="Q58" s="22" t="s">
        <v>1667</v>
      </c>
      <c r="R58" s="22"/>
      <c r="S58" s="13"/>
      <c r="T58" s="13"/>
      <c r="U58" s="13"/>
      <c r="V58" s="13"/>
      <c r="W58" s="13"/>
      <c r="X58" s="13"/>
      <c r="Y58" s="13"/>
      <c r="Z58" s="13"/>
      <c r="AA58" s="41"/>
      <c r="AB58" s="29">
        <v>60000</v>
      </c>
      <c r="AC58" s="29">
        <v>0</v>
      </c>
      <c r="AD58" s="29">
        <v>60000</v>
      </c>
      <c r="AE58" s="29">
        <v>0</v>
      </c>
      <c r="AF58" s="29">
        <v>60000</v>
      </c>
      <c r="AG58" s="25">
        <v>0.12</v>
      </c>
      <c r="AH58" s="29">
        <v>7200</v>
      </c>
      <c r="AI58" s="29">
        <v>0</v>
      </c>
      <c r="AJ58" s="29">
        <v>67200</v>
      </c>
      <c r="AK58" s="29"/>
      <c r="AL58" s="29"/>
      <c r="AM58" s="29"/>
      <c r="AN58" s="41"/>
      <c r="AO58" s="41"/>
      <c r="AP58" s="41"/>
      <c r="AQ58" s="41"/>
      <c r="AR58" s="41"/>
      <c r="AS58" s="41"/>
      <c r="AT58" s="41"/>
      <c r="AU58" s="41"/>
      <c r="AV58" s="41"/>
      <c r="AW58" s="41"/>
      <c r="AX58" s="41"/>
      <c r="AY58" s="41"/>
      <c r="AZ58" s="41"/>
      <c r="BA58" s="41"/>
      <c r="BB58" s="41"/>
      <c r="BC58" s="41"/>
      <c r="BD58" s="37"/>
      <c r="BE58" s="37"/>
      <c r="BF58" s="37"/>
      <c r="BG58" s="29"/>
      <c r="BH58" s="37"/>
      <c r="BI58" s="29"/>
      <c r="BJ58" s="29"/>
      <c r="BK58" s="29"/>
      <c r="BL58" s="29"/>
      <c r="BM58" s="29"/>
      <c r="BN58" s="23"/>
      <c r="BO58" s="13"/>
      <c r="BP58" s="13"/>
      <c r="BQ58" s="13"/>
      <c r="BR58" s="13"/>
      <c r="BS58" s="13"/>
      <c r="BT58" s="13"/>
      <c r="BU58" s="13"/>
      <c r="BV58" s="13"/>
      <c r="BW58" s="224"/>
      <c r="BX58" s="23"/>
      <c r="BY58" s="13"/>
      <c r="BZ58" s="13"/>
      <c r="CA58" s="23"/>
      <c r="CB58" s="224"/>
      <c r="CC58" s="224"/>
      <c r="CD58" s="224"/>
      <c r="CE58" s="23"/>
      <c r="CF58" s="23"/>
      <c r="CG58" s="23"/>
      <c r="CH58" s="23"/>
      <c r="CI58" s="23"/>
      <c r="CJ58" s="23"/>
      <c r="CK58" s="23"/>
      <c r="CL58" s="23"/>
      <c r="CM58" s="23"/>
      <c r="CN58" s="23"/>
      <c r="CO58" s="23"/>
      <c r="CP58" s="23"/>
      <c r="CQ58" s="23"/>
      <c r="CR58" s="23"/>
      <c r="CS58" s="29"/>
      <c r="CT58" s="29"/>
      <c r="CU58" s="29"/>
      <c r="CV58" s="2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31"/>
      <c r="DZ58" s="13"/>
      <c r="EA58" s="13"/>
      <c r="EB58" s="13"/>
      <c r="EC58" s="13"/>
      <c r="ED58" s="13"/>
      <c r="EE58" s="13"/>
      <c r="EF58" s="13"/>
      <c r="EG58" s="13"/>
      <c r="EH58" s="13"/>
      <c r="EI58" s="23"/>
      <c r="EJ58" s="2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25"/>
      <c r="FW58" s="25"/>
      <c r="FX58" s="25"/>
      <c r="FY58" s="25"/>
      <c r="FZ58" s="25"/>
      <c r="GA58" s="25"/>
      <c r="GB58" s="25"/>
      <c r="GC58" s="25"/>
      <c r="GD58" s="25"/>
      <c r="GE58" s="25"/>
      <c r="GF58" s="25">
        <v>0</v>
      </c>
      <c r="GG58" s="25">
        <v>0</v>
      </c>
      <c r="GH58" s="25">
        <v>0</v>
      </c>
      <c r="GI58" s="25">
        <v>0</v>
      </c>
      <c r="GJ58" s="25">
        <v>0</v>
      </c>
      <c r="GK58" s="25">
        <v>0</v>
      </c>
      <c r="GL58" s="25">
        <v>0</v>
      </c>
      <c r="GM58" s="25">
        <v>0</v>
      </c>
      <c r="GN58" s="25">
        <v>0</v>
      </c>
      <c r="GO58" s="25">
        <v>0</v>
      </c>
      <c r="GP58" s="25">
        <v>0</v>
      </c>
      <c r="GQ58" s="25">
        <v>0</v>
      </c>
      <c r="GR58" s="25">
        <v>0</v>
      </c>
      <c r="GS58" s="25">
        <v>0</v>
      </c>
      <c r="GT58" s="25">
        <v>0</v>
      </c>
      <c r="GU58" s="25">
        <v>0</v>
      </c>
      <c r="GV58" s="25"/>
      <c r="GW58" s="25" t="s">
        <v>1588</v>
      </c>
      <c r="GX58" s="25" t="s">
        <v>1588</v>
      </c>
      <c r="GY58" s="25" t="s">
        <v>1588</v>
      </c>
      <c r="GZ58" s="25" t="s">
        <v>1588</v>
      </c>
      <c r="HA58" s="25" t="s">
        <v>1588</v>
      </c>
      <c r="HB58" s="25" t="s">
        <v>1588</v>
      </c>
      <c r="HC58" s="25" t="s">
        <v>1588</v>
      </c>
      <c r="HD58" s="25" t="s">
        <v>1588</v>
      </c>
      <c r="HE58" s="25" t="s">
        <v>1588</v>
      </c>
      <c r="HF58" s="25" t="s">
        <v>1588</v>
      </c>
      <c r="HG58" s="25" t="s">
        <v>1588</v>
      </c>
      <c r="HH58" s="25" t="s">
        <v>1588</v>
      </c>
      <c r="HI58" s="25"/>
      <c r="HJ58" s="25"/>
      <c r="HK58" s="25"/>
      <c r="HL58" s="25"/>
      <c r="HM58" s="25"/>
      <c r="HN58" s="25"/>
      <c r="HO58" s="25"/>
      <c r="HP58" s="25"/>
      <c r="HQ58" s="25"/>
      <c r="HR58" s="25"/>
      <c r="HS58" s="25" t="s">
        <v>2072</v>
      </c>
      <c r="HT58" s="25" t="s">
        <v>2072</v>
      </c>
      <c r="HU58" s="13"/>
      <c r="HV58" s="13"/>
      <c r="HW58" s="13"/>
      <c r="HX58" s="55"/>
      <c r="HY58" s="55"/>
      <c r="HZ58" s="55"/>
      <c r="IA58" s="55"/>
      <c r="IB58" s="55"/>
      <c r="IC58" s="55"/>
      <c r="ID58" s="55"/>
      <c r="IE58" s="55"/>
      <c r="IF58" s="107"/>
      <c r="IG58" s="107"/>
      <c r="IH58" s="250"/>
      <c r="II58" s="55"/>
      <c r="IJ58" s="55"/>
      <c r="IK58" s="55"/>
      <c r="IL58" s="55"/>
      <c r="IM58" s="55"/>
      <c r="IN58" s="55"/>
      <c r="IO58" s="55"/>
      <c r="IP58" s="55"/>
      <c r="IQ58" s="55"/>
      <c r="IR58" s="55"/>
      <c r="IS58" s="55"/>
      <c r="IT58" s="55"/>
      <c r="IU58" s="55"/>
      <c r="IV58" s="55"/>
      <c r="IW58" s="55"/>
      <c r="IX58" s="55"/>
      <c r="IY58" s="55"/>
      <c r="IZ58" s="55"/>
      <c r="JA58" s="55"/>
      <c r="JB58" s="55"/>
      <c r="JC58" s="55"/>
      <c r="JD58" s="55">
        <v>2021</v>
      </c>
    </row>
    <row r="59" spans="1:264" s="5" customFormat="1" ht="24.95" hidden="1" customHeight="1">
      <c r="A59" s="26" t="s">
        <v>183</v>
      </c>
      <c r="B59" s="26" t="s">
        <v>198</v>
      </c>
      <c r="C59" s="13" t="s">
        <v>352</v>
      </c>
      <c r="D59" s="13" t="s">
        <v>377</v>
      </c>
      <c r="E59" s="16" t="s">
        <v>357</v>
      </c>
      <c r="F59" s="13" t="s">
        <v>357</v>
      </c>
      <c r="G59" s="39" t="s">
        <v>354</v>
      </c>
      <c r="H59" s="13" t="s">
        <v>1582</v>
      </c>
      <c r="I59" s="156" t="s">
        <v>1832</v>
      </c>
      <c r="J59" s="13"/>
      <c r="K59" s="13" t="s">
        <v>1665</v>
      </c>
      <c r="L59" s="297" t="s">
        <v>1868</v>
      </c>
      <c r="M59" s="125" t="s">
        <v>1832</v>
      </c>
      <c r="N59" s="130"/>
      <c r="O59" s="13" t="s">
        <v>1666</v>
      </c>
      <c r="P59" s="13" t="s">
        <v>15</v>
      </c>
      <c r="Q59" s="22" t="s">
        <v>1667</v>
      </c>
      <c r="R59" s="22"/>
      <c r="S59" s="13"/>
      <c r="T59" s="13"/>
      <c r="U59" s="13"/>
      <c r="V59" s="13"/>
      <c r="W59" s="13"/>
      <c r="X59" s="13"/>
      <c r="Y59" s="13"/>
      <c r="Z59" s="13"/>
      <c r="AA59" s="41"/>
      <c r="AB59" s="29">
        <v>205680.35</v>
      </c>
      <c r="AC59" s="29">
        <v>0</v>
      </c>
      <c r="AD59" s="29">
        <v>205680.35</v>
      </c>
      <c r="AE59" s="29">
        <v>0</v>
      </c>
      <c r="AF59" s="29">
        <v>205680.35</v>
      </c>
      <c r="AG59" s="25">
        <v>0.12</v>
      </c>
      <c r="AH59" s="29">
        <v>24681.642</v>
      </c>
      <c r="AI59" s="29">
        <v>0</v>
      </c>
      <c r="AJ59" s="29">
        <v>230361.99200000003</v>
      </c>
      <c r="AK59" s="29"/>
      <c r="AL59" s="29"/>
      <c r="AM59" s="29"/>
      <c r="AN59" s="41"/>
      <c r="AO59" s="41"/>
      <c r="AP59" s="41"/>
      <c r="AQ59" s="41"/>
      <c r="AR59" s="41"/>
      <c r="AS59" s="41"/>
      <c r="AT59" s="41"/>
      <c r="AU59" s="41"/>
      <c r="AV59" s="41"/>
      <c r="AW59" s="41"/>
      <c r="AX59" s="41"/>
      <c r="AY59" s="41"/>
      <c r="AZ59" s="41"/>
      <c r="BA59" s="41"/>
      <c r="BB59" s="41"/>
      <c r="BC59" s="41"/>
      <c r="BD59" s="37"/>
      <c r="BE59" s="37"/>
      <c r="BF59" s="37"/>
      <c r="BG59" s="29"/>
      <c r="BH59" s="37"/>
      <c r="BI59" s="29"/>
      <c r="BJ59" s="29"/>
      <c r="BK59" s="29"/>
      <c r="BL59" s="29"/>
      <c r="BM59" s="29"/>
      <c r="BN59" s="23"/>
      <c r="BO59" s="13"/>
      <c r="BP59" s="13"/>
      <c r="BQ59" s="13"/>
      <c r="BR59" s="13"/>
      <c r="BS59" s="13"/>
      <c r="BT59" s="13"/>
      <c r="BU59" s="13"/>
      <c r="BV59" s="13"/>
      <c r="BW59" s="224"/>
      <c r="BX59" s="23"/>
      <c r="BY59" s="13"/>
      <c r="BZ59" s="13"/>
      <c r="CA59" s="23"/>
      <c r="CB59" s="224"/>
      <c r="CC59" s="224"/>
      <c r="CD59" s="224"/>
      <c r="CE59" s="23"/>
      <c r="CF59" s="23"/>
      <c r="CG59" s="23"/>
      <c r="CH59" s="23"/>
      <c r="CI59" s="23"/>
      <c r="CJ59" s="23"/>
      <c r="CK59" s="23"/>
      <c r="CL59" s="23"/>
      <c r="CM59" s="23"/>
      <c r="CN59" s="23"/>
      <c r="CO59" s="23"/>
      <c r="CP59" s="23"/>
      <c r="CQ59" s="23"/>
      <c r="CR59" s="23"/>
      <c r="CS59" s="29"/>
      <c r="CT59" s="29"/>
      <c r="CU59" s="29"/>
      <c r="CV59" s="2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31"/>
      <c r="DZ59" s="13"/>
      <c r="EA59" s="13"/>
      <c r="EB59" s="13"/>
      <c r="EC59" s="13"/>
      <c r="ED59" s="13"/>
      <c r="EE59" s="13"/>
      <c r="EF59" s="13"/>
      <c r="EG59" s="13"/>
      <c r="EH59" s="13"/>
      <c r="EI59" s="23"/>
      <c r="EJ59" s="2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25"/>
      <c r="FW59" s="25"/>
      <c r="FX59" s="25"/>
      <c r="FY59" s="25"/>
      <c r="FZ59" s="25"/>
      <c r="GA59" s="25"/>
      <c r="GB59" s="25"/>
      <c r="GC59" s="25"/>
      <c r="GD59" s="25"/>
      <c r="GE59" s="25"/>
      <c r="GF59" s="25">
        <v>0</v>
      </c>
      <c r="GG59" s="25">
        <v>0</v>
      </c>
      <c r="GH59" s="25">
        <v>0</v>
      </c>
      <c r="GI59" s="25">
        <v>0</v>
      </c>
      <c r="GJ59" s="25">
        <v>0</v>
      </c>
      <c r="GK59" s="25">
        <v>0</v>
      </c>
      <c r="GL59" s="25">
        <v>0</v>
      </c>
      <c r="GM59" s="25">
        <v>0</v>
      </c>
      <c r="GN59" s="25">
        <v>0</v>
      </c>
      <c r="GO59" s="25">
        <v>0</v>
      </c>
      <c r="GP59" s="25">
        <v>0</v>
      </c>
      <c r="GQ59" s="25">
        <v>0</v>
      </c>
      <c r="GR59" s="25">
        <v>0</v>
      </c>
      <c r="GS59" s="25">
        <v>0</v>
      </c>
      <c r="GT59" s="25">
        <v>0</v>
      </c>
      <c r="GU59" s="25">
        <v>0</v>
      </c>
      <c r="GV59" s="25"/>
      <c r="GW59" s="25" t="s">
        <v>1588</v>
      </c>
      <c r="GX59" s="25" t="s">
        <v>1588</v>
      </c>
      <c r="GY59" s="25" t="s">
        <v>1588</v>
      </c>
      <c r="GZ59" s="25" t="s">
        <v>1588</v>
      </c>
      <c r="HA59" s="25" t="s">
        <v>1588</v>
      </c>
      <c r="HB59" s="25" t="s">
        <v>1588</v>
      </c>
      <c r="HC59" s="25" t="s">
        <v>1588</v>
      </c>
      <c r="HD59" s="25" t="s">
        <v>1588</v>
      </c>
      <c r="HE59" s="25" t="s">
        <v>1588</v>
      </c>
      <c r="HF59" s="25" t="s">
        <v>1588</v>
      </c>
      <c r="HG59" s="25" t="s">
        <v>1588</v>
      </c>
      <c r="HH59" s="25" t="s">
        <v>1588</v>
      </c>
      <c r="HI59" s="25"/>
      <c r="HJ59" s="25"/>
      <c r="HK59" s="25"/>
      <c r="HL59" s="25"/>
      <c r="HM59" s="25"/>
      <c r="HN59" s="25"/>
      <c r="HO59" s="25"/>
      <c r="HP59" s="25"/>
      <c r="HQ59" s="25"/>
      <c r="HR59" s="25"/>
      <c r="HS59" s="25" t="s">
        <v>2072</v>
      </c>
      <c r="HT59" s="25" t="s">
        <v>2072</v>
      </c>
      <c r="HU59" s="13"/>
      <c r="HV59" s="13"/>
      <c r="HW59" s="13"/>
      <c r="HX59" s="55"/>
      <c r="HY59" s="55"/>
      <c r="HZ59" s="55"/>
      <c r="IA59" s="55"/>
      <c r="IB59" s="55"/>
      <c r="IC59" s="55"/>
      <c r="ID59" s="55"/>
      <c r="IE59" s="55"/>
      <c r="IF59" s="107"/>
      <c r="IG59" s="107"/>
      <c r="IH59" s="250"/>
      <c r="II59" s="55"/>
      <c r="IJ59" s="55"/>
      <c r="IK59" s="55"/>
      <c r="IL59" s="55"/>
      <c r="IM59" s="55"/>
      <c r="IN59" s="55"/>
      <c r="IO59" s="55"/>
      <c r="IP59" s="55"/>
      <c r="IQ59" s="55"/>
      <c r="IR59" s="55"/>
      <c r="IS59" s="55"/>
      <c r="IT59" s="55"/>
      <c r="IU59" s="55"/>
      <c r="IV59" s="55"/>
      <c r="IW59" s="55"/>
      <c r="IX59" s="55"/>
      <c r="IY59" s="55"/>
      <c r="IZ59" s="55"/>
      <c r="JA59" s="55"/>
      <c r="JB59" s="55"/>
      <c r="JC59" s="55"/>
      <c r="JD59" s="55">
        <v>2021</v>
      </c>
    </row>
    <row r="60" spans="1:264" s="5" customFormat="1" ht="57" hidden="1" customHeight="1">
      <c r="A60" s="26" t="s">
        <v>183</v>
      </c>
      <c r="B60" s="26" t="s">
        <v>1</v>
      </c>
      <c r="C60" s="13" t="s">
        <v>349</v>
      </c>
      <c r="D60" s="13" t="s">
        <v>382</v>
      </c>
      <c r="E60" s="13" t="s">
        <v>350</v>
      </c>
      <c r="F60" s="13" t="s">
        <v>350</v>
      </c>
      <c r="G60" s="39" t="s">
        <v>351</v>
      </c>
      <c r="H60" s="13" t="s">
        <v>1553</v>
      </c>
      <c r="I60" s="156" t="s">
        <v>1815</v>
      </c>
      <c r="J60" s="13"/>
      <c r="K60" s="49" t="s">
        <v>375</v>
      </c>
      <c r="L60" s="46" t="s">
        <v>1814</v>
      </c>
      <c r="M60" s="156" t="s">
        <v>1815</v>
      </c>
      <c r="N60" s="130"/>
      <c r="O60" s="13" t="s">
        <v>3</v>
      </c>
      <c r="P60" s="13" t="s">
        <v>4</v>
      </c>
      <c r="Q60" s="22" t="s">
        <v>364</v>
      </c>
      <c r="R60" s="22"/>
      <c r="S60" s="13" t="s">
        <v>442</v>
      </c>
      <c r="T60" s="13"/>
      <c r="U60" s="13"/>
      <c r="V60" s="301" t="s">
        <v>2090</v>
      </c>
      <c r="W60" s="13" t="s">
        <v>2091</v>
      </c>
      <c r="X60" s="13"/>
      <c r="Y60" s="13"/>
      <c r="Z60" s="13"/>
      <c r="AA60" s="41"/>
      <c r="AB60" s="29">
        <v>42857.140000000014</v>
      </c>
      <c r="AC60" s="41"/>
      <c r="AD60" s="29">
        <v>42857.140000000014</v>
      </c>
      <c r="AE60" s="29">
        <v>10602.859999999986</v>
      </c>
      <c r="AF60" s="29">
        <f t="shared" si="17"/>
        <v>53460</v>
      </c>
      <c r="AG60" s="25">
        <v>0.12</v>
      </c>
      <c r="AH60" s="29">
        <f>AD60*0.12</f>
        <v>5142.8568000000014</v>
      </c>
      <c r="AI60" s="29">
        <f>AE60*0.12</f>
        <v>1272.3431999999982</v>
      </c>
      <c r="AJ60" s="29">
        <f>AF60*1.12</f>
        <v>59875.200000000004</v>
      </c>
      <c r="AK60" s="29"/>
      <c r="AL60" s="29"/>
      <c r="AM60" s="29"/>
      <c r="AN60" s="41"/>
      <c r="AO60" s="41">
        <v>53480</v>
      </c>
      <c r="AP60" s="41"/>
      <c r="AQ60" s="41">
        <v>42000</v>
      </c>
      <c r="AR60" s="300">
        <v>0.12</v>
      </c>
      <c r="AS60" s="41">
        <f>AQ60*0.12</f>
        <v>5040</v>
      </c>
      <c r="AT60" s="41">
        <f>ROUND((AQ60+AS60),2)</f>
        <v>47040</v>
      </c>
      <c r="AU60" s="41"/>
      <c r="AV60" s="41"/>
      <c r="AW60" s="41"/>
      <c r="AX60" s="41"/>
      <c r="AY60" s="41"/>
      <c r="AZ60" s="41"/>
      <c r="BA60" s="41"/>
      <c r="BB60" s="41"/>
      <c r="BC60" s="41"/>
      <c r="BD60" s="37"/>
      <c r="BE60" s="37"/>
      <c r="BF60" s="37"/>
      <c r="BG60" s="29"/>
      <c r="BH60" s="37"/>
      <c r="BI60" s="29"/>
      <c r="BJ60" s="29"/>
      <c r="BK60" s="29"/>
      <c r="BL60" s="29"/>
      <c r="BM60" s="29"/>
      <c r="BN60" s="23"/>
      <c r="BO60" s="13"/>
      <c r="BP60" s="13"/>
      <c r="BQ60" s="13"/>
      <c r="BR60" s="13"/>
      <c r="BS60" s="13"/>
      <c r="BT60" s="13"/>
      <c r="BU60" s="13"/>
      <c r="BV60" s="13"/>
      <c r="BW60" s="224"/>
      <c r="BX60" s="23">
        <v>43775</v>
      </c>
      <c r="BY60" s="13"/>
      <c r="BZ60" s="13"/>
      <c r="CA60" s="23"/>
      <c r="CB60" s="224"/>
      <c r="CC60" s="224"/>
      <c r="CD60" s="224"/>
      <c r="CE60" s="23"/>
      <c r="CF60" s="23"/>
      <c r="CG60" s="23"/>
      <c r="CH60" s="23"/>
      <c r="CI60" s="23"/>
      <c r="CJ60" s="23"/>
      <c r="CK60" s="23"/>
      <c r="CL60" s="23"/>
      <c r="CM60" s="23"/>
      <c r="CN60" s="23"/>
      <c r="CO60" s="23">
        <v>43775</v>
      </c>
      <c r="CP60" s="23"/>
      <c r="CQ60" s="23"/>
      <c r="CR60" s="23"/>
      <c r="CS60" s="29"/>
      <c r="CT60" s="29"/>
      <c r="CU60" s="29"/>
      <c r="CV60" s="23">
        <v>43829</v>
      </c>
      <c r="CW60" s="234">
        <v>21000</v>
      </c>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31"/>
      <c r="DZ60" s="13"/>
      <c r="EA60" s="13"/>
      <c r="EB60" s="13"/>
      <c r="EC60" s="13"/>
      <c r="ED60" s="13"/>
      <c r="EE60" s="13"/>
      <c r="EF60" s="13"/>
      <c r="EG60" s="13">
        <v>90</v>
      </c>
      <c r="EH60" s="13"/>
      <c r="EI60" s="23"/>
      <c r="EJ60" s="2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25"/>
      <c r="FW60" s="25"/>
      <c r="FX60" s="25"/>
      <c r="FY60" s="25"/>
      <c r="FZ60" s="25"/>
      <c r="GA60" s="25"/>
      <c r="GB60" s="25"/>
      <c r="GC60" s="25"/>
      <c r="GD60" s="25"/>
      <c r="GE60" s="25"/>
      <c r="GF60" s="25">
        <v>0</v>
      </c>
      <c r="GG60" s="25">
        <v>0</v>
      </c>
      <c r="GH60" s="25">
        <v>0</v>
      </c>
      <c r="GI60" s="25">
        <v>0</v>
      </c>
      <c r="GJ60" s="25">
        <v>0</v>
      </c>
      <c r="GK60" s="25">
        <v>0</v>
      </c>
      <c r="GL60" s="25">
        <v>0</v>
      </c>
      <c r="GM60" s="25">
        <v>0</v>
      </c>
      <c r="GN60" s="25">
        <v>0</v>
      </c>
      <c r="GO60" s="25">
        <v>0</v>
      </c>
      <c r="GP60" s="25">
        <v>0</v>
      </c>
      <c r="GQ60" s="25">
        <v>0</v>
      </c>
      <c r="GR60" s="25">
        <v>0</v>
      </c>
      <c r="GS60" s="25">
        <v>0</v>
      </c>
      <c r="GT60" s="25">
        <v>0</v>
      </c>
      <c r="GU60" s="25">
        <v>0</v>
      </c>
      <c r="GV60" s="25"/>
      <c r="GW60" s="25" t="s">
        <v>1588</v>
      </c>
      <c r="GX60" s="25" t="s">
        <v>1588</v>
      </c>
      <c r="GY60" s="25" t="s">
        <v>1588</v>
      </c>
      <c r="GZ60" s="25" t="s">
        <v>1588</v>
      </c>
      <c r="HA60" s="25" t="s">
        <v>1588</v>
      </c>
      <c r="HB60" s="25" t="s">
        <v>1588</v>
      </c>
      <c r="HC60" s="25" t="s">
        <v>1588</v>
      </c>
      <c r="HD60" s="25" t="s">
        <v>1588</v>
      </c>
      <c r="HE60" s="25" t="s">
        <v>1588</v>
      </c>
      <c r="HF60" s="25" t="s">
        <v>1588</v>
      </c>
      <c r="HG60" s="25" t="s">
        <v>1588</v>
      </c>
      <c r="HH60" s="25" t="s">
        <v>1588</v>
      </c>
      <c r="HI60" s="25"/>
      <c r="HJ60" s="25"/>
      <c r="HK60" s="25"/>
      <c r="HL60" s="25"/>
      <c r="HM60" s="25"/>
      <c r="HN60" s="25"/>
      <c r="HO60" s="25"/>
      <c r="HP60" s="25"/>
      <c r="HQ60" s="25"/>
      <c r="HR60" s="25"/>
      <c r="HS60" s="25" t="s">
        <v>2093</v>
      </c>
      <c r="HT60" s="25" t="s">
        <v>2093</v>
      </c>
      <c r="HU60" s="13"/>
      <c r="HV60" s="13"/>
      <c r="HW60" s="13"/>
      <c r="HX60" s="55"/>
      <c r="HY60" s="55"/>
      <c r="HZ60" s="55"/>
      <c r="IA60" s="55"/>
      <c r="IB60" s="55"/>
      <c r="IC60" s="55"/>
      <c r="ID60" s="55"/>
      <c r="IE60" s="55"/>
      <c r="IF60" s="55"/>
      <c r="IG60" s="55"/>
      <c r="IH60" s="250">
        <f>AK60-IG60</f>
        <v>0</v>
      </c>
      <c r="II60" s="55"/>
      <c r="IJ60" s="55"/>
      <c r="IK60" s="55"/>
      <c r="IL60" s="55"/>
      <c r="IM60" s="55"/>
      <c r="IN60" s="55"/>
      <c r="IO60" s="55"/>
      <c r="IP60" s="55"/>
      <c r="IQ60" s="55"/>
      <c r="IR60" s="55"/>
      <c r="IS60" s="55"/>
      <c r="IT60" s="55"/>
      <c r="IU60" s="55"/>
      <c r="IV60" s="55"/>
      <c r="IW60" s="55"/>
      <c r="IX60" s="55"/>
      <c r="IY60" s="55"/>
      <c r="IZ60" s="55"/>
      <c r="JA60" s="55"/>
      <c r="JB60" s="55"/>
      <c r="JC60" s="55"/>
      <c r="JD60" s="55">
        <v>2020</v>
      </c>
    </row>
    <row r="61" spans="1:264" s="5" customFormat="1" ht="24.95" hidden="1" customHeight="1">
      <c r="A61" s="26" t="s">
        <v>188</v>
      </c>
      <c r="B61" s="26" t="s">
        <v>198</v>
      </c>
      <c r="C61" s="13" t="s">
        <v>352</v>
      </c>
      <c r="D61" s="13" t="s">
        <v>377</v>
      </c>
      <c r="E61" s="16" t="s">
        <v>357</v>
      </c>
      <c r="F61" s="13" t="s">
        <v>357</v>
      </c>
      <c r="G61" s="39" t="s">
        <v>354</v>
      </c>
      <c r="H61" s="13" t="s">
        <v>1582</v>
      </c>
      <c r="I61" s="125" t="s">
        <v>1832</v>
      </c>
      <c r="J61" s="13"/>
      <c r="K61" s="13" t="s">
        <v>1665</v>
      </c>
      <c r="L61" s="78" t="s">
        <v>1868</v>
      </c>
      <c r="M61" s="125" t="s">
        <v>1832</v>
      </c>
      <c r="N61" s="130"/>
      <c r="O61" s="13" t="s">
        <v>1666</v>
      </c>
      <c r="P61" s="13" t="s">
        <v>15</v>
      </c>
      <c r="Q61" s="22" t="s">
        <v>1667</v>
      </c>
      <c r="R61" s="22"/>
      <c r="S61" s="13"/>
      <c r="T61" s="13"/>
      <c r="U61" s="13"/>
      <c r="V61" s="13"/>
      <c r="W61" s="13"/>
      <c r="X61" s="13"/>
      <c r="Y61" s="13"/>
      <c r="Z61" s="13"/>
      <c r="AA61" s="41"/>
      <c r="AB61" s="29">
        <v>99306.35</v>
      </c>
      <c r="AC61" s="29">
        <v>0</v>
      </c>
      <c r="AD61" s="29">
        <v>99306.35</v>
      </c>
      <c r="AE61" s="29">
        <v>0</v>
      </c>
      <c r="AF61" s="29">
        <v>99306.35</v>
      </c>
      <c r="AG61" s="25">
        <v>0.12</v>
      </c>
      <c r="AH61" s="29">
        <v>11916.762000000001</v>
      </c>
      <c r="AI61" s="29">
        <v>0</v>
      </c>
      <c r="AJ61" s="29">
        <v>111223.11200000002</v>
      </c>
      <c r="AK61" s="29"/>
      <c r="AL61" s="29"/>
      <c r="AM61" s="29"/>
      <c r="AN61" s="41"/>
      <c r="AO61" s="41"/>
      <c r="AP61" s="41"/>
      <c r="AQ61" s="41"/>
      <c r="AR61" s="41"/>
      <c r="AS61" s="41"/>
      <c r="AT61" s="41"/>
      <c r="AU61" s="41"/>
      <c r="AV61" s="41"/>
      <c r="AW61" s="41"/>
      <c r="AX61" s="41"/>
      <c r="AY61" s="41"/>
      <c r="AZ61" s="41"/>
      <c r="BA61" s="41"/>
      <c r="BB61" s="41"/>
      <c r="BC61" s="41"/>
      <c r="BD61" s="37"/>
      <c r="BE61" s="37"/>
      <c r="BF61" s="37"/>
      <c r="BG61" s="29"/>
      <c r="BH61" s="37"/>
      <c r="BI61" s="29"/>
      <c r="BJ61" s="29"/>
      <c r="BK61" s="29"/>
      <c r="BL61" s="29"/>
      <c r="BM61" s="29"/>
      <c r="BN61" s="23"/>
      <c r="BO61" s="13"/>
      <c r="BP61" s="13"/>
      <c r="BQ61" s="13"/>
      <c r="BR61" s="13"/>
      <c r="BS61" s="13"/>
      <c r="BT61" s="13"/>
      <c r="BU61" s="13"/>
      <c r="BV61" s="13"/>
      <c r="BW61" s="224"/>
      <c r="BX61" s="23"/>
      <c r="BY61" s="13"/>
      <c r="BZ61" s="13"/>
      <c r="CA61" s="23"/>
      <c r="CB61" s="224"/>
      <c r="CC61" s="224"/>
      <c r="CD61" s="224"/>
      <c r="CE61" s="23"/>
      <c r="CF61" s="23"/>
      <c r="CG61" s="23"/>
      <c r="CH61" s="23"/>
      <c r="CI61" s="23"/>
      <c r="CJ61" s="23"/>
      <c r="CK61" s="23"/>
      <c r="CL61" s="23"/>
      <c r="CM61" s="23"/>
      <c r="CN61" s="23"/>
      <c r="CO61" s="23"/>
      <c r="CP61" s="23"/>
      <c r="CQ61" s="23"/>
      <c r="CR61" s="23"/>
      <c r="CS61" s="29"/>
      <c r="CT61" s="29"/>
      <c r="CU61" s="29"/>
      <c r="CV61" s="2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31"/>
      <c r="DZ61" s="13"/>
      <c r="EA61" s="13"/>
      <c r="EB61" s="13"/>
      <c r="EC61" s="13"/>
      <c r="ED61" s="13"/>
      <c r="EE61" s="13"/>
      <c r="EF61" s="13"/>
      <c r="EG61" s="13"/>
      <c r="EH61" s="13"/>
      <c r="EI61" s="23"/>
      <c r="EJ61" s="2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25"/>
      <c r="FW61" s="25"/>
      <c r="FX61" s="25"/>
      <c r="FY61" s="25"/>
      <c r="FZ61" s="25"/>
      <c r="GA61" s="25"/>
      <c r="GB61" s="25"/>
      <c r="GC61" s="25"/>
      <c r="GD61" s="25"/>
      <c r="GE61" s="25"/>
      <c r="GF61" s="25">
        <v>0</v>
      </c>
      <c r="GG61" s="25">
        <v>0</v>
      </c>
      <c r="GH61" s="25">
        <v>0</v>
      </c>
      <c r="GI61" s="25">
        <v>0</v>
      </c>
      <c r="GJ61" s="25">
        <v>0</v>
      </c>
      <c r="GK61" s="25">
        <v>0</v>
      </c>
      <c r="GL61" s="25">
        <v>0</v>
      </c>
      <c r="GM61" s="25">
        <v>0</v>
      </c>
      <c r="GN61" s="25">
        <v>0</v>
      </c>
      <c r="GO61" s="25">
        <v>0</v>
      </c>
      <c r="GP61" s="25">
        <v>0</v>
      </c>
      <c r="GQ61" s="25">
        <v>0</v>
      </c>
      <c r="GR61" s="25">
        <v>0</v>
      </c>
      <c r="GS61" s="25">
        <v>0</v>
      </c>
      <c r="GT61" s="25">
        <v>0</v>
      </c>
      <c r="GU61" s="25">
        <v>0</v>
      </c>
      <c r="GV61" s="25"/>
      <c r="GW61" s="25" t="s">
        <v>1588</v>
      </c>
      <c r="GX61" s="25" t="s">
        <v>1588</v>
      </c>
      <c r="GY61" s="25" t="s">
        <v>1588</v>
      </c>
      <c r="GZ61" s="25" t="s">
        <v>1588</v>
      </c>
      <c r="HA61" s="25" t="s">
        <v>1588</v>
      </c>
      <c r="HB61" s="25" t="s">
        <v>1588</v>
      </c>
      <c r="HC61" s="25" t="s">
        <v>1588</v>
      </c>
      <c r="HD61" s="25" t="s">
        <v>1588</v>
      </c>
      <c r="HE61" s="25" t="s">
        <v>1588</v>
      </c>
      <c r="HF61" s="25" t="s">
        <v>1588</v>
      </c>
      <c r="HG61" s="25" t="s">
        <v>1588</v>
      </c>
      <c r="HH61" s="25" t="s">
        <v>1588</v>
      </c>
      <c r="HI61" s="25"/>
      <c r="HJ61" s="25"/>
      <c r="HK61" s="25"/>
      <c r="HL61" s="25"/>
      <c r="HM61" s="25"/>
      <c r="HN61" s="25"/>
      <c r="HO61" s="25"/>
      <c r="HP61" s="25"/>
      <c r="HQ61" s="25"/>
      <c r="HR61" s="25"/>
      <c r="HS61" s="25" t="s">
        <v>2072</v>
      </c>
      <c r="HT61" s="25" t="s">
        <v>2072</v>
      </c>
      <c r="HU61" s="13"/>
      <c r="HV61" s="13"/>
      <c r="HW61" s="13"/>
      <c r="HX61" s="55"/>
      <c r="HY61" s="55"/>
      <c r="HZ61" s="55"/>
      <c r="IA61" s="55"/>
      <c r="IB61" s="55"/>
      <c r="IC61" s="55"/>
      <c r="ID61" s="55"/>
      <c r="IE61" s="55"/>
      <c r="IF61" s="107"/>
      <c r="IG61" s="107"/>
      <c r="IH61" s="250"/>
      <c r="II61" s="55"/>
      <c r="IJ61" s="55"/>
      <c r="IK61" s="55"/>
      <c r="IL61" s="55"/>
      <c r="IM61" s="55"/>
      <c r="IN61" s="55"/>
      <c r="IO61" s="55"/>
      <c r="IP61" s="55"/>
      <c r="IQ61" s="55"/>
      <c r="IR61" s="55"/>
      <c r="IS61" s="55"/>
      <c r="IT61" s="55"/>
      <c r="IU61" s="55"/>
      <c r="IV61" s="55"/>
      <c r="IW61" s="55"/>
      <c r="IX61" s="55"/>
      <c r="IY61" s="55"/>
      <c r="IZ61" s="55"/>
      <c r="JA61" s="55"/>
      <c r="JB61" s="55"/>
      <c r="JC61" s="55"/>
      <c r="JD61" s="55">
        <v>2021</v>
      </c>
    </row>
    <row r="62" spans="1:264" s="5" customFormat="1" ht="24.95" hidden="1" customHeight="1">
      <c r="A62" s="26" t="s">
        <v>26</v>
      </c>
      <c r="B62" s="26" t="s">
        <v>27</v>
      </c>
      <c r="C62" s="13" t="s">
        <v>349</v>
      </c>
      <c r="D62" s="13" t="s">
        <v>380</v>
      </c>
      <c r="E62" s="13" t="s">
        <v>350</v>
      </c>
      <c r="F62" s="13" t="s">
        <v>350</v>
      </c>
      <c r="G62" s="49" t="s">
        <v>351</v>
      </c>
      <c r="H62" s="13" t="s">
        <v>1557</v>
      </c>
      <c r="I62" s="21" t="s">
        <v>29</v>
      </c>
      <c r="J62" s="50">
        <v>1</v>
      </c>
      <c r="K62" s="49" t="s">
        <v>375</v>
      </c>
      <c r="L62" s="26" t="s">
        <v>28</v>
      </c>
      <c r="M62" s="20" t="s">
        <v>29</v>
      </c>
      <c r="N62" s="20"/>
      <c r="O62" s="13" t="s">
        <v>14</v>
      </c>
      <c r="P62" s="13" t="s">
        <v>15</v>
      </c>
      <c r="Q62" s="22" t="s">
        <v>364</v>
      </c>
      <c r="R62" s="22" t="s">
        <v>648</v>
      </c>
      <c r="S62" s="16" t="s">
        <v>649</v>
      </c>
      <c r="T62" s="13" t="s">
        <v>1387</v>
      </c>
      <c r="U62" s="13" t="s">
        <v>479</v>
      </c>
      <c r="V62" s="24">
        <v>1792131286001</v>
      </c>
      <c r="W62" s="22" t="s">
        <v>503</v>
      </c>
      <c r="X62" s="22" t="s">
        <v>503</v>
      </c>
      <c r="Y62" s="22" t="s">
        <v>729</v>
      </c>
      <c r="Z62" s="13" t="s">
        <v>818</v>
      </c>
      <c r="AA62" s="41"/>
      <c r="AB62" s="45">
        <f>3807940.13+38500</f>
        <v>3846440.13</v>
      </c>
      <c r="AC62" s="29">
        <v>0</v>
      </c>
      <c r="AD62" s="41">
        <v>3807940.13</v>
      </c>
      <c r="AE62" s="29">
        <v>0</v>
      </c>
      <c r="AF62" s="29">
        <f t="shared" si="17"/>
        <v>3807940.13</v>
      </c>
      <c r="AG62" s="25">
        <v>0.12</v>
      </c>
      <c r="AH62" s="29">
        <f t="shared" ref="AH62:AI69" si="35">AD62*0.12</f>
        <v>456952.81559999997</v>
      </c>
      <c r="AI62" s="29">
        <f t="shared" si="35"/>
        <v>0</v>
      </c>
      <c r="AJ62" s="29">
        <f t="shared" ref="AJ62:AJ93" si="36">AF62*1.12</f>
        <v>4264892.9456000002</v>
      </c>
      <c r="AK62" s="29"/>
      <c r="AL62" s="29"/>
      <c r="AM62" s="29"/>
      <c r="AN62" s="41"/>
      <c r="AO62" s="41">
        <v>3807500</v>
      </c>
      <c r="AP62" s="41"/>
      <c r="AQ62" s="41">
        <v>3623242.63</v>
      </c>
      <c r="AR62" s="25">
        <v>0.14000000000000001</v>
      </c>
      <c r="AS62" s="41">
        <f>AQ62*0.14</f>
        <v>507253.96820000006</v>
      </c>
      <c r="AT62" s="41">
        <f>+AQ62*1.14</f>
        <v>4130496.5981999994</v>
      </c>
      <c r="AU62" s="41"/>
      <c r="AV62" s="41"/>
      <c r="AW62" s="41">
        <v>358672.77000000014</v>
      </c>
      <c r="AX62" s="41"/>
      <c r="AY62" s="41"/>
      <c r="AZ62" s="41"/>
      <c r="BA62" s="41"/>
      <c r="BB62" s="41"/>
      <c r="BC62" s="41"/>
      <c r="BD62" s="37"/>
      <c r="BE62" s="37"/>
      <c r="BF62" s="29">
        <f t="shared" ref="BF62:BF81" si="37">AB62-AQ62</f>
        <v>223197.5</v>
      </c>
      <c r="BG62" s="29">
        <f t="shared" ref="BG62:BG84" si="38">BF62-AW62-AZ62-BC62-BE62</f>
        <v>-135475.27000000014</v>
      </c>
      <c r="BH62" s="37" t="s">
        <v>571</v>
      </c>
      <c r="BI62" s="23">
        <v>42475</v>
      </c>
      <c r="BJ62" s="23">
        <v>42566</v>
      </c>
      <c r="BK62" s="29" t="s">
        <v>570</v>
      </c>
      <c r="BL62" s="29" t="s">
        <v>570</v>
      </c>
      <c r="BM62" s="29" t="s">
        <v>570</v>
      </c>
      <c r="BN62" s="23">
        <v>42570</v>
      </c>
      <c r="BO62" s="23">
        <v>42583</v>
      </c>
      <c r="BP62" s="23">
        <v>42591</v>
      </c>
      <c r="BQ62" s="23">
        <v>42615</v>
      </c>
      <c r="BR62" s="13" t="s">
        <v>570</v>
      </c>
      <c r="BS62" s="23">
        <v>42632</v>
      </c>
      <c r="BT62" s="23">
        <v>42636</v>
      </c>
      <c r="BU62" s="13" t="s">
        <v>570</v>
      </c>
      <c r="BV62" s="13" t="s">
        <v>570</v>
      </c>
      <c r="BW62" s="23">
        <v>42675</v>
      </c>
      <c r="BX62" s="23">
        <v>42675</v>
      </c>
      <c r="BY62" s="23" t="s">
        <v>570</v>
      </c>
      <c r="BZ62" s="23">
        <v>42675</v>
      </c>
      <c r="CA62" s="23">
        <v>42699</v>
      </c>
      <c r="CB62" s="23">
        <v>42395</v>
      </c>
      <c r="CC62" s="23" t="s">
        <v>1529</v>
      </c>
      <c r="CD62" s="23" t="s">
        <v>1533</v>
      </c>
      <c r="CE62" s="23"/>
      <c r="CF62" s="23"/>
      <c r="CG62" s="23"/>
      <c r="CH62" s="23"/>
      <c r="CI62" s="23"/>
      <c r="CJ62" s="23"/>
      <c r="CK62" s="23"/>
      <c r="CL62" s="23"/>
      <c r="CM62" s="23"/>
      <c r="CN62" s="23"/>
      <c r="CO62" s="23"/>
      <c r="CP62" s="23"/>
      <c r="CQ62" s="23"/>
      <c r="CR62" s="23"/>
      <c r="CS62" s="23"/>
      <c r="CT62" s="37" t="s">
        <v>570</v>
      </c>
      <c r="CU62" s="37" t="s">
        <v>570</v>
      </c>
      <c r="CV62" s="23">
        <v>42711</v>
      </c>
      <c r="CW62" s="30">
        <f t="shared" ref="CW62:CW67" si="39">AQ62*0.5</f>
        <v>1811621.3149999999</v>
      </c>
      <c r="CX62" s="51"/>
      <c r="CY62" s="30"/>
      <c r="CZ62" s="30"/>
      <c r="DA62" s="51"/>
      <c r="DB62" s="30"/>
      <c r="DC62" s="13"/>
      <c r="DD62" s="51"/>
      <c r="DE62" s="30"/>
      <c r="DF62" s="13"/>
      <c r="DG62" s="13"/>
      <c r="DH62" s="13"/>
      <c r="DI62" s="13"/>
      <c r="DJ62" s="13"/>
      <c r="DK62" s="13"/>
      <c r="DL62" s="13"/>
      <c r="DM62" s="13"/>
      <c r="DN62" s="13"/>
      <c r="DO62" s="13"/>
      <c r="DP62" s="13"/>
      <c r="DQ62" s="13"/>
      <c r="DR62" s="13"/>
      <c r="DS62" s="13"/>
      <c r="DT62" s="13"/>
      <c r="DU62" s="13"/>
      <c r="DV62" s="13"/>
      <c r="DW62" s="13"/>
      <c r="DX62" s="13"/>
      <c r="DY62" s="31">
        <f t="shared" ref="DY62:DY84" si="40">CW62+CZ62+DC62+DF62+DI62+DL62+DO62+DR62+DU62+DX62</f>
        <v>1811621.3149999999</v>
      </c>
      <c r="DZ62" s="13"/>
      <c r="EA62" s="13"/>
      <c r="EB62" s="13"/>
      <c r="EC62" s="13"/>
      <c r="ED62" s="13"/>
      <c r="EE62" s="13"/>
      <c r="EF62" s="13"/>
      <c r="EG62" s="13">
        <v>360</v>
      </c>
      <c r="EH62" s="13" t="s">
        <v>588</v>
      </c>
      <c r="EI62" s="23">
        <f>CV62+1</f>
        <v>42712</v>
      </c>
      <c r="EJ62" s="23">
        <f>EI62+EG62</f>
        <v>43072</v>
      </c>
      <c r="EK62" s="13"/>
      <c r="EL62" s="13"/>
      <c r="EM62" s="13"/>
      <c r="EN62" s="13">
        <v>1</v>
      </c>
      <c r="EO62" s="23">
        <v>42726</v>
      </c>
      <c r="EP62" s="23">
        <v>42880</v>
      </c>
      <c r="EQ62" s="13">
        <f>EP62-EO62</f>
        <v>154</v>
      </c>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25"/>
      <c r="FT62" s="25">
        <v>0.06</v>
      </c>
      <c r="FU62" s="25">
        <v>0.06</v>
      </c>
      <c r="FV62" s="25">
        <v>0.06</v>
      </c>
      <c r="FW62" s="25">
        <v>0.06</v>
      </c>
      <c r="FX62" s="25">
        <v>0.4</v>
      </c>
      <c r="FY62" s="25">
        <v>0.5</v>
      </c>
      <c r="FZ62" s="25">
        <v>0.53</v>
      </c>
      <c r="GA62" s="25">
        <v>0.59</v>
      </c>
      <c r="GB62" s="25">
        <v>0.66</v>
      </c>
      <c r="GC62" s="25">
        <v>0.75</v>
      </c>
      <c r="GD62" s="157">
        <v>0.94</v>
      </c>
      <c r="GE62" s="157">
        <v>0.94</v>
      </c>
      <c r="GF62" s="157">
        <v>0.94</v>
      </c>
      <c r="GG62" s="157">
        <v>0.94</v>
      </c>
      <c r="GH62" s="157">
        <v>0.98</v>
      </c>
      <c r="GI62" s="157">
        <v>0.98</v>
      </c>
      <c r="GJ62" s="157">
        <v>0.98</v>
      </c>
      <c r="GK62" s="157">
        <v>0.98</v>
      </c>
      <c r="GL62" s="157">
        <v>0.98</v>
      </c>
      <c r="GM62" s="157">
        <v>0.98</v>
      </c>
      <c r="GN62" s="157">
        <v>0.98</v>
      </c>
      <c r="GO62" s="157">
        <v>1</v>
      </c>
      <c r="GP62" s="157">
        <v>1</v>
      </c>
      <c r="GQ62" s="157">
        <v>1</v>
      </c>
      <c r="GR62" s="157">
        <v>1</v>
      </c>
      <c r="GS62" s="157">
        <v>1</v>
      </c>
      <c r="GT62" s="157">
        <v>1</v>
      </c>
      <c r="GU62" s="157">
        <v>1</v>
      </c>
      <c r="GV62" s="25" t="s">
        <v>1588</v>
      </c>
      <c r="GW62" s="25" t="s">
        <v>1588</v>
      </c>
      <c r="GX62" s="25" t="s">
        <v>1588</v>
      </c>
      <c r="GY62" s="25" t="s">
        <v>1588</v>
      </c>
      <c r="GZ62" s="25" t="s">
        <v>1588</v>
      </c>
      <c r="HA62" s="25" t="s">
        <v>1588</v>
      </c>
      <c r="HB62" s="25" t="s">
        <v>1588</v>
      </c>
      <c r="HC62" s="25" t="s">
        <v>1588</v>
      </c>
      <c r="HD62" s="25" t="s">
        <v>1588</v>
      </c>
      <c r="HE62" s="25" t="s">
        <v>1588</v>
      </c>
      <c r="HF62" s="25" t="s">
        <v>1588</v>
      </c>
      <c r="HG62" s="25" t="s">
        <v>1588</v>
      </c>
      <c r="HH62" s="25" t="s">
        <v>1588</v>
      </c>
      <c r="HI62" s="158" t="s">
        <v>1632</v>
      </c>
      <c r="HJ62" s="25" t="s">
        <v>1682</v>
      </c>
      <c r="HK62" s="25" t="s">
        <v>1688</v>
      </c>
      <c r="HL62" s="25" t="s">
        <v>1700</v>
      </c>
      <c r="HM62" s="25" t="s">
        <v>1728</v>
      </c>
      <c r="HN62" s="25" t="s">
        <v>1794</v>
      </c>
      <c r="HO62" s="25" t="s">
        <v>1838</v>
      </c>
      <c r="HP62" s="25"/>
      <c r="HQ62" s="25"/>
      <c r="HR62" s="25"/>
      <c r="HS62" s="25"/>
      <c r="HT62" s="25"/>
      <c r="HU62" s="13" t="s">
        <v>1225</v>
      </c>
      <c r="HV62" s="13"/>
      <c r="HW62" s="32"/>
      <c r="HX62" s="55"/>
      <c r="HY62" s="55"/>
      <c r="HZ62" s="55"/>
      <c r="IA62" s="55"/>
      <c r="IB62" s="55"/>
      <c r="IC62" s="55"/>
      <c r="ID62" s="55"/>
      <c r="IE62" s="55"/>
      <c r="IF62" s="107">
        <v>3807940.13</v>
      </c>
      <c r="IG62" s="107"/>
      <c r="IH62" s="250">
        <f t="shared" ref="IH62:IH93" si="41">AK62-IG62</f>
        <v>0</v>
      </c>
      <c r="II62" s="55"/>
      <c r="IJ62" s="55"/>
      <c r="IK62" s="55"/>
      <c r="IL62" s="55"/>
      <c r="IM62" s="55"/>
      <c r="IN62" s="55"/>
      <c r="IO62" s="55"/>
      <c r="IP62" s="55"/>
      <c r="IQ62" s="55"/>
      <c r="IR62" s="55"/>
      <c r="IS62" s="55"/>
      <c r="IT62" s="55"/>
      <c r="IU62" s="55"/>
      <c r="IV62" s="55"/>
      <c r="IW62" s="55"/>
      <c r="IX62" s="55"/>
      <c r="IY62" s="55"/>
      <c r="IZ62" s="55"/>
      <c r="JA62" s="55"/>
      <c r="JB62" s="55"/>
      <c r="JC62" s="55"/>
      <c r="JD62" s="55">
        <v>2019</v>
      </c>
    </row>
    <row r="63" spans="1:264" s="5" customFormat="1" ht="36.75" hidden="1" customHeight="1">
      <c r="A63" s="26" t="s">
        <v>26</v>
      </c>
      <c r="B63" s="26" t="s">
        <v>27</v>
      </c>
      <c r="C63" s="13" t="s">
        <v>352</v>
      </c>
      <c r="D63" s="13" t="s">
        <v>381</v>
      </c>
      <c r="E63" s="16" t="s">
        <v>353</v>
      </c>
      <c r="F63" s="13" t="s">
        <v>353</v>
      </c>
      <c r="G63" s="39" t="s">
        <v>354</v>
      </c>
      <c r="H63" s="13" t="s">
        <v>1557</v>
      </c>
      <c r="I63" s="21" t="s">
        <v>31</v>
      </c>
      <c r="J63" s="40">
        <v>2</v>
      </c>
      <c r="K63" s="49" t="s">
        <v>375</v>
      </c>
      <c r="L63" s="26" t="s">
        <v>30</v>
      </c>
      <c r="M63" s="20" t="s">
        <v>31</v>
      </c>
      <c r="N63" s="20"/>
      <c r="O63" s="13" t="s">
        <v>3</v>
      </c>
      <c r="P63" s="13" t="s">
        <v>4</v>
      </c>
      <c r="Q63" s="22" t="s">
        <v>1118</v>
      </c>
      <c r="R63" s="22" t="s">
        <v>728</v>
      </c>
      <c r="S63" s="13" t="s">
        <v>386</v>
      </c>
      <c r="T63" s="13" t="s">
        <v>1387</v>
      </c>
      <c r="U63" s="13" t="s">
        <v>477</v>
      </c>
      <c r="V63" s="22" t="s">
        <v>1041</v>
      </c>
      <c r="W63" s="22" t="s">
        <v>503</v>
      </c>
      <c r="X63" s="22" t="s">
        <v>503</v>
      </c>
      <c r="Y63" s="22" t="s">
        <v>729</v>
      </c>
      <c r="Z63" s="13" t="s">
        <v>1040</v>
      </c>
      <c r="AA63" s="41"/>
      <c r="AB63" s="45">
        <v>58829.48</v>
      </c>
      <c r="AC63" s="29">
        <v>0</v>
      </c>
      <c r="AD63" s="41">
        <v>58829.48</v>
      </c>
      <c r="AE63" s="29">
        <v>0</v>
      </c>
      <c r="AF63" s="29">
        <f t="shared" si="17"/>
        <v>58829.48</v>
      </c>
      <c r="AG63" s="25">
        <v>0.12</v>
      </c>
      <c r="AH63" s="29">
        <f t="shared" si="35"/>
        <v>7059.5376000000006</v>
      </c>
      <c r="AI63" s="29">
        <f t="shared" si="35"/>
        <v>0</v>
      </c>
      <c r="AJ63" s="29">
        <f t="shared" si="36"/>
        <v>65889.017600000006</v>
      </c>
      <c r="AK63" s="29">
        <v>58000</v>
      </c>
      <c r="AL63" s="126">
        <f>AB63-AK63</f>
        <v>829.4800000000032</v>
      </c>
      <c r="AM63" s="29"/>
      <c r="AN63" s="41"/>
      <c r="AO63" s="41">
        <v>58829.48</v>
      </c>
      <c r="AP63" s="41"/>
      <c r="AQ63" s="41">
        <v>58000</v>
      </c>
      <c r="AR63" s="25">
        <v>0.14000000000000001</v>
      </c>
      <c r="AS63" s="41">
        <f>AQ63*0.14</f>
        <v>8120.0000000000009</v>
      </c>
      <c r="AT63" s="41">
        <f>+AQ63*1.14</f>
        <v>66120</v>
      </c>
      <c r="AU63" s="41"/>
      <c r="AV63" s="41"/>
      <c r="AW63" s="41"/>
      <c r="AX63" s="41"/>
      <c r="AY63" s="41"/>
      <c r="AZ63" s="41"/>
      <c r="BA63" s="41"/>
      <c r="BB63" s="41"/>
      <c r="BC63" s="41"/>
      <c r="BD63" s="37"/>
      <c r="BE63" s="37"/>
      <c r="BF63" s="29">
        <f t="shared" si="37"/>
        <v>829.4800000000032</v>
      </c>
      <c r="BG63" s="29">
        <f t="shared" si="38"/>
        <v>829.4800000000032</v>
      </c>
      <c r="BH63" s="37" t="s">
        <v>594</v>
      </c>
      <c r="BI63" s="29" t="s">
        <v>570</v>
      </c>
      <c r="BJ63" s="29" t="s">
        <v>570</v>
      </c>
      <c r="BK63" s="29" t="s">
        <v>570</v>
      </c>
      <c r="BL63" s="29" t="s">
        <v>570</v>
      </c>
      <c r="BM63" s="29" t="s">
        <v>570</v>
      </c>
      <c r="BN63" s="23">
        <v>42254</v>
      </c>
      <c r="BO63" s="23">
        <v>42259</v>
      </c>
      <c r="BP63" s="23">
        <v>42262</v>
      </c>
      <c r="BQ63" s="23">
        <v>42283</v>
      </c>
      <c r="BR63" s="13" t="s">
        <v>570</v>
      </c>
      <c r="BS63" s="23">
        <v>42298</v>
      </c>
      <c r="BT63" s="23">
        <v>42307</v>
      </c>
      <c r="BU63" s="13" t="s">
        <v>570</v>
      </c>
      <c r="BV63" s="13" t="s">
        <v>570</v>
      </c>
      <c r="BW63" s="224" t="s">
        <v>570</v>
      </c>
      <c r="BX63" s="23">
        <v>42349</v>
      </c>
      <c r="BY63" s="13" t="s">
        <v>570</v>
      </c>
      <c r="BZ63" s="13" t="s">
        <v>503</v>
      </c>
      <c r="CA63" s="23">
        <v>42359</v>
      </c>
      <c r="CB63" s="224" t="s">
        <v>570</v>
      </c>
      <c r="CC63" s="224" t="s">
        <v>570</v>
      </c>
      <c r="CD63" s="224" t="s">
        <v>570</v>
      </c>
      <c r="CE63" s="23"/>
      <c r="CF63" s="127" t="s">
        <v>829</v>
      </c>
      <c r="CG63" s="23"/>
      <c r="CH63" s="23"/>
      <c r="CI63" s="23"/>
      <c r="CJ63" s="23"/>
      <c r="CK63" s="23"/>
      <c r="CL63" s="23"/>
      <c r="CM63" s="23"/>
      <c r="CN63" s="23"/>
      <c r="CO63" s="23"/>
      <c r="CP63" s="23"/>
      <c r="CQ63" s="23"/>
      <c r="CR63" s="127" t="s">
        <v>829</v>
      </c>
      <c r="CS63" s="13" t="s">
        <v>570</v>
      </c>
      <c r="CT63" s="37" t="s">
        <v>452</v>
      </c>
      <c r="CU63" s="25">
        <v>0.05</v>
      </c>
      <c r="CV63" s="23">
        <v>42543</v>
      </c>
      <c r="CW63" s="30">
        <f t="shared" si="39"/>
        <v>29000</v>
      </c>
      <c r="CX63" s="184" t="s">
        <v>1402</v>
      </c>
      <c r="CY63" s="23">
        <v>42886</v>
      </c>
      <c r="CZ63" s="30">
        <f>25080+32920-29000</f>
        <v>29000</v>
      </c>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31">
        <f t="shared" si="40"/>
        <v>58000</v>
      </c>
      <c r="DZ63" s="13"/>
      <c r="EA63" s="13"/>
      <c r="EB63" s="13"/>
      <c r="EC63" s="13"/>
      <c r="ED63" s="13"/>
      <c r="EE63" s="13"/>
      <c r="EF63" s="13"/>
      <c r="EG63" s="13">
        <v>120</v>
      </c>
      <c r="EH63" s="13" t="s">
        <v>588</v>
      </c>
      <c r="EI63" s="23">
        <f>CV63+1</f>
        <v>42544</v>
      </c>
      <c r="EJ63" s="23">
        <f>EI63+EG63</f>
        <v>42664</v>
      </c>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25">
        <v>0.1</v>
      </c>
      <c r="FR63" s="25">
        <v>0.4</v>
      </c>
      <c r="FS63" s="25">
        <v>0.6</v>
      </c>
      <c r="FT63" s="25">
        <v>0.8</v>
      </c>
      <c r="FU63" s="25">
        <v>1</v>
      </c>
      <c r="FV63" s="25">
        <v>1</v>
      </c>
      <c r="FW63" s="25">
        <v>1</v>
      </c>
      <c r="FX63" s="25">
        <v>1</v>
      </c>
      <c r="FY63" s="25">
        <v>1</v>
      </c>
      <c r="FZ63" s="25">
        <v>1</v>
      </c>
      <c r="GA63" s="25">
        <v>1</v>
      </c>
      <c r="GB63" s="25">
        <v>1</v>
      </c>
      <c r="GC63" s="25">
        <v>1</v>
      </c>
      <c r="GD63" s="25">
        <v>1</v>
      </c>
      <c r="GE63" s="25">
        <v>1</v>
      </c>
      <c r="GF63" s="25">
        <v>1</v>
      </c>
      <c r="GG63" s="25">
        <v>1</v>
      </c>
      <c r="GH63" s="25">
        <v>1</v>
      </c>
      <c r="GI63" s="25">
        <v>1</v>
      </c>
      <c r="GJ63" s="25">
        <v>1</v>
      </c>
      <c r="GK63" s="25">
        <v>1</v>
      </c>
      <c r="GL63" s="25">
        <v>1</v>
      </c>
      <c r="GM63" s="25">
        <v>1</v>
      </c>
      <c r="GN63" s="25">
        <v>1</v>
      </c>
      <c r="GO63" s="25">
        <v>1</v>
      </c>
      <c r="GP63" s="25">
        <v>1</v>
      </c>
      <c r="GQ63" s="25">
        <v>1</v>
      </c>
      <c r="GR63" s="25">
        <v>1</v>
      </c>
      <c r="GS63" s="25">
        <v>1</v>
      </c>
      <c r="GT63" s="25">
        <v>1</v>
      </c>
      <c r="GU63" s="25">
        <v>1</v>
      </c>
      <c r="GV63" s="25" t="s">
        <v>455</v>
      </c>
      <c r="GW63" s="25" t="s">
        <v>1588</v>
      </c>
      <c r="GX63" s="25" t="s">
        <v>1588</v>
      </c>
      <c r="GY63" s="25" t="s">
        <v>1588</v>
      </c>
      <c r="GZ63" s="25" t="s">
        <v>455</v>
      </c>
      <c r="HA63" s="25" t="s">
        <v>455</v>
      </c>
      <c r="HB63" s="25" t="s">
        <v>455</v>
      </c>
      <c r="HC63" s="25" t="s">
        <v>455</v>
      </c>
      <c r="HD63" s="25" t="s">
        <v>455</v>
      </c>
      <c r="HE63" s="25" t="s">
        <v>455</v>
      </c>
      <c r="HF63" s="25" t="s">
        <v>455</v>
      </c>
      <c r="HG63" s="25" t="s">
        <v>455</v>
      </c>
      <c r="HH63" s="25" t="s">
        <v>455</v>
      </c>
      <c r="HI63" s="25"/>
      <c r="HJ63" s="25"/>
      <c r="HK63" s="25"/>
      <c r="HL63" s="25"/>
      <c r="HM63" s="25"/>
      <c r="HN63" s="25"/>
      <c r="HO63" s="25"/>
      <c r="HP63" s="25"/>
      <c r="HQ63" s="25"/>
      <c r="HR63" s="25"/>
      <c r="HS63" s="25"/>
      <c r="HT63" s="25"/>
      <c r="HU63" s="13" t="s">
        <v>1226</v>
      </c>
      <c r="HV63" s="13"/>
      <c r="HW63" s="32"/>
      <c r="HX63" s="55"/>
      <c r="HY63" s="55"/>
      <c r="HZ63" s="55"/>
      <c r="IA63" s="55"/>
      <c r="IB63" s="55"/>
      <c r="IC63" s="55"/>
      <c r="ID63" s="55"/>
      <c r="IE63" s="55"/>
      <c r="IF63" s="107">
        <v>58829.48</v>
      </c>
      <c r="IG63" s="107">
        <v>58000</v>
      </c>
      <c r="IH63" s="250">
        <f t="shared" si="41"/>
        <v>0</v>
      </c>
      <c r="II63" s="55"/>
      <c r="IJ63" s="55"/>
      <c r="IK63" s="55"/>
      <c r="IL63" s="55"/>
      <c r="IM63" s="55"/>
      <c r="IN63" s="55"/>
      <c r="IO63" s="55"/>
      <c r="IP63" s="55"/>
      <c r="IQ63" s="55"/>
      <c r="IR63" s="55"/>
      <c r="IS63" s="55"/>
      <c r="IT63" s="55"/>
      <c r="IU63" s="55"/>
      <c r="IV63" s="55"/>
      <c r="IW63" s="55"/>
      <c r="IX63" s="55"/>
      <c r="IY63" s="55"/>
      <c r="IZ63" s="55"/>
      <c r="JA63" s="55"/>
      <c r="JB63" s="55"/>
      <c r="JC63" s="55"/>
      <c r="JD63" s="55">
        <v>2018</v>
      </c>
    </row>
    <row r="64" spans="1:264" s="5" customFormat="1" ht="24.95" hidden="1" customHeight="1">
      <c r="A64" s="26" t="s">
        <v>0</v>
      </c>
      <c r="B64" s="26" t="s">
        <v>27</v>
      </c>
      <c r="C64" s="13" t="s">
        <v>349</v>
      </c>
      <c r="D64" s="13" t="s">
        <v>382</v>
      </c>
      <c r="E64" s="13" t="s">
        <v>350</v>
      </c>
      <c r="F64" s="13" t="s">
        <v>350</v>
      </c>
      <c r="G64" s="39" t="s">
        <v>351</v>
      </c>
      <c r="H64" s="13" t="s">
        <v>1558</v>
      </c>
      <c r="I64" s="21" t="s">
        <v>33</v>
      </c>
      <c r="J64" s="40">
        <v>2</v>
      </c>
      <c r="K64" s="49" t="s">
        <v>375</v>
      </c>
      <c r="L64" s="26" t="s">
        <v>32</v>
      </c>
      <c r="M64" s="20" t="s">
        <v>33</v>
      </c>
      <c r="N64" s="20"/>
      <c r="O64" s="13" t="s">
        <v>3</v>
      </c>
      <c r="P64" s="13" t="s">
        <v>4</v>
      </c>
      <c r="Q64" s="22" t="s">
        <v>1118</v>
      </c>
      <c r="R64" s="26" t="s">
        <v>32</v>
      </c>
      <c r="S64" s="13" t="s">
        <v>592</v>
      </c>
      <c r="T64" s="13" t="s">
        <v>1387</v>
      </c>
      <c r="U64" s="13" t="s">
        <v>479</v>
      </c>
      <c r="V64" s="24">
        <v>1792131286001</v>
      </c>
      <c r="W64" s="22" t="s">
        <v>503</v>
      </c>
      <c r="X64" s="22" t="s">
        <v>503</v>
      </c>
      <c r="Y64" s="13" t="s">
        <v>593</v>
      </c>
      <c r="Z64" s="22" t="s">
        <v>503</v>
      </c>
      <c r="AA64" s="41"/>
      <c r="AB64" s="45">
        <v>985000</v>
      </c>
      <c r="AC64" s="29">
        <v>0</v>
      </c>
      <c r="AD64" s="41">
        <v>984999.99999999988</v>
      </c>
      <c r="AE64" s="29">
        <v>0</v>
      </c>
      <c r="AF64" s="29">
        <f t="shared" si="17"/>
        <v>984999.99999999988</v>
      </c>
      <c r="AG64" s="25">
        <v>0.12</v>
      </c>
      <c r="AH64" s="29">
        <f t="shared" si="35"/>
        <v>118199.99999999999</v>
      </c>
      <c r="AI64" s="29">
        <f t="shared" si="35"/>
        <v>0</v>
      </c>
      <c r="AJ64" s="29">
        <f t="shared" si="36"/>
        <v>1103200</v>
      </c>
      <c r="AK64" s="29">
        <v>589251.44999999995</v>
      </c>
      <c r="AL64" s="126">
        <f>AB64-AK64</f>
        <v>395748.55000000005</v>
      </c>
      <c r="AM64" s="29"/>
      <c r="AN64" s="41"/>
      <c r="AO64" s="41">
        <v>689843.77</v>
      </c>
      <c r="AP64" s="41"/>
      <c r="AQ64" s="41">
        <v>689759.84</v>
      </c>
      <c r="AR64" s="25">
        <v>0.14000000000000001</v>
      </c>
      <c r="AS64" s="41">
        <f>AQ64*0.14</f>
        <v>96566.377600000007</v>
      </c>
      <c r="AT64" s="41">
        <f>AQ64*1.14</f>
        <v>786326.21759999986</v>
      </c>
      <c r="AU64" s="41"/>
      <c r="AV64" s="41"/>
      <c r="AW64" s="41"/>
      <c r="AX64" s="41"/>
      <c r="AY64" s="41"/>
      <c r="AZ64" s="41"/>
      <c r="BA64" s="41"/>
      <c r="BB64" s="41"/>
      <c r="BC64" s="39">
        <v>67897.899999999994</v>
      </c>
      <c r="BD64" s="37">
        <f>BC64*0.14</f>
        <v>9505.7060000000001</v>
      </c>
      <c r="BE64" s="37"/>
      <c r="BF64" s="29">
        <f t="shared" si="37"/>
        <v>295240.16000000003</v>
      </c>
      <c r="BG64" s="29">
        <f t="shared" si="38"/>
        <v>227342.26000000004</v>
      </c>
      <c r="BH64" s="37" t="s">
        <v>594</v>
      </c>
      <c r="BI64" s="29" t="s">
        <v>570</v>
      </c>
      <c r="BJ64" s="29" t="s">
        <v>570</v>
      </c>
      <c r="BK64" s="29" t="s">
        <v>570</v>
      </c>
      <c r="BL64" s="29" t="s">
        <v>570</v>
      </c>
      <c r="BM64" s="29" t="s">
        <v>570</v>
      </c>
      <c r="BN64" s="23">
        <v>42584</v>
      </c>
      <c r="BO64" s="23">
        <v>42604</v>
      </c>
      <c r="BP64" s="23">
        <v>42608</v>
      </c>
      <c r="BQ64" s="23">
        <v>42613</v>
      </c>
      <c r="BR64" s="13" t="s">
        <v>570</v>
      </c>
      <c r="BS64" s="23">
        <v>42628</v>
      </c>
      <c r="BT64" s="23">
        <v>42635</v>
      </c>
      <c r="BU64" s="13" t="s">
        <v>570</v>
      </c>
      <c r="BV64" s="13" t="s">
        <v>570</v>
      </c>
      <c r="BW64" s="224" t="s">
        <v>570</v>
      </c>
      <c r="BX64" s="23">
        <v>42642</v>
      </c>
      <c r="BY64" s="13" t="s">
        <v>570</v>
      </c>
      <c r="BZ64" s="23">
        <v>42646</v>
      </c>
      <c r="CA64" s="23">
        <v>42661</v>
      </c>
      <c r="CB64" s="224" t="s">
        <v>570</v>
      </c>
      <c r="CC64" s="224" t="s">
        <v>570</v>
      </c>
      <c r="CD64" s="224" t="s">
        <v>570</v>
      </c>
      <c r="CE64" s="23"/>
      <c r="CF64" s="127" t="s">
        <v>829</v>
      </c>
      <c r="CG64" s="23"/>
      <c r="CH64" s="23"/>
      <c r="CI64" s="23"/>
      <c r="CJ64" s="23"/>
      <c r="CK64" s="23"/>
      <c r="CL64" s="23"/>
      <c r="CM64" s="23"/>
      <c r="CN64" s="23"/>
      <c r="CO64" s="23"/>
      <c r="CP64" s="23"/>
      <c r="CQ64" s="23"/>
      <c r="CR64" s="127" t="s">
        <v>829</v>
      </c>
      <c r="CS64" s="13" t="s">
        <v>570</v>
      </c>
      <c r="CT64" s="29" t="s">
        <v>570</v>
      </c>
      <c r="CU64" s="29" t="s">
        <v>570</v>
      </c>
      <c r="CV64" s="23">
        <v>42681</v>
      </c>
      <c r="CW64" s="30">
        <f t="shared" si="39"/>
        <v>344879.92</v>
      </c>
      <c r="CX64" s="13"/>
      <c r="CY64" s="13"/>
      <c r="CZ64" s="13"/>
      <c r="DA64" s="13"/>
      <c r="DB64" s="13"/>
      <c r="DC64" s="37"/>
      <c r="DD64" s="13"/>
      <c r="DE64" s="13"/>
      <c r="DF64" s="13"/>
      <c r="DG64" s="13"/>
      <c r="DH64" s="13"/>
      <c r="DI64" s="13"/>
      <c r="DJ64" s="13"/>
      <c r="DK64" s="13"/>
      <c r="DL64" s="13"/>
      <c r="DM64" s="13"/>
      <c r="DN64" s="13"/>
      <c r="DO64" s="13"/>
      <c r="DP64" s="13"/>
      <c r="DQ64" s="13"/>
      <c r="DR64" s="13"/>
      <c r="DS64" s="13"/>
      <c r="DT64" s="13"/>
      <c r="DU64" s="13"/>
      <c r="DV64" s="13"/>
      <c r="DW64" s="13"/>
      <c r="DX64" s="13"/>
      <c r="DY64" s="31">
        <f t="shared" si="40"/>
        <v>344879.92</v>
      </c>
      <c r="DZ64" s="13"/>
      <c r="EA64" s="13"/>
      <c r="EB64" s="13"/>
      <c r="EC64" s="13"/>
      <c r="ED64" s="13"/>
      <c r="EE64" s="13"/>
      <c r="EF64" s="13"/>
      <c r="EG64" s="13">
        <v>365</v>
      </c>
      <c r="EH64" s="13" t="s">
        <v>588</v>
      </c>
      <c r="EI64" s="23">
        <f t="shared" ref="EI64:EI81" si="42">CV64+1</f>
        <v>42682</v>
      </c>
      <c r="EJ64" s="23">
        <f t="shared" ref="EJ64:EJ81" si="43">EI64+EG64</f>
        <v>43047</v>
      </c>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25">
        <v>0</v>
      </c>
      <c r="FI64" s="25">
        <v>0</v>
      </c>
      <c r="FJ64" s="25">
        <v>0</v>
      </c>
      <c r="FK64" s="25">
        <v>0</v>
      </c>
      <c r="FL64" s="25">
        <v>0</v>
      </c>
      <c r="FM64" s="25">
        <v>0</v>
      </c>
      <c r="FN64" s="25">
        <v>0</v>
      </c>
      <c r="FO64" s="25">
        <v>0</v>
      </c>
      <c r="FP64" s="25">
        <v>0</v>
      </c>
      <c r="FQ64" s="25">
        <v>0</v>
      </c>
      <c r="FR64" s="25">
        <v>0.05</v>
      </c>
      <c r="FS64" s="25">
        <v>0.2</v>
      </c>
      <c r="FT64" s="25">
        <v>0.2</v>
      </c>
      <c r="FU64" s="25">
        <v>0.2</v>
      </c>
      <c r="FV64" s="25">
        <v>0.2</v>
      </c>
      <c r="FW64" s="25">
        <v>0.2</v>
      </c>
      <c r="FX64" s="25">
        <v>0.2</v>
      </c>
      <c r="FY64" s="25">
        <v>0.73</v>
      </c>
      <c r="FZ64" s="25">
        <v>0.73</v>
      </c>
      <c r="GA64" s="25">
        <v>1</v>
      </c>
      <c r="GB64" s="25">
        <v>1</v>
      </c>
      <c r="GC64" s="25">
        <v>1</v>
      </c>
      <c r="GD64" s="25">
        <v>1</v>
      </c>
      <c r="GE64" s="25">
        <v>1</v>
      </c>
      <c r="GF64" s="25">
        <v>1</v>
      </c>
      <c r="GG64" s="25">
        <v>1</v>
      </c>
      <c r="GH64" s="25">
        <v>1</v>
      </c>
      <c r="GI64" s="25">
        <v>1</v>
      </c>
      <c r="GJ64" s="25">
        <v>1</v>
      </c>
      <c r="GK64" s="25">
        <v>1</v>
      </c>
      <c r="GL64" s="25">
        <v>1</v>
      </c>
      <c r="GM64" s="25">
        <v>1</v>
      </c>
      <c r="GN64" s="25">
        <v>1</v>
      </c>
      <c r="GO64" s="25">
        <v>1</v>
      </c>
      <c r="GP64" s="25">
        <v>1</v>
      </c>
      <c r="GQ64" s="25">
        <v>1</v>
      </c>
      <c r="GR64" s="25">
        <v>1</v>
      </c>
      <c r="GS64" s="25">
        <v>1</v>
      </c>
      <c r="GT64" s="25">
        <v>1</v>
      </c>
      <c r="GU64" s="25">
        <v>1</v>
      </c>
      <c r="GV64" s="25" t="s">
        <v>1588</v>
      </c>
      <c r="GW64" s="25" t="s">
        <v>1588</v>
      </c>
      <c r="GX64" s="25" t="s">
        <v>1588</v>
      </c>
      <c r="GY64" s="25" t="s">
        <v>1588</v>
      </c>
      <c r="GZ64" s="25" t="s">
        <v>1588</v>
      </c>
      <c r="HA64" s="25" t="s">
        <v>455</v>
      </c>
      <c r="HB64" s="25" t="s">
        <v>455</v>
      </c>
      <c r="HC64" s="25" t="s">
        <v>455</v>
      </c>
      <c r="HD64" s="25" t="s">
        <v>455</v>
      </c>
      <c r="HE64" s="25" t="s">
        <v>455</v>
      </c>
      <c r="HF64" s="25" t="s">
        <v>455</v>
      </c>
      <c r="HG64" s="25" t="s">
        <v>455</v>
      </c>
      <c r="HH64" s="25" t="s">
        <v>455</v>
      </c>
      <c r="HI64" s="25"/>
      <c r="HJ64" s="25"/>
      <c r="HK64" s="25"/>
      <c r="HL64" s="25"/>
      <c r="HM64" s="25" t="s">
        <v>1730</v>
      </c>
      <c r="HN64" s="25" t="s">
        <v>1784</v>
      </c>
      <c r="HO64" s="25"/>
      <c r="HP64" s="25"/>
      <c r="HQ64" s="25"/>
      <c r="HR64" s="25"/>
      <c r="HS64" s="25"/>
      <c r="HT64" s="25"/>
      <c r="HU64" s="13"/>
      <c r="HV64" s="13"/>
      <c r="HW64" s="13" t="s">
        <v>1203</v>
      </c>
      <c r="HX64" s="55"/>
      <c r="HY64" s="55"/>
      <c r="HZ64" s="55"/>
      <c r="IA64" s="55"/>
      <c r="IB64" s="55"/>
      <c r="IC64" s="55"/>
      <c r="ID64" s="55"/>
      <c r="IE64" s="55"/>
      <c r="IF64" s="107">
        <v>985000</v>
      </c>
      <c r="IG64" s="107">
        <v>589251.44999999995</v>
      </c>
      <c r="IH64" s="250">
        <f t="shared" si="41"/>
        <v>0</v>
      </c>
      <c r="II64" s="55"/>
      <c r="IJ64" s="55"/>
      <c r="IK64" s="55"/>
      <c r="IL64" s="55"/>
      <c r="IM64" s="55"/>
      <c r="IN64" s="55"/>
      <c r="IO64" s="55"/>
      <c r="IP64" s="55"/>
      <c r="IQ64" s="55"/>
      <c r="IR64" s="55"/>
      <c r="IS64" s="55"/>
      <c r="IT64" s="55"/>
      <c r="IU64" s="55"/>
      <c r="IV64" s="55"/>
      <c r="IW64" s="55"/>
      <c r="IX64" s="55"/>
      <c r="IY64" s="55"/>
      <c r="IZ64" s="55"/>
      <c r="JA64" s="55"/>
      <c r="JB64" s="55"/>
      <c r="JC64" s="55"/>
      <c r="JD64" s="55">
        <v>2017</v>
      </c>
    </row>
    <row r="65" spans="1:264" s="5" customFormat="1" ht="24.95" hidden="1" customHeight="1">
      <c r="A65" s="26" t="s">
        <v>0</v>
      </c>
      <c r="B65" s="26" t="s">
        <v>27</v>
      </c>
      <c r="C65" s="13" t="s">
        <v>349</v>
      </c>
      <c r="D65" s="13" t="s">
        <v>382</v>
      </c>
      <c r="E65" s="13" t="s">
        <v>350</v>
      </c>
      <c r="F65" s="13" t="s">
        <v>350</v>
      </c>
      <c r="G65" s="39" t="s">
        <v>351</v>
      </c>
      <c r="H65" s="13" t="s">
        <v>1558</v>
      </c>
      <c r="I65" s="21" t="s">
        <v>35</v>
      </c>
      <c r="J65" s="159">
        <v>3</v>
      </c>
      <c r="K65" s="49" t="s">
        <v>375</v>
      </c>
      <c r="L65" s="26" t="s">
        <v>34</v>
      </c>
      <c r="M65" s="20" t="s">
        <v>35</v>
      </c>
      <c r="N65" s="20"/>
      <c r="O65" s="13" t="s">
        <v>3</v>
      </c>
      <c r="P65" s="13" t="s">
        <v>4</v>
      </c>
      <c r="Q65" s="22" t="s">
        <v>364</v>
      </c>
      <c r="R65" s="26" t="s">
        <v>34</v>
      </c>
      <c r="S65" s="13" t="s">
        <v>562</v>
      </c>
      <c r="T65" s="13" t="s">
        <v>1387</v>
      </c>
      <c r="U65" s="13" t="s">
        <v>479</v>
      </c>
      <c r="V65" s="13" t="s">
        <v>702</v>
      </c>
      <c r="W65" s="22" t="s">
        <v>503</v>
      </c>
      <c r="X65" s="22" t="s">
        <v>503</v>
      </c>
      <c r="Y65" s="13" t="s">
        <v>703</v>
      </c>
      <c r="Z65" s="22" t="s">
        <v>503</v>
      </c>
      <c r="AA65" s="41"/>
      <c r="AB65" s="45">
        <v>1278865.4099999999</v>
      </c>
      <c r="AC65" s="29">
        <v>0</v>
      </c>
      <c r="AD65" s="41">
        <v>1278865.4099999999</v>
      </c>
      <c r="AE65" s="29">
        <v>0</v>
      </c>
      <c r="AF65" s="29">
        <f t="shared" si="17"/>
        <v>1278865.4099999999</v>
      </c>
      <c r="AG65" s="25">
        <v>0.12</v>
      </c>
      <c r="AH65" s="29">
        <f t="shared" si="35"/>
        <v>153463.8492</v>
      </c>
      <c r="AI65" s="29">
        <f t="shared" si="35"/>
        <v>0</v>
      </c>
      <c r="AJ65" s="29">
        <f t="shared" si="36"/>
        <v>1432329.2592</v>
      </c>
      <c r="AK65" s="29">
        <v>1308247.98</v>
      </c>
      <c r="AL65" s="126">
        <f>AB65-AK65</f>
        <v>-29382.570000000065</v>
      </c>
      <c r="AM65" s="29"/>
      <c r="AN65" s="41"/>
      <c r="AO65" s="41">
        <v>1278865.4099999999</v>
      </c>
      <c r="AP65" s="41"/>
      <c r="AQ65" s="41">
        <v>1142574.6599999999</v>
      </c>
      <c r="AR65" s="25">
        <v>0.14000000000000001</v>
      </c>
      <c r="AS65" s="41">
        <f>AQ65*0.14</f>
        <v>159960.45240000001</v>
      </c>
      <c r="AT65" s="41">
        <f>AQ65*1.14</f>
        <v>1302535.1123999998</v>
      </c>
      <c r="AU65" s="41"/>
      <c r="AV65" s="41"/>
      <c r="AW65" s="41"/>
      <c r="AX65" s="41"/>
      <c r="AY65" s="41"/>
      <c r="AZ65" s="41"/>
      <c r="BA65" s="41"/>
      <c r="BB65" s="41"/>
      <c r="BC65" s="39">
        <v>165673.32</v>
      </c>
      <c r="BD65" s="37">
        <f>BC65*0.14</f>
        <v>23194.264800000004</v>
      </c>
      <c r="BE65" s="37"/>
      <c r="BF65" s="29">
        <f t="shared" si="37"/>
        <v>136290.75</v>
      </c>
      <c r="BG65" s="29">
        <f t="shared" si="38"/>
        <v>-29382.570000000007</v>
      </c>
      <c r="BH65" s="37" t="s">
        <v>594</v>
      </c>
      <c r="BI65" s="29" t="s">
        <v>570</v>
      </c>
      <c r="BJ65" s="29" t="s">
        <v>570</v>
      </c>
      <c r="BK65" s="29" t="s">
        <v>570</v>
      </c>
      <c r="BL65" s="29" t="s">
        <v>570</v>
      </c>
      <c r="BM65" s="29" t="s">
        <v>570</v>
      </c>
      <c r="BN65" s="23">
        <v>42285</v>
      </c>
      <c r="BO65" s="23">
        <v>42300</v>
      </c>
      <c r="BP65" s="23">
        <v>42307</v>
      </c>
      <c r="BQ65" s="23">
        <v>42318</v>
      </c>
      <c r="BR65" s="13" t="s">
        <v>570</v>
      </c>
      <c r="BS65" s="23">
        <v>42335</v>
      </c>
      <c r="BT65" s="23">
        <v>42708</v>
      </c>
      <c r="BU65" s="13" t="s">
        <v>570</v>
      </c>
      <c r="BV65" s="13" t="s">
        <v>570</v>
      </c>
      <c r="BW65" s="224" t="s">
        <v>570</v>
      </c>
      <c r="BX65" s="13" t="s">
        <v>503</v>
      </c>
      <c r="BY65" s="13" t="s">
        <v>570</v>
      </c>
      <c r="BZ65" s="13" t="s">
        <v>503</v>
      </c>
      <c r="CA65" s="23">
        <v>42352</v>
      </c>
      <c r="CB65" s="224" t="s">
        <v>570</v>
      </c>
      <c r="CC65" s="224" t="s">
        <v>570</v>
      </c>
      <c r="CD65" s="224" t="s">
        <v>570</v>
      </c>
      <c r="CE65" s="23"/>
      <c r="CF65" s="127" t="s">
        <v>829</v>
      </c>
      <c r="CG65" s="23"/>
      <c r="CH65" s="23"/>
      <c r="CI65" s="23"/>
      <c r="CJ65" s="23"/>
      <c r="CK65" s="23"/>
      <c r="CL65" s="23"/>
      <c r="CM65" s="23"/>
      <c r="CN65" s="23"/>
      <c r="CO65" s="23"/>
      <c r="CP65" s="23"/>
      <c r="CQ65" s="23"/>
      <c r="CR65" s="127" t="s">
        <v>829</v>
      </c>
      <c r="CS65" s="13" t="s">
        <v>570</v>
      </c>
      <c r="CT65" s="29" t="s">
        <v>452</v>
      </c>
      <c r="CU65" s="35">
        <v>0.05</v>
      </c>
      <c r="CV65" s="23">
        <v>42417</v>
      </c>
      <c r="CW65" s="30">
        <f t="shared" si="39"/>
        <v>571287.32999999996</v>
      </c>
      <c r="CX65" s="184" t="s">
        <v>1405</v>
      </c>
      <c r="CY65" s="23">
        <v>42865</v>
      </c>
      <c r="CZ65" s="30">
        <f>992459.3-571287.33</f>
        <v>421171.97000000009</v>
      </c>
      <c r="DA65" s="13"/>
      <c r="DB65" s="13"/>
      <c r="DC65" s="37"/>
      <c r="DD65" s="13"/>
      <c r="DE65" s="13"/>
      <c r="DF65" s="13"/>
      <c r="DG65" s="13"/>
      <c r="DH65" s="13"/>
      <c r="DI65" s="13"/>
      <c r="DJ65" s="13"/>
      <c r="DK65" s="13"/>
      <c r="DL65" s="13"/>
      <c r="DM65" s="13"/>
      <c r="DN65" s="13"/>
      <c r="DO65" s="13"/>
      <c r="DP65" s="13"/>
      <c r="DQ65" s="13"/>
      <c r="DR65" s="13"/>
      <c r="DS65" s="13"/>
      <c r="DT65" s="13"/>
      <c r="DU65" s="13"/>
      <c r="DV65" s="13"/>
      <c r="DW65" s="13"/>
      <c r="DX65" s="13"/>
      <c r="DY65" s="31">
        <f t="shared" si="40"/>
        <v>992459.3</v>
      </c>
      <c r="DZ65" s="13"/>
      <c r="EA65" s="13"/>
      <c r="EB65" s="13"/>
      <c r="EC65" s="13"/>
      <c r="ED65" s="13"/>
      <c r="EE65" s="13"/>
      <c r="EF65" s="13"/>
      <c r="EG65" s="13">
        <v>300</v>
      </c>
      <c r="EH65" s="13" t="s">
        <v>588</v>
      </c>
      <c r="EI65" s="23">
        <f t="shared" si="42"/>
        <v>42418</v>
      </c>
      <c r="EJ65" s="23">
        <f t="shared" si="43"/>
        <v>42718</v>
      </c>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25">
        <v>0.05</v>
      </c>
      <c r="FK65" s="25">
        <v>0.05</v>
      </c>
      <c r="FL65" s="25">
        <v>0.1</v>
      </c>
      <c r="FM65" s="25">
        <v>0.15</v>
      </c>
      <c r="FN65" s="25">
        <v>0.15</v>
      </c>
      <c r="FO65" s="25">
        <v>0.2</v>
      </c>
      <c r="FP65" s="25">
        <v>0.35</v>
      </c>
      <c r="FQ65" s="25">
        <v>0.45</v>
      </c>
      <c r="FR65" s="25">
        <v>0.45</v>
      </c>
      <c r="FS65" s="25">
        <v>0.55000000000000004</v>
      </c>
      <c r="FT65" s="25">
        <v>0.55000000000000004</v>
      </c>
      <c r="FU65" s="25">
        <v>0.55000000000000004</v>
      </c>
      <c r="FV65" s="25">
        <v>0.55000000000000004</v>
      </c>
      <c r="FW65" s="25">
        <v>0.9</v>
      </c>
      <c r="FX65" s="25">
        <v>0.9</v>
      </c>
      <c r="FY65" s="25">
        <v>0.9</v>
      </c>
      <c r="FZ65" s="25">
        <v>0.9</v>
      </c>
      <c r="GA65" s="25">
        <v>0.9</v>
      </c>
      <c r="GB65" s="25">
        <v>0.9</v>
      </c>
      <c r="GC65" s="25">
        <v>0.9</v>
      </c>
      <c r="GD65" s="25">
        <v>0.9</v>
      </c>
      <c r="GE65" s="25">
        <v>0.9</v>
      </c>
      <c r="GF65" s="25">
        <v>0.9</v>
      </c>
      <c r="GG65" s="25">
        <v>0.9</v>
      </c>
      <c r="GH65" s="25">
        <v>0.9</v>
      </c>
      <c r="GI65" s="25">
        <v>0.9</v>
      </c>
      <c r="GJ65" s="25">
        <v>0.9</v>
      </c>
      <c r="GK65" s="25">
        <v>0.9</v>
      </c>
      <c r="GL65" s="25">
        <v>0.9</v>
      </c>
      <c r="GM65" s="25">
        <v>0.9</v>
      </c>
      <c r="GN65" s="25">
        <v>0.9</v>
      </c>
      <c r="GO65" s="25">
        <v>1</v>
      </c>
      <c r="GP65" s="25">
        <v>1</v>
      </c>
      <c r="GQ65" s="25">
        <v>1</v>
      </c>
      <c r="GR65" s="25">
        <v>1</v>
      </c>
      <c r="GS65" s="25">
        <v>1</v>
      </c>
      <c r="GT65" s="25">
        <v>1</v>
      </c>
      <c r="GU65" s="25">
        <v>1</v>
      </c>
      <c r="GV65" s="25" t="s">
        <v>1588</v>
      </c>
      <c r="GW65" s="25" t="s">
        <v>1588</v>
      </c>
      <c r="GX65" s="25" t="s">
        <v>1588</v>
      </c>
      <c r="GY65" s="25" t="s">
        <v>1588</v>
      </c>
      <c r="GZ65" s="25" t="s">
        <v>1588</v>
      </c>
      <c r="HA65" s="25" t="s">
        <v>1588</v>
      </c>
      <c r="HB65" s="25" t="s">
        <v>1588</v>
      </c>
      <c r="HC65" s="25" t="s">
        <v>1588</v>
      </c>
      <c r="HD65" s="25" t="s">
        <v>1588</v>
      </c>
      <c r="HE65" s="25" t="s">
        <v>1588</v>
      </c>
      <c r="HF65" s="25" t="s">
        <v>1588</v>
      </c>
      <c r="HG65" s="25" t="s">
        <v>455</v>
      </c>
      <c r="HH65" s="25" t="s">
        <v>455</v>
      </c>
      <c r="HI65" s="25" t="s">
        <v>1634</v>
      </c>
      <c r="HJ65" s="25" t="s">
        <v>1680</v>
      </c>
      <c r="HK65" s="25" t="s">
        <v>1687</v>
      </c>
      <c r="HL65" s="25"/>
      <c r="HM65" s="25" t="s">
        <v>1729</v>
      </c>
      <c r="HN65" s="25" t="s">
        <v>1785</v>
      </c>
      <c r="HO65" s="25" t="s">
        <v>1841</v>
      </c>
      <c r="HP65" s="25"/>
      <c r="HQ65" s="25"/>
      <c r="HR65" s="25"/>
      <c r="HS65" s="25"/>
      <c r="HT65" s="25"/>
      <c r="HU65" s="13"/>
      <c r="HV65" s="13"/>
      <c r="HW65" s="13" t="s">
        <v>1203</v>
      </c>
      <c r="HX65" s="55"/>
      <c r="HY65" s="55"/>
      <c r="HZ65" s="55"/>
      <c r="IA65" s="55"/>
      <c r="IB65" s="55"/>
      <c r="IC65" s="55"/>
      <c r="ID65" s="55"/>
      <c r="IE65" s="55"/>
      <c r="IF65" s="107">
        <v>1278865.4099999999</v>
      </c>
      <c r="IG65" s="107"/>
      <c r="IH65" s="250">
        <f t="shared" si="41"/>
        <v>1308247.98</v>
      </c>
      <c r="II65" s="55"/>
      <c r="IJ65" s="55"/>
      <c r="IK65" s="55"/>
      <c r="IL65" s="55"/>
      <c r="IM65" s="55"/>
      <c r="IN65" s="55"/>
      <c r="IO65" s="55"/>
      <c r="IP65" s="55"/>
      <c r="IQ65" s="55"/>
      <c r="IR65" s="55"/>
      <c r="IS65" s="55"/>
      <c r="IT65" s="55"/>
      <c r="IU65" s="55"/>
      <c r="IV65" s="55"/>
      <c r="IW65" s="55"/>
      <c r="IX65" s="55"/>
      <c r="IY65" s="55"/>
      <c r="IZ65" s="55"/>
      <c r="JA65" s="55"/>
      <c r="JB65" s="55"/>
      <c r="JC65" s="55"/>
      <c r="JD65" s="55">
        <v>2019</v>
      </c>
    </row>
    <row r="66" spans="1:264" s="5" customFormat="1" ht="24.95" hidden="1" customHeight="1">
      <c r="A66" s="26" t="s">
        <v>0</v>
      </c>
      <c r="B66" s="26" t="s">
        <v>27</v>
      </c>
      <c r="C66" s="13" t="s">
        <v>352</v>
      </c>
      <c r="D66" s="13" t="s">
        <v>377</v>
      </c>
      <c r="E66" s="16" t="s">
        <v>355</v>
      </c>
      <c r="F66" s="13" t="s">
        <v>355</v>
      </c>
      <c r="G66" s="39" t="s">
        <v>354</v>
      </c>
      <c r="H66" s="13" t="s">
        <v>1558</v>
      </c>
      <c r="I66" s="21" t="s">
        <v>37</v>
      </c>
      <c r="J66" s="159">
        <v>4</v>
      </c>
      <c r="K66" s="49" t="s">
        <v>375</v>
      </c>
      <c r="L66" s="26" t="s">
        <v>36</v>
      </c>
      <c r="M66" s="20" t="s">
        <v>37</v>
      </c>
      <c r="N66" s="20"/>
      <c r="O66" s="13" t="s">
        <v>3</v>
      </c>
      <c r="P66" s="13" t="s">
        <v>4</v>
      </c>
      <c r="Q66" s="22" t="s">
        <v>1118</v>
      </c>
      <c r="R66" s="26" t="s">
        <v>36</v>
      </c>
      <c r="S66" s="13" t="s">
        <v>392</v>
      </c>
      <c r="T66" s="13" t="s">
        <v>1387</v>
      </c>
      <c r="U66" s="13" t="s">
        <v>479</v>
      </c>
      <c r="V66" s="13" t="s">
        <v>704</v>
      </c>
      <c r="W66" s="22" t="s">
        <v>503</v>
      </c>
      <c r="X66" s="22" t="s">
        <v>503</v>
      </c>
      <c r="Y66" s="13" t="s">
        <v>739</v>
      </c>
      <c r="Z66" s="22" t="s">
        <v>503</v>
      </c>
      <c r="AA66" s="41"/>
      <c r="AB66" s="45">
        <v>275000</v>
      </c>
      <c r="AC66" s="29">
        <v>0</v>
      </c>
      <c r="AD66" s="41">
        <v>275000</v>
      </c>
      <c r="AE66" s="29">
        <v>0</v>
      </c>
      <c r="AF66" s="29">
        <f t="shared" si="17"/>
        <v>275000</v>
      </c>
      <c r="AG66" s="25">
        <v>0.12</v>
      </c>
      <c r="AH66" s="29">
        <f t="shared" si="35"/>
        <v>33000</v>
      </c>
      <c r="AI66" s="29">
        <f t="shared" si="35"/>
        <v>0</v>
      </c>
      <c r="AJ66" s="29">
        <f t="shared" si="36"/>
        <v>308000.00000000006</v>
      </c>
      <c r="AK66" s="29">
        <v>260979.24</v>
      </c>
      <c r="AL66" s="126">
        <f t="shared" ref="AL66:AL75" si="44">AB66-AK66</f>
        <v>14020.760000000009</v>
      </c>
      <c r="AM66" s="29"/>
      <c r="AN66" s="41"/>
      <c r="AO66" s="41">
        <v>275000</v>
      </c>
      <c r="AP66" s="41"/>
      <c r="AQ66" s="41">
        <v>270605.48</v>
      </c>
      <c r="AR66" s="41"/>
      <c r="AS66" s="41"/>
      <c r="AT66" s="41"/>
      <c r="AU66" s="41"/>
      <c r="AV66" s="41"/>
      <c r="AW66" s="41"/>
      <c r="AX66" s="41"/>
      <c r="AY66" s="41"/>
      <c r="AZ66" s="41"/>
      <c r="BA66" s="41"/>
      <c r="BB66" s="41"/>
      <c r="BC66" s="41"/>
      <c r="BD66" s="37"/>
      <c r="BE66" s="37"/>
      <c r="BF66" s="29">
        <f t="shared" si="37"/>
        <v>4394.5200000000186</v>
      </c>
      <c r="BG66" s="29">
        <f t="shared" si="38"/>
        <v>4394.5200000000186</v>
      </c>
      <c r="BH66" s="37" t="s">
        <v>594</v>
      </c>
      <c r="BI66" s="29" t="s">
        <v>570</v>
      </c>
      <c r="BJ66" s="29" t="s">
        <v>570</v>
      </c>
      <c r="BK66" s="29" t="s">
        <v>570</v>
      </c>
      <c r="BL66" s="29" t="s">
        <v>570</v>
      </c>
      <c r="BM66" s="29" t="s">
        <v>570</v>
      </c>
      <c r="BN66" s="23">
        <v>42251</v>
      </c>
      <c r="BO66" s="23">
        <v>42265</v>
      </c>
      <c r="BP66" s="23">
        <v>42272</v>
      </c>
      <c r="BQ66" s="23">
        <v>42279</v>
      </c>
      <c r="BR66" s="13" t="s">
        <v>570</v>
      </c>
      <c r="BS66" s="23">
        <v>42298</v>
      </c>
      <c r="BT66" s="23">
        <v>42306</v>
      </c>
      <c r="BU66" s="13" t="s">
        <v>570</v>
      </c>
      <c r="BV66" s="13" t="s">
        <v>570</v>
      </c>
      <c r="BW66" s="224" t="s">
        <v>570</v>
      </c>
      <c r="BX66" s="13" t="s">
        <v>503</v>
      </c>
      <c r="BY66" s="13" t="s">
        <v>570</v>
      </c>
      <c r="BZ66" s="13" t="s">
        <v>503</v>
      </c>
      <c r="CA66" s="23">
        <v>42334</v>
      </c>
      <c r="CB66" s="224" t="s">
        <v>570</v>
      </c>
      <c r="CC66" s="224" t="s">
        <v>570</v>
      </c>
      <c r="CD66" s="224" t="s">
        <v>570</v>
      </c>
      <c r="CE66" s="23"/>
      <c r="CF66" s="127" t="s">
        <v>829</v>
      </c>
      <c r="CG66" s="23"/>
      <c r="CH66" s="23"/>
      <c r="CI66" s="23"/>
      <c r="CJ66" s="23"/>
      <c r="CK66" s="23"/>
      <c r="CL66" s="23"/>
      <c r="CM66" s="23"/>
      <c r="CN66" s="23"/>
      <c r="CO66" s="23"/>
      <c r="CP66" s="23"/>
      <c r="CQ66" s="23"/>
      <c r="CR66" s="127" t="s">
        <v>829</v>
      </c>
      <c r="CS66" s="13" t="s">
        <v>570</v>
      </c>
      <c r="CT66" s="29" t="s">
        <v>452</v>
      </c>
      <c r="CU66" s="35">
        <v>0.05</v>
      </c>
      <c r="CV66" s="23">
        <v>42417</v>
      </c>
      <c r="CW66" s="30">
        <f t="shared" si="39"/>
        <v>135302.74</v>
      </c>
      <c r="CX66" s="30"/>
      <c r="CY66" s="23">
        <v>42530</v>
      </c>
      <c r="CZ66" s="30">
        <v>70369.56</v>
      </c>
      <c r="DA66" s="13"/>
      <c r="DB66" s="23">
        <v>42571</v>
      </c>
      <c r="DC66" s="37">
        <v>33320.82</v>
      </c>
      <c r="DD66" s="13"/>
      <c r="DE66" s="23">
        <v>42641</v>
      </c>
      <c r="DF66" s="30">
        <v>21986.129999999997</v>
      </c>
      <c r="DG66" s="13"/>
      <c r="DH66" s="13"/>
      <c r="DI66" s="13"/>
      <c r="DJ66" s="13"/>
      <c r="DK66" s="13"/>
      <c r="DL66" s="13"/>
      <c r="DM66" s="13"/>
      <c r="DN66" s="13"/>
      <c r="DO66" s="13"/>
      <c r="DP66" s="13"/>
      <c r="DQ66" s="13"/>
      <c r="DR66" s="13"/>
      <c r="DS66" s="13"/>
      <c r="DT66" s="13"/>
      <c r="DU66" s="13"/>
      <c r="DV66" s="13"/>
      <c r="DW66" s="13"/>
      <c r="DX66" s="13"/>
      <c r="DY66" s="31">
        <f t="shared" si="40"/>
        <v>260979.25</v>
      </c>
      <c r="DZ66" s="13"/>
      <c r="EA66" s="13"/>
      <c r="EB66" s="13"/>
      <c r="EC66" s="13"/>
      <c r="ED66" s="13"/>
      <c r="EE66" s="13"/>
      <c r="EF66" s="13"/>
      <c r="EG66" s="13">
        <v>120</v>
      </c>
      <c r="EH66" s="13" t="s">
        <v>588</v>
      </c>
      <c r="EI66" s="23">
        <f t="shared" si="42"/>
        <v>42418</v>
      </c>
      <c r="EJ66" s="23">
        <f t="shared" si="43"/>
        <v>42538</v>
      </c>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25">
        <v>0.65</v>
      </c>
      <c r="FM66" s="25">
        <v>0.65</v>
      </c>
      <c r="FN66" s="25">
        <v>1</v>
      </c>
      <c r="FO66" s="25">
        <v>1</v>
      </c>
      <c r="FP66" s="25">
        <v>1</v>
      </c>
      <c r="FQ66" s="25">
        <v>1</v>
      </c>
      <c r="FR66" s="25">
        <v>1</v>
      </c>
      <c r="FS66" s="25">
        <v>1</v>
      </c>
      <c r="FT66" s="25">
        <v>1</v>
      </c>
      <c r="FU66" s="25">
        <v>1</v>
      </c>
      <c r="FV66" s="25">
        <v>1</v>
      </c>
      <c r="FW66" s="25">
        <v>1</v>
      </c>
      <c r="FX66" s="25">
        <v>1</v>
      </c>
      <c r="FY66" s="25">
        <v>1</v>
      </c>
      <c r="FZ66" s="25">
        <v>1</v>
      </c>
      <c r="GA66" s="25">
        <v>1</v>
      </c>
      <c r="GB66" s="25">
        <v>1</v>
      </c>
      <c r="GC66" s="25">
        <v>1</v>
      </c>
      <c r="GD66" s="25">
        <v>1</v>
      </c>
      <c r="GE66" s="25">
        <v>1</v>
      </c>
      <c r="GF66" s="25">
        <v>1</v>
      </c>
      <c r="GG66" s="25">
        <v>1</v>
      </c>
      <c r="GH66" s="25">
        <v>1</v>
      </c>
      <c r="GI66" s="25">
        <v>1</v>
      </c>
      <c r="GJ66" s="25">
        <v>1</v>
      </c>
      <c r="GK66" s="25">
        <v>1</v>
      </c>
      <c r="GL66" s="25">
        <v>1</v>
      </c>
      <c r="GM66" s="25">
        <v>1</v>
      </c>
      <c r="GN66" s="25">
        <v>1</v>
      </c>
      <c r="GO66" s="25">
        <v>1</v>
      </c>
      <c r="GP66" s="25">
        <v>1</v>
      </c>
      <c r="GQ66" s="25">
        <v>1</v>
      </c>
      <c r="GR66" s="25">
        <v>1</v>
      </c>
      <c r="GS66" s="25">
        <v>1</v>
      </c>
      <c r="GT66" s="25">
        <v>1</v>
      </c>
      <c r="GU66" s="25">
        <v>1</v>
      </c>
      <c r="GV66" s="25" t="s">
        <v>455</v>
      </c>
      <c r="GW66" s="25" t="s">
        <v>455</v>
      </c>
      <c r="GX66" s="25" t="s">
        <v>455</v>
      </c>
      <c r="GY66" s="25" t="s">
        <v>455</v>
      </c>
      <c r="GZ66" s="25" t="s">
        <v>455</v>
      </c>
      <c r="HA66" s="25" t="s">
        <v>455</v>
      </c>
      <c r="HB66" s="25" t="s">
        <v>455</v>
      </c>
      <c r="HC66" s="25" t="s">
        <v>455</v>
      </c>
      <c r="HD66" s="25" t="s">
        <v>455</v>
      </c>
      <c r="HE66" s="25" t="s">
        <v>455</v>
      </c>
      <c r="HF66" s="25" t="s">
        <v>455</v>
      </c>
      <c r="HG66" s="25" t="s">
        <v>455</v>
      </c>
      <c r="HH66" s="25" t="s">
        <v>455</v>
      </c>
      <c r="HI66" s="25"/>
      <c r="HJ66" s="25"/>
      <c r="HK66" s="25"/>
      <c r="HL66" s="25"/>
      <c r="HM66" s="25"/>
      <c r="HN66" s="25"/>
      <c r="HO66" s="25"/>
      <c r="HP66" s="25"/>
      <c r="HQ66" s="25"/>
      <c r="HR66" s="25"/>
      <c r="HS66" s="25"/>
      <c r="HT66" s="25"/>
      <c r="HU66" s="13" t="s">
        <v>476</v>
      </c>
      <c r="HV66" s="13"/>
      <c r="HW66" s="32"/>
      <c r="HX66" s="55"/>
      <c r="HY66" s="55"/>
      <c r="HZ66" s="55"/>
      <c r="IA66" s="55"/>
      <c r="IB66" s="55"/>
      <c r="IC66" s="55"/>
      <c r="ID66" s="55"/>
      <c r="IE66" s="55"/>
      <c r="IF66" s="107">
        <v>275000</v>
      </c>
      <c r="IG66" s="107">
        <v>260979.24</v>
      </c>
      <c r="IH66" s="250">
        <f t="shared" si="41"/>
        <v>0</v>
      </c>
      <c r="II66" s="55"/>
      <c r="IJ66" s="55"/>
      <c r="IK66" s="55"/>
      <c r="IL66" s="55"/>
      <c r="IM66" s="55"/>
      <c r="IN66" s="55"/>
      <c r="IO66" s="55"/>
      <c r="IP66" s="55"/>
      <c r="IQ66" s="55"/>
      <c r="IR66" s="55"/>
      <c r="IS66" s="55"/>
      <c r="IT66" s="55"/>
      <c r="IU66" s="55"/>
      <c r="IV66" s="55"/>
      <c r="IW66" s="55"/>
      <c r="IX66" s="55"/>
      <c r="IY66" s="55"/>
      <c r="IZ66" s="55"/>
      <c r="JA66" s="55"/>
      <c r="JB66" s="55"/>
      <c r="JC66" s="55"/>
      <c r="JD66" s="55">
        <v>2016</v>
      </c>
    </row>
    <row r="67" spans="1:264" s="5" customFormat="1" ht="24.95" hidden="1" customHeight="1">
      <c r="A67" s="26" t="s">
        <v>0</v>
      </c>
      <c r="B67" s="26" t="s">
        <v>27</v>
      </c>
      <c r="C67" s="13" t="s">
        <v>349</v>
      </c>
      <c r="D67" s="13" t="s">
        <v>382</v>
      </c>
      <c r="E67" s="13" t="s">
        <v>350</v>
      </c>
      <c r="F67" s="13" t="s">
        <v>350</v>
      </c>
      <c r="G67" s="39" t="s">
        <v>351</v>
      </c>
      <c r="H67" s="13" t="s">
        <v>1558</v>
      </c>
      <c r="I67" s="21" t="s">
        <v>39</v>
      </c>
      <c r="J67" s="159">
        <v>5</v>
      </c>
      <c r="K67" s="49" t="s">
        <v>375</v>
      </c>
      <c r="L67" s="26" t="s">
        <v>38</v>
      </c>
      <c r="M67" s="20" t="s">
        <v>39</v>
      </c>
      <c r="N67" s="20"/>
      <c r="O67" s="13" t="s">
        <v>3</v>
      </c>
      <c r="P67" s="13" t="s">
        <v>4</v>
      </c>
      <c r="Q67" s="22" t="s">
        <v>1118</v>
      </c>
      <c r="R67" s="26" t="s">
        <v>38</v>
      </c>
      <c r="S67" s="13" t="s">
        <v>393</v>
      </c>
      <c r="T67" s="13" t="s">
        <v>1387</v>
      </c>
      <c r="U67" s="13" t="s">
        <v>479</v>
      </c>
      <c r="V67" s="24">
        <v>1792624355001</v>
      </c>
      <c r="W67" s="22" t="s">
        <v>503</v>
      </c>
      <c r="X67" s="22" t="s">
        <v>503</v>
      </c>
      <c r="Y67" s="13" t="s">
        <v>740</v>
      </c>
      <c r="Z67" s="22" t="s">
        <v>503</v>
      </c>
      <c r="AA67" s="41"/>
      <c r="AB67" s="45">
        <v>775010</v>
      </c>
      <c r="AC67" s="29">
        <v>0</v>
      </c>
      <c r="AD67" s="41">
        <v>775010</v>
      </c>
      <c r="AE67" s="29">
        <v>0</v>
      </c>
      <c r="AF67" s="29">
        <f t="shared" si="17"/>
        <v>775010</v>
      </c>
      <c r="AG67" s="25">
        <v>0.12</v>
      </c>
      <c r="AH67" s="29">
        <f t="shared" si="35"/>
        <v>93001.2</v>
      </c>
      <c r="AI67" s="29">
        <f t="shared" si="35"/>
        <v>0</v>
      </c>
      <c r="AJ67" s="29">
        <f t="shared" si="36"/>
        <v>868011.20000000007</v>
      </c>
      <c r="AK67" s="29">
        <v>619315.64</v>
      </c>
      <c r="AL67" s="126">
        <f t="shared" si="44"/>
        <v>155694.35999999999</v>
      </c>
      <c r="AM67" s="29"/>
      <c r="AN67" s="41"/>
      <c r="AO67" s="41">
        <v>775010</v>
      </c>
      <c r="AP67" s="41"/>
      <c r="AQ67" s="41">
        <v>647187</v>
      </c>
      <c r="AR67" s="41"/>
      <c r="AS67" s="41"/>
      <c r="AT67" s="41"/>
      <c r="AU67" s="41"/>
      <c r="AV67" s="41"/>
      <c r="AW67" s="41"/>
      <c r="AX67" s="41"/>
      <c r="AY67" s="41"/>
      <c r="AZ67" s="41"/>
      <c r="BA67" s="41"/>
      <c r="BB67" s="41"/>
      <c r="BC67" s="41"/>
      <c r="BD67" s="37"/>
      <c r="BE67" s="37"/>
      <c r="BF67" s="29">
        <f t="shared" si="37"/>
        <v>127823</v>
      </c>
      <c r="BG67" s="29">
        <f t="shared" si="38"/>
        <v>127823</v>
      </c>
      <c r="BH67" s="37" t="s">
        <v>594</v>
      </c>
      <c r="BI67" s="29" t="s">
        <v>570</v>
      </c>
      <c r="BJ67" s="29" t="s">
        <v>570</v>
      </c>
      <c r="BK67" s="29" t="s">
        <v>570</v>
      </c>
      <c r="BL67" s="29" t="s">
        <v>570</v>
      </c>
      <c r="BM67" s="29" t="s">
        <v>570</v>
      </c>
      <c r="BN67" s="23">
        <v>42237</v>
      </c>
      <c r="BO67" s="23">
        <v>42251</v>
      </c>
      <c r="BP67" s="23">
        <v>42258</v>
      </c>
      <c r="BQ67" s="23">
        <v>42265</v>
      </c>
      <c r="BR67" s="13" t="s">
        <v>570</v>
      </c>
      <c r="BS67" s="23">
        <v>42283</v>
      </c>
      <c r="BT67" s="23">
        <v>42291</v>
      </c>
      <c r="BU67" s="13" t="s">
        <v>570</v>
      </c>
      <c r="BV67" s="13" t="s">
        <v>570</v>
      </c>
      <c r="BW67" s="224" t="s">
        <v>570</v>
      </c>
      <c r="BX67" s="13" t="s">
        <v>503</v>
      </c>
      <c r="BY67" s="13" t="s">
        <v>570</v>
      </c>
      <c r="BZ67" s="13" t="s">
        <v>503</v>
      </c>
      <c r="CA67" s="23">
        <v>42314</v>
      </c>
      <c r="CB67" s="224" t="s">
        <v>570</v>
      </c>
      <c r="CC67" s="224" t="s">
        <v>570</v>
      </c>
      <c r="CD67" s="224" t="s">
        <v>570</v>
      </c>
      <c r="CE67" s="23"/>
      <c r="CF67" s="127" t="s">
        <v>829</v>
      </c>
      <c r="CG67" s="23"/>
      <c r="CH67" s="23"/>
      <c r="CI67" s="23"/>
      <c r="CJ67" s="23"/>
      <c r="CK67" s="23"/>
      <c r="CL67" s="23"/>
      <c r="CM67" s="23"/>
      <c r="CN67" s="23"/>
      <c r="CO67" s="23"/>
      <c r="CP67" s="23"/>
      <c r="CQ67" s="23"/>
      <c r="CR67" s="127" t="s">
        <v>829</v>
      </c>
      <c r="CS67" s="13" t="s">
        <v>570</v>
      </c>
      <c r="CT67" s="29" t="s">
        <v>452</v>
      </c>
      <c r="CU67" s="35">
        <v>0.05</v>
      </c>
      <c r="CV67" s="23">
        <v>42347</v>
      </c>
      <c r="CW67" s="30">
        <f t="shared" si="39"/>
        <v>323593.5</v>
      </c>
      <c r="CX67" s="184" t="s">
        <v>1406</v>
      </c>
      <c r="CY67" s="23">
        <v>42865</v>
      </c>
      <c r="CZ67" s="30">
        <f>635495.32-323593.5</f>
        <v>311901.81999999995</v>
      </c>
      <c r="DA67" s="13"/>
      <c r="DB67" s="13"/>
      <c r="DC67" s="37"/>
      <c r="DD67" s="13"/>
      <c r="DE67" s="13"/>
      <c r="DF67" s="13"/>
      <c r="DG67" s="13"/>
      <c r="DH67" s="13"/>
      <c r="DI67" s="13"/>
      <c r="DJ67" s="13"/>
      <c r="DK67" s="13"/>
      <c r="DL67" s="13"/>
      <c r="DM67" s="13"/>
      <c r="DN67" s="13"/>
      <c r="DO67" s="13"/>
      <c r="DP67" s="13"/>
      <c r="DQ67" s="13"/>
      <c r="DR67" s="13"/>
      <c r="DS67" s="13"/>
      <c r="DT67" s="13"/>
      <c r="DU67" s="13"/>
      <c r="DV67" s="13"/>
      <c r="DW67" s="13"/>
      <c r="DX67" s="13"/>
      <c r="DY67" s="31">
        <f t="shared" si="40"/>
        <v>635495.31999999995</v>
      </c>
      <c r="DZ67" s="13"/>
      <c r="EA67" s="13"/>
      <c r="EB67" s="13"/>
      <c r="EC67" s="13"/>
      <c r="ED67" s="13"/>
      <c r="EE67" s="13"/>
      <c r="EF67" s="13"/>
      <c r="EG67" s="13">
        <v>300</v>
      </c>
      <c r="EH67" s="13" t="s">
        <v>588</v>
      </c>
      <c r="EI67" s="23">
        <f t="shared" si="42"/>
        <v>42348</v>
      </c>
      <c r="EJ67" s="23">
        <f t="shared" si="43"/>
        <v>42648</v>
      </c>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25">
        <v>0.1</v>
      </c>
      <c r="FM67" s="25">
        <v>0.1</v>
      </c>
      <c r="FN67" s="25">
        <v>0.2</v>
      </c>
      <c r="FO67" s="25">
        <v>0.4</v>
      </c>
      <c r="FP67" s="25">
        <v>0.7</v>
      </c>
      <c r="FQ67" s="25">
        <v>0.7</v>
      </c>
      <c r="FR67" s="25">
        <v>1</v>
      </c>
      <c r="FS67" s="25">
        <v>1</v>
      </c>
      <c r="FT67" s="25">
        <v>1</v>
      </c>
      <c r="FU67" s="25">
        <v>1</v>
      </c>
      <c r="FV67" s="25">
        <v>1</v>
      </c>
      <c r="FW67" s="25">
        <v>1</v>
      </c>
      <c r="FX67" s="25">
        <v>1</v>
      </c>
      <c r="FY67" s="25">
        <v>1</v>
      </c>
      <c r="FZ67" s="25">
        <v>1</v>
      </c>
      <c r="GA67" s="25">
        <v>1</v>
      </c>
      <c r="GB67" s="25">
        <v>1</v>
      </c>
      <c r="GC67" s="25">
        <v>1</v>
      </c>
      <c r="GD67" s="25">
        <v>1</v>
      </c>
      <c r="GE67" s="25">
        <v>1</v>
      </c>
      <c r="GF67" s="25">
        <v>1</v>
      </c>
      <c r="GG67" s="25">
        <v>1</v>
      </c>
      <c r="GH67" s="25">
        <v>1</v>
      </c>
      <c r="GI67" s="25">
        <v>1</v>
      </c>
      <c r="GJ67" s="25">
        <v>1</v>
      </c>
      <c r="GK67" s="25">
        <v>1</v>
      </c>
      <c r="GL67" s="25">
        <v>1</v>
      </c>
      <c r="GM67" s="25">
        <v>1</v>
      </c>
      <c r="GN67" s="25">
        <v>1</v>
      </c>
      <c r="GO67" s="25">
        <v>1</v>
      </c>
      <c r="GP67" s="25">
        <v>1</v>
      </c>
      <c r="GQ67" s="25">
        <v>1</v>
      </c>
      <c r="GR67" s="25">
        <v>1</v>
      </c>
      <c r="GS67" s="25">
        <v>1</v>
      </c>
      <c r="GT67" s="25">
        <v>1</v>
      </c>
      <c r="GU67" s="25">
        <v>1</v>
      </c>
      <c r="GV67" s="25" t="s">
        <v>1588</v>
      </c>
      <c r="GW67" s="25" t="s">
        <v>1588</v>
      </c>
      <c r="GX67" s="25" t="s">
        <v>1588</v>
      </c>
      <c r="GY67" s="25" t="s">
        <v>1588</v>
      </c>
      <c r="GZ67" s="25" t="s">
        <v>1588</v>
      </c>
      <c r="HA67" s="25" t="s">
        <v>1588</v>
      </c>
      <c r="HB67" s="25" t="s">
        <v>455</v>
      </c>
      <c r="HC67" s="25" t="s">
        <v>455</v>
      </c>
      <c r="HD67" s="25" t="s">
        <v>455</v>
      </c>
      <c r="HE67" s="25" t="s">
        <v>455</v>
      </c>
      <c r="HF67" s="25" t="s">
        <v>455</v>
      </c>
      <c r="HG67" s="25" t="s">
        <v>455</v>
      </c>
      <c r="HH67" s="25" t="s">
        <v>455</v>
      </c>
      <c r="HI67" s="25" t="s">
        <v>1660</v>
      </c>
      <c r="HJ67" s="25"/>
      <c r="HK67" s="25"/>
      <c r="HL67" s="25"/>
      <c r="HM67" s="25" t="s">
        <v>1730</v>
      </c>
      <c r="HN67" s="25" t="s">
        <v>1784</v>
      </c>
      <c r="HO67" s="25"/>
      <c r="HP67" s="25"/>
      <c r="HQ67" s="25"/>
      <c r="HR67" s="25"/>
      <c r="HS67" s="25"/>
      <c r="HT67" s="25"/>
      <c r="HU67" s="13" t="s">
        <v>605</v>
      </c>
      <c r="HV67" s="13"/>
      <c r="HW67" s="32"/>
      <c r="HX67" s="55"/>
      <c r="HY67" s="55"/>
      <c r="HZ67" s="55"/>
      <c r="IA67" s="55"/>
      <c r="IB67" s="55"/>
      <c r="IC67" s="55"/>
      <c r="ID67" s="55"/>
      <c r="IE67" s="55"/>
      <c r="IF67" s="107">
        <v>775010</v>
      </c>
      <c r="IG67" s="107">
        <v>619315.64</v>
      </c>
      <c r="IH67" s="250">
        <f t="shared" si="41"/>
        <v>0</v>
      </c>
      <c r="II67" s="55"/>
      <c r="IJ67" s="55"/>
      <c r="IK67" s="55"/>
      <c r="IL67" s="55"/>
      <c r="IM67" s="55"/>
      <c r="IN67" s="55"/>
      <c r="IO67" s="55"/>
      <c r="IP67" s="55"/>
      <c r="IQ67" s="55"/>
      <c r="IR67" s="55"/>
      <c r="IS67" s="55"/>
      <c r="IT67" s="55"/>
      <c r="IU67" s="55"/>
      <c r="IV67" s="55"/>
      <c r="IW67" s="55"/>
      <c r="IX67" s="55"/>
      <c r="IY67" s="55"/>
      <c r="IZ67" s="55"/>
      <c r="JA67" s="55"/>
      <c r="JB67" s="55"/>
      <c r="JC67" s="55"/>
      <c r="JD67" s="55">
        <v>2016</v>
      </c>
    </row>
    <row r="68" spans="1:264" s="5" customFormat="1" ht="24.95" hidden="1" customHeight="1">
      <c r="A68" s="26" t="s">
        <v>0</v>
      </c>
      <c r="B68" s="26" t="s">
        <v>27</v>
      </c>
      <c r="C68" s="13" t="s">
        <v>349</v>
      </c>
      <c r="D68" s="13" t="s">
        <v>382</v>
      </c>
      <c r="E68" s="16" t="s">
        <v>360</v>
      </c>
      <c r="F68" s="13" t="s">
        <v>360</v>
      </c>
      <c r="G68" s="39" t="s">
        <v>354</v>
      </c>
      <c r="H68" s="13" t="s">
        <v>1516</v>
      </c>
      <c r="I68" s="21" t="s">
        <v>41</v>
      </c>
      <c r="J68" s="26">
        <v>6</v>
      </c>
      <c r="K68" s="49" t="s">
        <v>375</v>
      </c>
      <c r="L68" s="26" t="s">
        <v>40</v>
      </c>
      <c r="M68" s="20" t="s">
        <v>41</v>
      </c>
      <c r="N68" s="20"/>
      <c r="O68" s="13" t="s">
        <v>3</v>
      </c>
      <c r="P68" s="13" t="s">
        <v>4</v>
      </c>
      <c r="Q68" s="22" t="s">
        <v>1118</v>
      </c>
      <c r="R68" s="26" t="s">
        <v>40</v>
      </c>
      <c r="S68" s="13" t="s">
        <v>394</v>
      </c>
      <c r="T68" s="13" t="s">
        <v>1387</v>
      </c>
      <c r="U68" s="13" t="s">
        <v>477</v>
      </c>
      <c r="V68" s="13" t="s">
        <v>735</v>
      </c>
      <c r="W68" s="13"/>
      <c r="X68" s="13"/>
      <c r="Y68" s="13" t="s">
        <v>741</v>
      </c>
      <c r="Z68" s="22" t="s">
        <v>503</v>
      </c>
      <c r="AA68" s="41"/>
      <c r="AB68" s="45">
        <v>153597.5</v>
      </c>
      <c r="AC68" s="29">
        <v>0</v>
      </c>
      <c r="AD68" s="41">
        <v>153597.5</v>
      </c>
      <c r="AE68" s="29">
        <v>0</v>
      </c>
      <c r="AF68" s="29">
        <f t="shared" si="17"/>
        <v>153597.5</v>
      </c>
      <c r="AG68" s="25">
        <v>0.12</v>
      </c>
      <c r="AH68" s="29">
        <f t="shared" si="35"/>
        <v>18431.7</v>
      </c>
      <c r="AI68" s="29">
        <f t="shared" si="35"/>
        <v>0</v>
      </c>
      <c r="AJ68" s="29">
        <f t="shared" si="36"/>
        <v>172029.2</v>
      </c>
      <c r="AK68" s="29">
        <v>130014.56</v>
      </c>
      <c r="AL68" s="126">
        <f t="shared" si="44"/>
        <v>23582.940000000002</v>
      </c>
      <c r="AM68" s="29"/>
      <c r="AN68" s="41"/>
      <c r="AO68" s="41">
        <v>153597.49345794393</v>
      </c>
      <c r="AP68" s="41"/>
      <c r="AQ68" s="41">
        <v>152913.98000000001</v>
      </c>
      <c r="AR68" s="41"/>
      <c r="AS68" s="41"/>
      <c r="AT68" s="41"/>
      <c r="AU68" s="41"/>
      <c r="AV68" s="41"/>
      <c r="AW68" s="41"/>
      <c r="AX68" s="41"/>
      <c r="AY68" s="41"/>
      <c r="AZ68" s="41"/>
      <c r="BA68" s="41"/>
      <c r="BB68" s="41"/>
      <c r="BC68" s="41"/>
      <c r="BD68" s="37"/>
      <c r="BE68" s="37"/>
      <c r="BF68" s="29">
        <f t="shared" si="37"/>
        <v>683.51999999998952</v>
      </c>
      <c r="BG68" s="29">
        <f t="shared" si="38"/>
        <v>683.51999999998952</v>
      </c>
      <c r="BH68" s="37" t="s">
        <v>594</v>
      </c>
      <c r="BI68" s="29" t="s">
        <v>570</v>
      </c>
      <c r="BJ68" s="29" t="s">
        <v>570</v>
      </c>
      <c r="BK68" s="29" t="s">
        <v>570</v>
      </c>
      <c r="BL68" s="29" t="s">
        <v>570</v>
      </c>
      <c r="BM68" s="29" t="s">
        <v>570</v>
      </c>
      <c r="BN68" s="23">
        <v>42237</v>
      </c>
      <c r="BO68" s="23">
        <v>42251</v>
      </c>
      <c r="BP68" s="23">
        <v>42258</v>
      </c>
      <c r="BQ68" s="23">
        <v>42265</v>
      </c>
      <c r="BR68" s="13" t="s">
        <v>570</v>
      </c>
      <c r="BS68" s="23">
        <v>42283</v>
      </c>
      <c r="BT68" s="23">
        <v>42291</v>
      </c>
      <c r="BU68" s="13" t="s">
        <v>570</v>
      </c>
      <c r="BV68" s="13" t="s">
        <v>570</v>
      </c>
      <c r="BW68" s="224" t="s">
        <v>570</v>
      </c>
      <c r="BX68" s="13" t="s">
        <v>503</v>
      </c>
      <c r="BY68" s="13" t="s">
        <v>570</v>
      </c>
      <c r="BZ68" s="13" t="s">
        <v>503</v>
      </c>
      <c r="CA68" s="23">
        <v>42347</v>
      </c>
      <c r="CB68" s="224" t="s">
        <v>570</v>
      </c>
      <c r="CC68" s="224" t="s">
        <v>570</v>
      </c>
      <c r="CD68" s="224" t="s">
        <v>570</v>
      </c>
      <c r="CE68" s="23"/>
      <c r="CF68" s="127" t="s">
        <v>829</v>
      </c>
      <c r="CG68" s="23"/>
      <c r="CH68" s="23"/>
      <c r="CI68" s="23"/>
      <c r="CJ68" s="23"/>
      <c r="CK68" s="23"/>
      <c r="CL68" s="23"/>
      <c r="CM68" s="23"/>
      <c r="CN68" s="23"/>
      <c r="CO68" s="23"/>
      <c r="CP68" s="23"/>
      <c r="CQ68" s="23"/>
      <c r="CR68" s="127" t="s">
        <v>829</v>
      </c>
      <c r="CS68" s="13" t="s">
        <v>570</v>
      </c>
      <c r="CT68" s="29" t="s">
        <v>452</v>
      </c>
      <c r="CU68" s="35">
        <v>0.05</v>
      </c>
      <c r="CV68" s="23">
        <v>42418</v>
      </c>
      <c r="CW68" s="30">
        <f>76457.18</f>
        <v>76457.179999999993</v>
      </c>
      <c r="CX68" s="30"/>
      <c r="CY68" s="23">
        <v>42607</v>
      </c>
      <c r="CZ68" s="30">
        <f>124987.68-76457.18</f>
        <v>48530.5</v>
      </c>
      <c r="DA68" s="13"/>
      <c r="DB68" s="13"/>
      <c r="DC68" s="37"/>
      <c r="DD68" s="13"/>
      <c r="DE68" s="13"/>
      <c r="DF68" s="13"/>
      <c r="DG68" s="13"/>
      <c r="DH68" s="13"/>
      <c r="DI68" s="13"/>
      <c r="DJ68" s="13"/>
      <c r="DK68" s="13"/>
      <c r="DL68" s="13"/>
      <c r="DM68" s="13"/>
      <c r="DN68" s="13"/>
      <c r="DO68" s="13"/>
      <c r="DP68" s="13"/>
      <c r="DQ68" s="13"/>
      <c r="DR68" s="13"/>
      <c r="DS68" s="13"/>
      <c r="DT68" s="13"/>
      <c r="DU68" s="13"/>
      <c r="DV68" s="13"/>
      <c r="DW68" s="23">
        <v>42713</v>
      </c>
      <c r="DX68" s="37">
        <v>5026.88</v>
      </c>
      <c r="DY68" s="31">
        <f t="shared" si="40"/>
        <v>130014.56</v>
      </c>
      <c r="DZ68" s="13"/>
      <c r="EA68" s="13"/>
      <c r="EB68" s="13"/>
      <c r="EC68" s="13"/>
      <c r="ED68" s="13"/>
      <c r="EE68" s="13"/>
      <c r="EF68" s="13"/>
      <c r="EG68" s="13">
        <v>180</v>
      </c>
      <c r="EH68" s="13" t="s">
        <v>588</v>
      </c>
      <c r="EI68" s="23">
        <f t="shared" si="42"/>
        <v>42419</v>
      </c>
      <c r="EJ68" s="23">
        <f t="shared" si="43"/>
        <v>42599</v>
      </c>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25">
        <v>0.35</v>
      </c>
      <c r="FK68" s="25">
        <v>0.35</v>
      </c>
      <c r="FL68" s="25">
        <v>0.75</v>
      </c>
      <c r="FM68" s="25">
        <v>0.95</v>
      </c>
      <c r="FN68" s="25">
        <v>0.95</v>
      </c>
      <c r="FO68" s="25">
        <v>0.95</v>
      </c>
      <c r="FP68" s="25">
        <v>0.95</v>
      </c>
      <c r="FQ68" s="25">
        <v>0.95</v>
      </c>
      <c r="FR68" s="25">
        <v>1</v>
      </c>
      <c r="FS68" s="25">
        <v>1</v>
      </c>
      <c r="FT68" s="25">
        <v>1</v>
      </c>
      <c r="FU68" s="25">
        <v>1</v>
      </c>
      <c r="FV68" s="25">
        <v>1</v>
      </c>
      <c r="FW68" s="25">
        <v>1</v>
      </c>
      <c r="FX68" s="25">
        <v>1</v>
      </c>
      <c r="FY68" s="25">
        <v>1</v>
      </c>
      <c r="FZ68" s="25">
        <v>1</v>
      </c>
      <c r="GA68" s="25">
        <v>1</v>
      </c>
      <c r="GB68" s="25">
        <v>1</v>
      </c>
      <c r="GC68" s="25">
        <v>1</v>
      </c>
      <c r="GD68" s="25">
        <v>1</v>
      </c>
      <c r="GE68" s="25">
        <v>1</v>
      </c>
      <c r="GF68" s="25">
        <v>1</v>
      </c>
      <c r="GG68" s="25">
        <v>1</v>
      </c>
      <c r="GH68" s="25">
        <v>1</v>
      </c>
      <c r="GI68" s="25">
        <v>1</v>
      </c>
      <c r="GJ68" s="25">
        <v>1</v>
      </c>
      <c r="GK68" s="25">
        <v>1</v>
      </c>
      <c r="GL68" s="25">
        <v>1</v>
      </c>
      <c r="GM68" s="25">
        <v>1</v>
      </c>
      <c r="GN68" s="25">
        <v>1</v>
      </c>
      <c r="GO68" s="25">
        <v>1</v>
      </c>
      <c r="GP68" s="25">
        <v>1</v>
      </c>
      <c r="GQ68" s="25">
        <v>1</v>
      </c>
      <c r="GR68" s="25">
        <v>1</v>
      </c>
      <c r="GS68" s="25">
        <v>1</v>
      </c>
      <c r="GT68" s="25">
        <v>1</v>
      </c>
      <c r="GU68" s="25">
        <v>1</v>
      </c>
      <c r="GV68" s="25" t="s">
        <v>455</v>
      </c>
      <c r="GW68" s="25" t="s">
        <v>455</v>
      </c>
      <c r="GX68" s="25" t="s">
        <v>455</v>
      </c>
      <c r="GY68" s="25" t="s">
        <v>455</v>
      </c>
      <c r="GZ68" s="25" t="s">
        <v>455</v>
      </c>
      <c r="HA68" s="25" t="s">
        <v>455</v>
      </c>
      <c r="HB68" s="25" t="s">
        <v>455</v>
      </c>
      <c r="HC68" s="25" t="s">
        <v>455</v>
      </c>
      <c r="HD68" s="25" t="s">
        <v>455</v>
      </c>
      <c r="HE68" s="25" t="s">
        <v>455</v>
      </c>
      <c r="HF68" s="25" t="s">
        <v>455</v>
      </c>
      <c r="HG68" s="25" t="s">
        <v>455</v>
      </c>
      <c r="HH68" s="25" t="s">
        <v>455</v>
      </c>
      <c r="HI68" s="25"/>
      <c r="HJ68" s="25"/>
      <c r="HK68" s="25"/>
      <c r="HL68" s="25"/>
      <c r="HM68" s="25"/>
      <c r="HN68" s="25"/>
      <c r="HO68" s="25"/>
      <c r="HP68" s="25"/>
      <c r="HQ68" s="25"/>
      <c r="HR68" s="25"/>
      <c r="HS68" s="25"/>
      <c r="HT68" s="25"/>
      <c r="HU68" s="13" t="s">
        <v>789</v>
      </c>
      <c r="HV68" s="13"/>
      <c r="HW68" s="32"/>
      <c r="HX68" s="55"/>
      <c r="HY68" s="55"/>
      <c r="HZ68" s="55"/>
      <c r="IA68" s="55"/>
      <c r="IB68" s="55"/>
      <c r="IC68" s="55"/>
      <c r="ID68" s="55"/>
      <c r="IE68" s="55"/>
      <c r="IF68" s="107">
        <v>153597.5</v>
      </c>
      <c r="IG68" s="107">
        <v>130014.56</v>
      </c>
      <c r="IH68" s="250">
        <f t="shared" si="41"/>
        <v>0</v>
      </c>
      <c r="II68" s="55"/>
      <c r="IJ68" s="55"/>
      <c r="IK68" s="55"/>
      <c r="IL68" s="55"/>
      <c r="IM68" s="55"/>
      <c r="IN68" s="55"/>
      <c r="IO68" s="55"/>
      <c r="IP68" s="55"/>
      <c r="IQ68" s="55"/>
      <c r="IR68" s="55"/>
      <c r="IS68" s="55"/>
      <c r="IT68" s="55"/>
      <c r="IU68" s="55"/>
      <c r="IV68" s="55"/>
      <c r="IW68" s="55"/>
      <c r="IX68" s="55"/>
      <c r="IY68" s="55"/>
      <c r="IZ68" s="55"/>
      <c r="JA68" s="55"/>
      <c r="JB68" s="55"/>
      <c r="JC68" s="55"/>
      <c r="JD68" s="55">
        <v>2016</v>
      </c>
    </row>
    <row r="69" spans="1:264" s="5" customFormat="1" ht="45.75" hidden="1" customHeight="1">
      <c r="A69" s="26" t="s">
        <v>26</v>
      </c>
      <c r="B69" s="26" t="s">
        <v>27</v>
      </c>
      <c r="C69" s="13" t="s">
        <v>352</v>
      </c>
      <c r="D69" s="13" t="s">
        <v>381</v>
      </c>
      <c r="E69" s="16" t="s">
        <v>355</v>
      </c>
      <c r="F69" s="13" t="s">
        <v>355</v>
      </c>
      <c r="G69" s="39" t="s">
        <v>354</v>
      </c>
      <c r="H69" s="13" t="s">
        <v>1557</v>
      </c>
      <c r="I69" s="21" t="s">
        <v>43</v>
      </c>
      <c r="J69" s="40">
        <v>3</v>
      </c>
      <c r="K69" s="49" t="s">
        <v>375</v>
      </c>
      <c r="L69" s="26" t="s">
        <v>42</v>
      </c>
      <c r="M69" s="20" t="s">
        <v>43</v>
      </c>
      <c r="N69" s="20"/>
      <c r="O69" s="13" t="s">
        <v>3</v>
      </c>
      <c r="P69" s="13" t="s">
        <v>4</v>
      </c>
      <c r="Q69" s="22" t="s">
        <v>1118</v>
      </c>
      <c r="R69" s="26" t="s">
        <v>42</v>
      </c>
      <c r="S69" s="22" t="s">
        <v>774</v>
      </c>
      <c r="T69" s="13" t="s">
        <v>1387</v>
      </c>
      <c r="U69" s="13" t="s">
        <v>479</v>
      </c>
      <c r="V69" s="24">
        <v>1791839595001</v>
      </c>
      <c r="W69" s="13"/>
      <c r="X69" s="13"/>
      <c r="Y69" s="22" t="s">
        <v>503</v>
      </c>
      <c r="Z69" s="22" t="s">
        <v>503</v>
      </c>
      <c r="AA69" s="41"/>
      <c r="AB69" s="45">
        <v>103127.02</v>
      </c>
      <c r="AC69" s="29">
        <v>0</v>
      </c>
      <c r="AD69" s="41">
        <v>103127.02</v>
      </c>
      <c r="AE69" s="29">
        <v>0</v>
      </c>
      <c r="AF69" s="29">
        <f t="shared" si="17"/>
        <v>103127.02</v>
      </c>
      <c r="AG69" s="25">
        <v>0.12</v>
      </c>
      <c r="AH69" s="29">
        <f t="shared" si="35"/>
        <v>12375.242399999999</v>
      </c>
      <c r="AI69" s="29">
        <f t="shared" si="35"/>
        <v>0</v>
      </c>
      <c r="AJ69" s="29">
        <f t="shared" si="36"/>
        <v>115502.26240000002</v>
      </c>
      <c r="AK69" s="29">
        <v>103123.75</v>
      </c>
      <c r="AL69" s="126">
        <f t="shared" si="44"/>
        <v>3.2700000000040745</v>
      </c>
      <c r="AM69" s="29"/>
      <c r="AN69" s="41"/>
      <c r="AO69" s="41">
        <v>103127.02</v>
      </c>
      <c r="AP69" s="41"/>
      <c r="AQ69" s="41">
        <v>103123.75</v>
      </c>
      <c r="AR69" s="25">
        <v>0.14000000000000001</v>
      </c>
      <c r="AS69" s="41">
        <f>AQ69*0.14</f>
        <v>14437.325000000001</v>
      </c>
      <c r="AT69" s="41">
        <f>AQ69*1.14</f>
        <v>117561.075</v>
      </c>
      <c r="AU69" s="41"/>
      <c r="AV69" s="41"/>
      <c r="AW69" s="41"/>
      <c r="AX69" s="41"/>
      <c r="AY69" s="41"/>
      <c r="AZ69" s="41"/>
      <c r="BA69" s="41"/>
      <c r="BB69" s="41"/>
      <c r="BC69" s="41"/>
      <c r="BD69" s="37"/>
      <c r="BE69" s="37"/>
      <c r="BF69" s="29">
        <f t="shared" si="37"/>
        <v>3.2700000000040745</v>
      </c>
      <c r="BG69" s="29">
        <f t="shared" si="38"/>
        <v>3.2700000000040745</v>
      </c>
      <c r="BH69" s="37" t="s">
        <v>1563</v>
      </c>
      <c r="BI69" s="29" t="s">
        <v>570</v>
      </c>
      <c r="BJ69" s="29" t="s">
        <v>570</v>
      </c>
      <c r="BK69" s="29" t="s">
        <v>570</v>
      </c>
      <c r="BL69" s="29" t="s">
        <v>570</v>
      </c>
      <c r="BM69" s="29" t="s">
        <v>570</v>
      </c>
      <c r="BN69" s="23">
        <v>42697</v>
      </c>
      <c r="BO69" s="23">
        <v>42702</v>
      </c>
      <c r="BP69" s="23">
        <v>42704</v>
      </c>
      <c r="BQ69" s="23">
        <v>42709</v>
      </c>
      <c r="BR69" s="13" t="s">
        <v>570</v>
      </c>
      <c r="BS69" s="23">
        <v>42718</v>
      </c>
      <c r="BT69" s="23">
        <v>42723</v>
      </c>
      <c r="BU69" s="13" t="s">
        <v>570</v>
      </c>
      <c r="BV69" s="13" t="s">
        <v>570</v>
      </c>
      <c r="BW69" s="224" t="s">
        <v>570</v>
      </c>
      <c r="BX69" s="23">
        <v>42732</v>
      </c>
      <c r="BY69" s="13" t="s">
        <v>570</v>
      </c>
      <c r="BZ69" s="13" t="s">
        <v>503</v>
      </c>
      <c r="CA69" s="23">
        <v>42745</v>
      </c>
      <c r="CB69" s="224" t="s">
        <v>570</v>
      </c>
      <c r="CC69" s="224" t="s">
        <v>570</v>
      </c>
      <c r="CD69" s="224" t="s">
        <v>570</v>
      </c>
      <c r="CE69" s="13"/>
      <c r="CF69" s="13"/>
      <c r="CG69" s="13"/>
      <c r="CH69" s="13"/>
      <c r="CI69" s="13"/>
      <c r="CJ69" s="13"/>
      <c r="CK69" s="13"/>
      <c r="CL69" s="13"/>
      <c r="CM69" s="13"/>
      <c r="CN69" s="13"/>
      <c r="CO69" s="13"/>
      <c r="CP69" s="13"/>
      <c r="CQ69" s="13"/>
      <c r="CR69" s="13"/>
      <c r="CS69" s="13"/>
      <c r="CT69" s="25" t="s">
        <v>452</v>
      </c>
      <c r="CU69" s="25">
        <v>0.05</v>
      </c>
      <c r="CV69" s="23">
        <v>42759</v>
      </c>
      <c r="CW69" s="30">
        <v>51561.88</v>
      </c>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31">
        <f t="shared" si="40"/>
        <v>51561.88</v>
      </c>
      <c r="DZ69" s="13"/>
      <c r="EA69" s="13"/>
      <c r="EB69" s="13"/>
      <c r="EC69" s="13"/>
      <c r="ED69" s="13"/>
      <c r="EE69" s="13"/>
      <c r="EF69" s="13"/>
      <c r="EG69" s="13">
        <v>120</v>
      </c>
      <c r="EH69" s="13" t="s">
        <v>588</v>
      </c>
      <c r="EI69" s="23">
        <f t="shared" si="42"/>
        <v>42760</v>
      </c>
      <c r="EJ69" s="23">
        <f t="shared" si="43"/>
        <v>42880</v>
      </c>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25">
        <v>0</v>
      </c>
      <c r="FV69" s="25">
        <v>0</v>
      </c>
      <c r="FW69" s="25">
        <v>0</v>
      </c>
      <c r="FX69" s="25">
        <v>0.6</v>
      </c>
      <c r="FY69" s="25">
        <v>1</v>
      </c>
      <c r="FZ69" s="25">
        <v>1</v>
      </c>
      <c r="GA69" s="25">
        <v>1</v>
      </c>
      <c r="GB69" s="25">
        <v>1</v>
      </c>
      <c r="GC69" s="25">
        <v>1</v>
      </c>
      <c r="GD69" s="25">
        <v>1</v>
      </c>
      <c r="GE69" s="25">
        <v>1</v>
      </c>
      <c r="GF69" s="25">
        <v>1</v>
      </c>
      <c r="GG69" s="25">
        <v>1</v>
      </c>
      <c r="GH69" s="25">
        <v>1</v>
      </c>
      <c r="GI69" s="25">
        <v>1</v>
      </c>
      <c r="GJ69" s="25">
        <v>1</v>
      </c>
      <c r="GK69" s="25">
        <v>1</v>
      </c>
      <c r="GL69" s="25">
        <v>1</v>
      </c>
      <c r="GM69" s="25">
        <v>1</v>
      </c>
      <c r="GN69" s="25">
        <v>1</v>
      </c>
      <c r="GO69" s="25">
        <v>1</v>
      </c>
      <c r="GP69" s="25">
        <v>1</v>
      </c>
      <c r="GQ69" s="25">
        <v>1</v>
      </c>
      <c r="GR69" s="25">
        <v>1</v>
      </c>
      <c r="GS69" s="25">
        <v>1</v>
      </c>
      <c r="GT69" s="25">
        <v>1</v>
      </c>
      <c r="GU69" s="25">
        <v>1</v>
      </c>
      <c r="GV69" s="25" t="s">
        <v>455</v>
      </c>
      <c r="GW69" s="25" t="s">
        <v>455</v>
      </c>
      <c r="GX69" s="25" t="s">
        <v>455</v>
      </c>
      <c r="GY69" s="25" t="s">
        <v>455</v>
      </c>
      <c r="GZ69" s="25" t="s">
        <v>455</v>
      </c>
      <c r="HA69" s="25" t="s">
        <v>455</v>
      </c>
      <c r="HB69" s="25" t="s">
        <v>455</v>
      </c>
      <c r="HC69" s="25" t="s">
        <v>455</v>
      </c>
      <c r="HD69" s="25" t="s">
        <v>455</v>
      </c>
      <c r="HE69" s="25" t="s">
        <v>455</v>
      </c>
      <c r="HF69" s="25" t="s">
        <v>455</v>
      </c>
      <c r="HG69" s="25" t="s">
        <v>455</v>
      </c>
      <c r="HH69" s="25" t="s">
        <v>455</v>
      </c>
      <c r="HI69" s="25"/>
      <c r="HJ69" s="25"/>
      <c r="HK69" s="25"/>
      <c r="HL69" s="25"/>
      <c r="HM69" s="25"/>
      <c r="HN69" s="25"/>
      <c r="HO69" s="25"/>
      <c r="HP69" s="25"/>
      <c r="HQ69" s="25"/>
      <c r="HR69" s="25"/>
      <c r="HS69" s="25"/>
      <c r="HT69" s="25"/>
      <c r="HU69" s="16" t="s">
        <v>1227</v>
      </c>
      <c r="HV69" s="13"/>
      <c r="HW69" s="13" t="s">
        <v>1202</v>
      </c>
      <c r="HX69" s="55"/>
      <c r="HY69" s="55"/>
      <c r="HZ69" s="55"/>
      <c r="IA69" s="55"/>
      <c r="IB69" s="55"/>
      <c r="IC69" s="55"/>
      <c r="ID69" s="55"/>
      <c r="IE69" s="55"/>
      <c r="IF69" s="107">
        <v>103127.02</v>
      </c>
      <c r="IG69" s="107">
        <v>103123.75</v>
      </c>
      <c r="IH69" s="250">
        <f t="shared" si="41"/>
        <v>0</v>
      </c>
      <c r="II69" s="55"/>
      <c r="IJ69" s="55"/>
      <c r="IK69" s="55"/>
      <c r="IL69" s="55"/>
      <c r="IM69" s="55"/>
      <c r="IN69" s="55"/>
      <c r="IO69" s="55"/>
      <c r="IP69" s="55"/>
      <c r="IQ69" s="55"/>
      <c r="IR69" s="55"/>
      <c r="IS69" s="55"/>
      <c r="IT69" s="55"/>
      <c r="IU69" s="55"/>
      <c r="IV69" s="55"/>
      <c r="IW69" s="55"/>
      <c r="IX69" s="55"/>
      <c r="IY69" s="55"/>
      <c r="IZ69" s="55"/>
      <c r="JA69" s="55"/>
      <c r="JB69" s="55"/>
      <c r="JC69" s="55"/>
      <c r="JD69" s="55">
        <v>2017</v>
      </c>
    </row>
    <row r="70" spans="1:264" s="5" customFormat="1" ht="24.95" hidden="1" customHeight="1">
      <c r="A70" s="26" t="s">
        <v>44</v>
      </c>
      <c r="B70" s="26" t="s">
        <v>27</v>
      </c>
      <c r="C70" s="13" t="s">
        <v>349</v>
      </c>
      <c r="D70" s="13" t="s">
        <v>380</v>
      </c>
      <c r="E70" s="16" t="s">
        <v>350</v>
      </c>
      <c r="F70" s="13" t="s">
        <v>350</v>
      </c>
      <c r="G70" s="26" t="s">
        <v>351</v>
      </c>
      <c r="H70" s="13" t="s">
        <v>1556</v>
      </c>
      <c r="I70" s="21" t="s">
        <v>46</v>
      </c>
      <c r="J70" s="26">
        <v>1</v>
      </c>
      <c r="K70" s="49" t="s">
        <v>375</v>
      </c>
      <c r="L70" s="26" t="s">
        <v>45</v>
      </c>
      <c r="M70" s="20" t="s">
        <v>46</v>
      </c>
      <c r="N70" s="20"/>
      <c r="O70" s="13" t="s">
        <v>3</v>
      </c>
      <c r="P70" s="13" t="s">
        <v>4</v>
      </c>
      <c r="Q70" s="22" t="s">
        <v>1118</v>
      </c>
      <c r="R70" s="26" t="s">
        <v>45</v>
      </c>
      <c r="S70" s="13" t="s">
        <v>1348</v>
      </c>
      <c r="T70" s="13" t="s">
        <v>1387</v>
      </c>
      <c r="U70" s="13" t="s">
        <v>479</v>
      </c>
      <c r="V70" s="13" t="s">
        <v>1349</v>
      </c>
      <c r="W70" s="13"/>
      <c r="X70" s="13"/>
      <c r="Y70" s="13"/>
      <c r="Z70" s="13"/>
      <c r="AA70" s="41"/>
      <c r="AB70" s="45">
        <v>2665143.4500000002</v>
      </c>
      <c r="AC70" s="29">
        <v>0</v>
      </c>
      <c r="AD70" s="41">
        <v>2665143.4500000002</v>
      </c>
      <c r="AE70" s="29">
        <v>197695.84</v>
      </c>
      <c r="AF70" s="29">
        <f t="shared" si="17"/>
        <v>2862839.29</v>
      </c>
      <c r="AG70" s="25">
        <v>0.12</v>
      </c>
      <c r="AH70" s="29">
        <f t="shared" ref="AH70:AH101" si="45">AD70*0.12</f>
        <v>319817.21400000004</v>
      </c>
      <c r="AI70" s="29">
        <v>197695.84</v>
      </c>
      <c r="AJ70" s="29">
        <f t="shared" si="36"/>
        <v>3206380.0048000002</v>
      </c>
      <c r="AK70" s="29">
        <v>2559201.12</v>
      </c>
      <c r="AL70" s="126">
        <f t="shared" si="44"/>
        <v>105942.33000000007</v>
      </c>
      <c r="AM70" s="29"/>
      <c r="AN70" s="41"/>
      <c r="AO70" s="41">
        <v>2665143.4500000002</v>
      </c>
      <c r="AP70" s="41"/>
      <c r="AQ70" s="41">
        <v>2559201.12</v>
      </c>
      <c r="AR70" s="25">
        <v>0.14000000000000001</v>
      </c>
      <c r="AS70" s="41">
        <f>AQ70*0.14</f>
        <v>358288.15680000006</v>
      </c>
      <c r="AT70" s="41">
        <f>AQ70*1.14</f>
        <v>2917489.2768000001</v>
      </c>
      <c r="AU70" s="41"/>
      <c r="AV70" s="41"/>
      <c r="AW70" s="41"/>
      <c r="AX70" s="41"/>
      <c r="AY70" s="41"/>
      <c r="AZ70" s="41"/>
      <c r="BA70" s="41"/>
      <c r="BB70" s="41"/>
      <c r="BC70" s="41"/>
      <c r="BD70" s="37"/>
      <c r="BE70" s="37"/>
      <c r="BF70" s="29">
        <f t="shared" si="37"/>
        <v>105942.33000000007</v>
      </c>
      <c r="BG70" s="29">
        <f t="shared" si="38"/>
        <v>105942.33000000007</v>
      </c>
      <c r="BH70" s="37" t="s">
        <v>1378</v>
      </c>
      <c r="BI70" s="29" t="s">
        <v>570</v>
      </c>
      <c r="BJ70" s="29" t="s">
        <v>570</v>
      </c>
      <c r="BK70" s="29" t="s">
        <v>570</v>
      </c>
      <c r="BL70" s="29" t="s">
        <v>570</v>
      </c>
      <c r="BM70" s="29" t="s">
        <v>570</v>
      </c>
      <c r="BN70" s="23">
        <v>42740</v>
      </c>
      <c r="BO70" s="23">
        <v>42759</v>
      </c>
      <c r="BP70" s="23">
        <v>42765</v>
      </c>
      <c r="BQ70" s="23">
        <v>42773</v>
      </c>
      <c r="BR70" s="102" t="s">
        <v>570</v>
      </c>
      <c r="BS70" s="23">
        <v>42795</v>
      </c>
      <c r="BT70" s="23">
        <v>42802</v>
      </c>
      <c r="BU70" s="13" t="s">
        <v>570</v>
      </c>
      <c r="BV70" s="13" t="s">
        <v>570</v>
      </c>
      <c r="BW70" s="224" t="s">
        <v>570</v>
      </c>
      <c r="BX70" s="23">
        <v>42863</v>
      </c>
      <c r="BY70" s="22" t="s">
        <v>570</v>
      </c>
      <c r="BZ70" s="23">
        <v>42873</v>
      </c>
      <c r="CA70" s="23">
        <v>42873</v>
      </c>
      <c r="CB70" s="224" t="s">
        <v>570</v>
      </c>
      <c r="CC70" s="224" t="s">
        <v>570</v>
      </c>
      <c r="CD70" s="224" t="s">
        <v>570</v>
      </c>
      <c r="CE70" s="13"/>
      <c r="CF70" s="13"/>
      <c r="CG70" s="13"/>
      <c r="CH70" s="13"/>
      <c r="CI70" s="13"/>
      <c r="CJ70" s="13"/>
      <c r="CK70" s="13"/>
      <c r="CL70" s="13"/>
      <c r="CM70" s="13"/>
      <c r="CN70" s="13"/>
      <c r="CO70" s="13"/>
      <c r="CP70" s="13"/>
      <c r="CQ70" s="13"/>
      <c r="CR70" s="13"/>
      <c r="CS70" s="13"/>
      <c r="CT70" s="37" t="s">
        <v>570</v>
      </c>
      <c r="CU70" s="37" t="s">
        <v>570</v>
      </c>
      <c r="CV70" s="155">
        <v>42920</v>
      </c>
      <c r="CW70" s="41">
        <v>1279600.56</v>
      </c>
      <c r="CX70" s="160" t="s">
        <v>1619</v>
      </c>
      <c r="CY70" s="155">
        <v>43098</v>
      </c>
      <c r="CZ70" s="41">
        <f>997451.88+26228.57-511840.22</f>
        <v>511840.23</v>
      </c>
      <c r="DA70" s="160" t="s">
        <v>1618</v>
      </c>
      <c r="DB70" s="155">
        <v>43115</v>
      </c>
      <c r="DC70" s="41">
        <f>1023680.45-511840.23</f>
        <v>511840.22</v>
      </c>
      <c r="DD70" s="160" t="s">
        <v>1620</v>
      </c>
      <c r="DE70" s="13"/>
      <c r="DF70" s="13"/>
      <c r="DG70" s="13"/>
      <c r="DH70" s="13"/>
      <c r="DI70" s="13"/>
      <c r="DJ70" s="13"/>
      <c r="DK70" s="13"/>
      <c r="DL70" s="13"/>
      <c r="DM70" s="13"/>
      <c r="DN70" s="13"/>
      <c r="DO70" s="13"/>
      <c r="DP70" s="13"/>
      <c r="DQ70" s="13"/>
      <c r="DR70" s="13"/>
      <c r="DS70" s="13"/>
      <c r="DT70" s="13"/>
      <c r="DU70" s="13"/>
      <c r="DV70" s="13"/>
      <c r="DW70" s="13"/>
      <c r="DX70" s="13"/>
      <c r="DY70" s="31">
        <f t="shared" si="40"/>
        <v>2303281.0099999998</v>
      </c>
      <c r="DZ70" s="13"/>
      <c r="EA70" s="13"/>
      <c r="EB70" s="13"/>
      <c r="EC70" s="13"/>
      <c r="ED70" s="13"/>
      <c r="EE70" s="13"/>
      <c r="EF70" s="13"/>
      <c r="EG70" s="13">
        <v>210</v>
      </c>
      <c r="EH70" s="13" t="s">
        <v>588</v>
      </c>
      <c r="EI70" s="23">
        <f t="shared" si="42"/>
        <v>42921</v>
      </c>
      <c r="EJ70" s="23">
        <f t="shared" si="43"/>
        <v>43131</v>
      </c>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25">
        <v>0</v>
      </c>
      <c r="FY70" s="25">
        <v>0.05</v>
      </c>
      <c r="FZ70" s="25">
        <v>0.18</v>
      </c>
      <c r="GA70" s="25">
        <v>0.4</v>
      </c>
      <c r="GB70" s="25">
        <v>0.45</v>
      </c>
      <c r="GC70" s="25">
        <v>0.5</v>
      </c>
      <c r="GD70" s="25">
        <v>0.99</v>
      </c>
      <c r="GE70" s="25">
        <v>0.99</v>
      </c>
      <c r="GF70" s="25">
        <v>0.99</v>
      </c>
      <c r="GG70" s="25">
        <v>0.99</v>
      </c>
      <c r="GH70" s="25">
        <v>0.99</v>
      </c>
      <c r="GI70" s="25">
        <v>1</v>
      </c>
      <c r="GJ70" s="25">
        <v>1</v>
      </c>
      <c r="GK70" s="25">
        <v>1</v>
      </c>
      <c r="GL70" s="25">
        <v>1</v>
      </c>
      <c r="GM70" s="25">
        <v>1</v>
      </c>
      <c r="GN70" s="25">
        <v>1</v>
      </c>
      <c r="GO70" s="25">
        <v>1</v>
      </c>
      <c r="GP70" s="25">
        <v>1</v>
      </c>
      <c r="GQ70" s="25">
        <v>1</v>
      </c>
      <c r="GR70" s="25">
        <v>1</v>
      </c>
      <c r="GS70" s="25">
        <v>1</v>
      </c>
      <c r="GT70" s="25">
        <v>1</v>
      </c>
      <c r="GU70" s="25">
        <v>1</v>
      </c>
      <c r="GV70" s="25" t="s">
        <v>1588</v>
      </c>
      <c r="GW70" s="25" t="s">
        <v>1588</v>
      </c>
      <c r="GX70" s="25" t="s">
        <v>1588</v>
      </c>
      <c r="GY70" s="25" t="s">
        <v>1588</v>
      </c>
      <c r="GZ70" s="25" t="s">
        <v>1588</v>
      </c>
      <c r="HA70" s="25" t="s">
        <v>455</v>
      </c>
      <c r="HB70" s="25" t="s">
        <v>455</v>
      </c>
      <c r="HC70" s="25" t="s">
        <v>455</v>
      </c>
      <c r="HD70" s="25" t="s">
        <v>455</v>
      </c>
      <c r="HE70" s="25" t="s">
        <v>455</v>
      </c>
      <c r="HF70" s="25" t="s">
        <v>455</v>
      </c>
      <c r="HG70" s="25" t="s">
        <v>455</v>
      </c>
      <c r="HH70" s="25" t="s">
        <v>455</v>
      </c>
      <c r="HI70" s="25" t="s">
        <v>1635</v>
      </c>
      <c r="HJ70" s="25" t="s">
        <v>1635</v>
      </c>
      <c r="HK70" s="25" t="s">
        <v>1689</v>
      </c>
      <c r="HL70" s="25"/>
      <c r="HM70" s="25" t="s">
        <v>1732</v>
      </c>
      <c r="HN70" s="25" t="s">
        <v>1749</v>
      </c>
      <c r="HO70" s="25"/>
      <c r="HP70" s="25"/>
      <c r="HQ70" s="25"/>
      <c r="HR70" s="25"/>
      <c r="HS70" s="25"/>
      <c r="HT70" s="25"/>
      <c r="HU70" s="13"/>
      <c r="HV70" s="13"/>
      <c r="HW70" s="13" t="s">
        <v>1202</v>
      </c>
      <c r="HX70" s="55"/>
      <c r="HY70" s="55"/>
      <c r="HZ70" s="55"/>
      <c r="IA70" s="55"/>
      <c r="IB70" s="55"/>
      <c r="IC70" s="55"/>
      <c r="ID70" s="55"/>
      <c r="IE70" s="55"/>
      <c r="IF70" s="107">
        <v>2665143.4500000002</v>
      </c>
      <c r="IG70" s="107">
        <v>2559201.1199999996</v>
      </c>
      <c r="IH70" s="250">
        <f t="shared" si="41"/>
        <v>0</v>
      </c>
      <c r="II70" s="55"/>
      <c r="IJ70" s="55"/>
      <c r="IK70" s="55"/>
      <c r="IL70" s="55"/>
      <c r="IM70" s="55"/>
      <c r="IN70" s="55"/>
      <c r="IO70" s="55"/>
      <c r="IP70" s="55"/>
      <c r="IQ70" s="55"/>
      <c r="IR70" s="55"/>
      <c r="IS70" s="55"/>
      <c r="IT70" s="55"/>
      <c r="IU70" s="55"/>
      <c r="IV70" s="55"/>
      <c r="IW70" s="55"/>
      <c r="IX70" s="55"/>
      <c r="IY70" s="55"/>
      <c r="IZ70" s="55"/>
      <c r="JA70" s="55"/>
      <c r="JB70" s="55"/>
      <c r="JC70" s="55"/>
      <c r="JD70" s="55">
        <v>2018</v>
      </c>
    </row>
    <row r="71" spans="1:264" s="5" customFormat="1" ht="24.95" hidden="1" customHeight="1">
      <c r="A71" s="26" t="s">
        <v>44</v>
      </c>
      <c r="B71" s="26" t="s">
        <v>27</v>
      </c>
      <c r="C71" s="13" t="s">
        <v>349</v>
      </c>
      <c r="D71" s="13" t="s">
        <v>380</v>
      </c>
      <c r="E71" s="16" t="s">
        <v>360</v>
      </c>
      <c r="F71" s="13" t="s">
        <v>360</v>
      </c>
      <c r="G71" s="26" t="s">
        <v>354</v>
      </c>
      <c r="H71" s="13" t="s">
        <v>1556</v>
      </c>
      <c r="I71" s="21" t="s">
        <v>48</v>
      </c>
      <c r="J71" s="26">
        <v>2</v>
      </c>
      <c r="K71" s="49" t="s">
        <v>375</v>
      </c>
      <c r="L71" s="26" t="s">
        <v>47</v>
      </c>
      <c r="M71" s="20" t="s">
        <v>48</v>
      </c>
      <c r="N71" s="20"/>
      <c r="O71" s="13" t="s">
        <v>3</v>
      </c>
      <c r="P71" s="13" t="s">
        <v>4</v>
      </c>
      <c r="Q71" s="22" t="s">
        <v>1118</v>
      </c>
      <c r="R71" s="22" t="s">
        <v>47</v>
      </c>
      <c r="S71" s="13" t="s">
        <v>395</v>
      </c>
      <c r="T71" s="13" t="s">
        <v>1387</v>
      </c>
      <c r="U71" s="13" t="s">
        <v>477</v>
      </c>
      <c r="V71" s="13" t="s">
        <v>484</v>
      </c>
      <c r="W71" s="13"/>
      <c r="X71" s="13"/>
      <c r="Y71" s="13"/>
      <c r="Z71" s="13"/>
      <c r="AA71" s="41"/>
      <c r="AB71" s="45">
        <v>196068.47</v>
      </c>
      <c r="AC71" s="29">
        <v>0</v>
      </c>
      <c r="AD71" s="41">
        <v>196068.47</v>
      </c>
      <c r="AE71" s="29">
        <v>0</v>
      </c>
      <c r="AF71" s="29">
        <f t="shared" si="17"/>
        <v>196068.47</v>
      </c>
      <c r="AG71" s="25">
        <v>0.12</v>
      </c>
      <c r="AH71" s="29">
        <f t="shared" si="45"/>
        <v>23528.216399999998</v>
      </c>
      <c r="AI71" s="29">
        <f>AE71*0.12</f>
        <v>0</v>
      </c>
      <c r="AJ71" s="29">
        <f t="shared" si="36"/>
        <v>219596.68640000004</v>
      </c>
      <c r="AK71" s="29">
        <v>195626.61</v>
      </c>
      <c r="AL71" s="126">
        <f t="shared" si="44"/>
        <v>441.86000000001513</v>
      </c>
      <c r="AM71" s="29"/>
      <c r="AN71" s="41"/>
      <c r="AO71" s="41">
        <v>196068.46211841598</v>
      </c>
      <c r="AP71" s="41"/>
      <c r="AQ71" s="41">
        <v>195831.16</v>
      </c>
      <c r="AR71" s="41"/>
      <c r="AS71" s="41"/>
      <c r="AT71" s="41"/>
      <c r="AU71" s="41"/>
      <c r="AV71" s="41"/>
      <c r="AW71" s="41"/>
      <c r="AX71" s="41"/>
      <c r="AY71" s="41"/>
      <c r="AZ71" s="41"/>
      <c r="BA71" s="41"/>
      <c r="BB71" s="41"/>
      <c r="BC71" s="41"/>
      <c r="BD71" s="37"/>
      <c r="BE71" s="37"/>
      <c r="BF71" s="29">
        <f t="shared" si="37"/>
        <v>237.30999999999767</v>
      </c>
      <c r="BG71" s="29">
        <f t="shared" si="38"/>
        <v>237.30999999999767</v>
      </c>
      <c r="BH71" s="37" t="s">
        <v>1563</v>
      </c>
      <c r="BI71" s="29" t="s">
        <v>570</v>
      </c>
      <c r="BJ71" s="29" t="s">
        <v>570</v>
      </c>
      <c r="BK71" s="29" t="s">
        <v>570</v>
      </c>
      <c r="BL71" s="29" t="s">
        <v>570</v>
      </c>
      <c r="BM71" s="29" t="s">
        <v>570</v>
      </c>
      <c r="BN71" s="22">
        <v>42250</v>
      </c>
      <c r="BO71" s="22">
        <v>42261</v>
      </c>
      <c r="BP71" s="22">
        <v>42268</v>
      </c>
      <c r="BQ71" s="22">
        <v>42277</v>
      </c>
      <c r="BR71" s="102" t="s">
        <v>570</v>
      </c>
      <c r="BS71" s="22">
        <v>42292</v>
      </c>
      <c r="BT71" s="22">
        <v>42299</v>
      </c>
      <c r="BU71" s="13" t="s">
        <v>570</v>
      </c>
      <c r="BV71" s="13" t="s">
        <v>570</v>
      </c>
      <c r="BW71" s="224" t="s">
        <v>570</v>
      </c>
      <c r="BX71" s="22">
        <v>42339</v>
      </c>
      <c r="BY71" s="22" t="s">
        <v>570</v>
      </c>
      <c r="BZ71" s="22">
        <v>42340</v>
      </c>
      <c r="CA71" s="22">
        <v>42349</v>
      </c>
      <c r="CB71" s="224" t="s">
        <v>570</v>
      </c>
      <c r="CC71" s="224" t="s">
        <v>570</v>
      </c>
      <c r="CD71" s="224" t="s">
        <v>570</v>
      </c>
      <c r="CE71" s="22"/>
      <c r="CF71" s="127" t="s">
        <v>829</v>
      </c>
      <c r="CG71" s="22"/>
      <c r="CH71" s="22"/>
      <c r="CI71" s="22"/>
      <c r="CJ71" s="22"/>
      <c r="CK71" s="22"/>
      <c r="CL71" s="22"/>
      <c r="CM71" s="22"/>
      <c r="CN71" s="22"/>
      <c r="CO71" s="22"/>
      <c r="CP71" s="22"/>
      <c r="CQ71" s="22"/>
      <c r="CR71" s="127" t="s">
        <v>829</v>
      </c>
      <c r="CS71" s="13" t="s">
        <v>570</v>
      </c>
      <c r="CT71" s="37" t="s">
        <v>452</v>
      </c>
      <c r="CU71" s="25">
        <v>0.05</v>
      </c>
      <c r="CV71" s="23">
        <v>42418</v>
      </c>
      <c r="CW71" s="30">
        <f>AQ71*0.5</f>
        <v>97915.58</v>
      </c>
      <c r="CX71" s="30"/>
      <c r="CY71" s="23">
        <v>42675</v>
      </c>
      <c r="CZ71" s="30">
        <v>97711.03</v>
      </c>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31">
        <f t="shared" si="40"/>
        <v>195626.61</v>
      </c>
      <c r="DZ71" s="13"/>
      <c r="EA71" s="13"/>
      <c r="EB71" s="13"/>
      <c r="EC71" s="13"/>
      <c r="ED71" s="13"/>
      <c r="EE71" s="13"/>
      <c r="EF71" s="13"/>
      <c r="EG71" s="13">
        <v>120</v>
      </c>
      <c r="EH71" s="13" t="s">
        <v>588</v>
      </c>
      <c r="EI71" s="23">
        <f t="shared" si="42"/>
        <v>42419</v>
      </c>
      <c r="EJ71" s="23">
        <f t="shared" si="43"/>
        <v>42539</v>
      </c>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25"/>
      <c r="FI71" s="25"/>
      <c r="FJ71" s="25">
        <v>0.16</v>
      </c>
      <c r="FK71" s="25">
        <v>0.5</v>
      </c>
      <c r="FL71" s="25">
        <v>0.86</v>
      </c>
      <c r="FM71" s="25">
        <v>0.86</v>
      </c>
      <c r="FN71" s="25">
        <v>0.9</v>
      </c>
      <c r="FO71" s="25">
        <v>1</v>
      </c>
      <c r="FP71" s="25">
        <v>1</v>
      </c>
      <c r="FQ71" s="25">
        <v>1</v>
      </c>
      <c r="FR71" s="25">
        <v>1</v>
      </c>
      <c r="FS71" s="25">
        <v>1</v>
      </c>
      <c r="FT71" s="25">
        <v>1</v>
      </c>
      <c r="FU71" s="25">
        <v>1</v>
      </c>
      <c r="FV71" s="25">
        <v>1</v>
      </c>
      <c r="FW71" s="25">
        <v>1</v>
      </c>
      <c r="FX71" s="25">
        <v>1</v>
      </c>
      <c r="FY71" s="25">
        <v>1</v>
      </c>
      <c r="FZ71" s="25">
        <v>1</v>
      </c>
      <c r="GA71" s="25">
        <v>1</v>
      </c>
      <c r="GB71" s="25">
        <v>1</v>
      </c>
      <c r="GC71" s="25">
        <v>1</v>
      </c>
      <c r="GD71" s="25">
        <v>1</v>
      </c>
      <c r="GE71" s="25">
        <v>1</v>
      </c>
      <c r="GF71" s="25">
        <v>1</v>
      </c>
      <c r="GG71" s="25">
        <v>1</v>
      </c>
      <c r="GH71" s="25">
        <v>1</v>
      </c>
      <c r="GI71" s="25">
        <v>1</v>
      </c>
      <c r="GJ71" s="25">
        <v>1</v>
      </c>
      <c r="GK71" s="25">
        <v>1</v>
      </c>
      <c r="GL71" s="25">
        <v>1</v>
      </c>
      <c r="GM71" s="25">
        <v>1</v>
      </c>
      <c r="GN71" s="25">
        <v>1</v>
      </c>
      <c r="GO71" s="25">
        <v>1</v>
      </c>
      <c r="GP71" s="25">
        <v>1</v>
      </c>
      <c r="GQ71" s="25">
        <v>1</v>
      </c>
      <c r="GR71" s="25">
        <v>1</v>
      </c>
      <c r="GS71" s="25">
        <v>1</v>
      </c>
      <c r="GT71" s="25">
        <v>1</v>
      </c>
      <c r="GU71" s="25">
        <v>1</v>
      </c>
      <c r="GV71" s="25" t="s">
        <v>455</v>
      </c>
      <c r="GW71" s="25" t="s">
        <v>455</v>
      </c>
      <c r="GX71" s="25" t="s">
        <v>455</v>
      </c>
      <c r="GY71" s="25" t="s">
        <v>455</v>
      </c>
      <c r="GZ71" s="25" t="s">
        <v>455</v>
      </c>
      <c r="HA71" s="25" t="s">
        <v>455</v>
      </c>
      <c r="HB71" s="25" t="s">
        <v>455</v>
      </c>
      <c r="HC71" s="25" t="s">
        <v>455</v>
      </c>
      <c r="HD71" s="25" t="s">
        <v>455</v>
      </c>
      <c r="HE71" s="25" t="s">
        <v>455</v>
      </c>
      <c r="HF71" s="25" t="s">
        <v>455</v>
      </c>
      <c r="HG71" s="25" t="s">
        <v>455</v>
      </c>
      <c r="HH71" s="25" t="s">
        <v>455</v>
      </c>
      <c r="HI71" s="25"/>
      <c r="HJ71" s="25"/>
      <c r="HK71" s="25"/>
      <c r="HL71" s="25"/>
      <c r="HM71" s="25"/>
      <c r="HN71" s="25"/>
      <c r="HO71" s="25"/>
      <c r="HP71" s="25"/>
      <c r="HQ71" s="25"/>
      <c r="HR71" s="25"/>
      <c r="HS71" s="25"/>
      <c r="HT71" s="25"/>
      <c r="HU71" s="13" t="s">
        <v>1207</v>
      </c>
      <c r="HV71" s="13" t="s">
        <v>1206</v>
      </c>
      <c r="HW71" s="32"/>
      <c r="HX71" s="55"/>
      <c r="HY71" s="55"/>
      <c r="HZ71" s="55"/>
      <c r="IA71" s="55"/>
      <c r="IB71" s="55"/>
      <c r="IC71" s="55"/>
      <c r="ID71" s="55"/>
      <c r="IE71" s="55"/>
      <c r="IF71" s="107">
        <v>196068.47</v>
      </c>
      <c r="IG71" s="107">
        <v>195626.61</v>
      </c>
      <c r="IH71" s="250">
        <f t="shared" si="41"/>
        <v>0</v>
      </c>
      <c r="II71" s="55"/>
      <c r="IJ71" s="55"/>
      <c r="IK71" s="55"/>
      <c r="IL71" s="55"/>
      <c r="IM71" s="55"/>
      <c r="IN71" s="55"/>
      <c r="IO71" s="55"/>
      <c r="IP71" s="55"/>
      <c r="IQ71" s="55"/>
      <c r="IR71" s="55"/>
      <c r="IS71" s="55"/>
      <c r="IT71" s="55"/>
      <c r="IU71" s="55"/>
      <c r="IV71" s="55"/>
      <c r="IW71" s="55"/>
      <c r="IX71" s="55"/>
      <c r="IY71" s="55"/>
      <c r="IZ71" s="55"/>
      <c r="JA71" s="55"/>
      <c r="JB71" s="55"/>
      <c r="JC71" s="55"/>
      <c r="JD71" s="55">
        <v>2016</v>
      </c>
    </row>
    <row r="72" spans="1:264" s="5" customFormat="1" ht="24.95" hidden="1" customHeight="1">
      <c r="A72" s="26" t="s">
        <v>44</v>
      </c>
      <c r="B72" s="26" t="s">
        <v>27</v>
      </c>
      <c r="C72" s="13" t="s">
        <v>349</v>
      </c>
      <c r="D72" s="13" t="s">
        <v>380</v>
      </c>
      <c r="E72" s="16" t="s">
        <v>360</v>
      </c>
      <c r="F72" s="13" t="s">
        <v>360</v>
      </c>
      <c r="G72" s="26" t="s">
        <v>354</v>
      </c>
      <c r="H72" s="13" t="s">
        <v>1556</v>
      </c>
      <c r="I72" s="21" t="s">
        <v>50</v>
      </c>
      <c r="J72" s="26">
        <v>3</v>
      </c>
      <c r="K72" s="49" t="s">
        <v>375</v>
      </c>
      <c r="L72" s="26" t="s">
        <v>49</v>
      </c>
      <c r="M72" s="20" t="s">
        <v>50</v>
      </c>
      <c r="N72" s="20"/>
      <c r="O72" s="13" t="s">
        <v>3</v>
      </c>
      <c r="P72" s="13" t="s">
        <v>4</v>
      </c>
      <c r="Q72" s="22" t="s">
        <v>1118</v>
      </c>
      <c r="R72" s="26" t="s">
        <v>49</v>
      </c>
      <c r="S72" s="13" t="s">
        <v>480</v>
      </c>
      <c r="T72" s="13" t="s">
        <v>1387</v>
      </c>
      <c r="U72" s="13" t="s">
        <v>477</v>
      </c>
      <c r="V72" s="13" t="s">
        <v>481</v>
      </c>
      <c r="W72" s="22" t="s">
        <v>503</v>
      </c>
      <c r="X72" s="22" t="s">
        <v>503</v>
      </c>
      <c r="Y72" s="22" t="s">
        <v>1081</v>
      </c>
      <c r="Z72" s="22" t="s">
        <v>503</v>
      </c>
      <c r="AA72" s="41"/>
      <c r="AB72" s="45">
        <v>181140.57</v>
      </c>
      <c r="AC72" s="29">
        <v>0</v>
      </c>
      <c r="AD72" s="41">
        <v>181140.57</v>
      </c>
      <c r="AE72" s="29">
        <v>0</v>
      </c>
      <c r="AF72" s="29">
        <f t="shared" si="17"/>
        <v>181140.57</v>
      </c>
      <c r="AG72" s="25">
        <v>0.12</v>
      </c>
      <c r="AH72" s="29">
        <f t="shared" si="45"/>
        <v>21736.868399999999</v>
      </c>
      <c r="AI72" s="29">
        <f>AE72*0.12</f>
        <v>0</v>
      </c>
      <c r="AJ72" s="29">
        <f t="shared" si="36"/>
        <v>202877.43840000001</v>
      </c>
      <c r="AK72" s="41">
        <v>160589.86000000002</v>
      </c>
      <c r="AL72" s="126">
        <f t="shared" si="44"/>
        <v>20550.709999999992</v>
      </c>
      <c r="AM72" s="41"/>
      <c r="AN72" s="41"/>
      <c r="AO72" s="41">
        <v>181140.57</v>
      </c>
      <c r="AP72" s="53"/>
      <c r="AQ72" s="41">
        <v>179004.21</v>
      </c>
      <c r="AR72" s="41"/>
      <c r="AS72" s="41"/>
      <c r="AT72" s="41"/>
      <c r="AU72" s="41"/>
      <c r="AV72" s="41"/>
      <c r="AW72" s="41"/>
      <c r="AX72" s="41"/>
      <c r="AY72" s="41"/>
      <c r="AZ72" s="41"/>
      <c r="BA72" s="41"/>
      <c r="BB72" s="41"/>
      <c r="BC72" s="41"/>
      <c r="BD72" s="37"/>
      <c r="BE72" s="37"/>
      <c r="BF72" s="29">
        <f t="shared" si="37"/>
        <v>2136.3600000000151</v>
      </c>
      <c r="BG72" s="29">
        <f t="shared" si="38"/>
        <v>2136.3600000000151</v>
      </c>
      <c r="BH72" s="37" t="s">
        <v>1563</v>
      </c>
      <c r="BI72" s="29" t="s">
        <v>570</v>
      </c>
      <c r="BJ72" s="29" t="s">
        <v>570</v>
      </c>
      <c r="BK72" s="29" t="s">
        <v>570</v>
      </c>
      <c r="BL72" s="29" t="s">
        <v>570</v>
      </c>
      <c r="BM72" s="29" t="s">
        <v>570</v>
      </c>
      <c r="BN72" s="22">
        <v>42346</v>
      </c>
      <c r="BO72" s="22">
        <v>42360</v>
      </c>
      <c r="BP72" s="22">
        <v>42366</v>
      </c>
      <c r="BQ72" s="22">
        <v>42377</v>
      </c>
      <c r="BR72" s="102" t="s">
        <v>570</v>
      </c>
      <c r="BS72" s="22">
        <v>42397</v>
      </c>
      <c r="BT72" s="22">
        <v>42405</v>
      </c>
      <c r="BU72" s="13" t="s">
        <v>570</v>
      </c>
      <c r="BV72" s="13" t="s">
        <v>570</v>
      </c>
      <c r="BW72" s="224" t="s">
        <v>570</v>
      </c>
      <c r="BX72" s="22">
        <v>42572</v>
      </c>
      <c r="BY72" s="22" t="s">
        <v>570</v>
      </c>
      <c r="BZ72" s="22">
        <v>42577</v>
      </c>
      <c r="CA72" s="22">
        <v>42577</v>
      </c>
      <c r="CB72" s="224" t="s">
        <v>570</v>
      </c>
      <c r="CC72" s="224" t="s">
        <v>570</v>
      </c>
      <c r="CD72" s="224" t="s">
        <v>570</v>
      </c>
      <c r="CE72" s="22"/>
      <c r="CF72" s="127" t="s">
        <v>829</v>
      </c>
      <c r="CG72" s="22"/>
      <c r="CH72" s="22"/>
      <c r="CI72" s="22"/>
      <c r="CJ72" s="22"/>
      <c r="CK72" s="22"/>
      <c r="CL72" s="22"/>
      <c r="CM72" s="22"/>
      <c r="CN72" s="22"/>
      <c r="CO72" s="22"/>
      <c r="CP72" s="22"/>
      <c r="CQ72" s="22"/>
      <c r="CR72" s="127" t="s">
        <v>829</v>
      </c>
      <c r="CS72" s="13" t="s">
        <v>570</v>
      </c>
      <c r="CT72" s="37" t="s">
        <v>452</v>
      </c>
      <c r="CU72" s="25">
        <v>0.05</v>
      </c>
      <c r="CV72" s="23">
        <v>42629</v>
      </c>
      <c r="CW72" s="30">
        <f>AQ72*0.5</f>
        <v>89502.104999999996</v>
      </c>
      <c r="CX72" s="30"/>
      <c r="CY72" s="23">
        <v>42733</v>
      </c>
      <c r="CZ72" s="30">
        <v>36004.19</v>
      </c>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31">
        <f t="shared" si="40"/>
        <v>125506.295</v>
      </c>
      <c r="DZ72" s="13"/>
      <c r="EA72" s="13"/>
      <c r="EB72" s="13"/>
      <c r="EC72" s="13"/>
      <c r="ED72" s="13"/>
      <c r="EE72" s="13"/>
      <c r="EF72" s="13"/>
      <c r="EG72" s="13">
        <v>120</v>
      </c>
      <c r="EH72" s="13" t="s">
        <v>588</v>
      </c>
      <c r="EI72" s="23">
        <f t="shared" si="42"/>
        <v>42630</v>
      </c>
      <c r="EJ72" s="23">
        <f t="shared" si="43"/>
        <v>42750</v>
      </c>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25"/>
      <c r="FI72" s="25"/>
      <c r="FJ72" s="25"/>
      <c r="FK72" s="25"/>
      <c r="FL72" s="25"/>
      <c r="FM72" s="25"/>
      <c r="FN72" s="25"/>
      <c r="FO72" s="25"/>
      <c r="FP72" s="25">
        <v>0.06</v>
      </c>
      <c r="FQ72" s="25">
        <v>0.06</v>
      </c>
      <c r="FR72" s="25">
        <v>0.36</v>
      </c>
      <c r="FS72" s="25">
        <v>0.6</v>
      </c>
      <c r="FT72" s="25">
        <v>0.7</v>
      </c>
      <c r="FU72" s="25">
        <v>0.72</v>
      </c>
      <c r="FV72" s="25">
        <v>0.8</v>
      </c>
      <c r="FW72" s="25">
        <v>0.8</v>
      </c>
      <c r="FX72" s="25">
        <v>1</v>
      </c>
      <c r="FY72" s="25">
        <v>1</v>
      </c>
      <c r="FZ72" s="25">
        <v>1</v>
      </c>
      <c r="GA72" s="25">
        <v>1</v>
      </c>
      <c r="GB72" s="25">
        <v>1</v>
      </c>
      <c r="GC72" s="25">
        <v>1</v>
      </c>
      <c r="GD72" s="25">
        <v>1</v>
      </c>
      <c r="GE72" s="25">
        <v>1</v>
      </c>
      <c r="GF72" s="25">
        <v>1</v>
      </c>
      <c r="GG72" s="25">
        <v>1</v>
      </c>
      <c r="GH72" s="25">
        <v>1</v>
      </c>
      <c r="GI72" s="25">
        <v>1</v>
      </c>
      <c r="GJ72" s="25">
        <v>1</v>
      </c>
      <c r="GK72" s="25">
        <v>1</v>
      </c>
      <c r="GL72" s="25">
        <v>1</v>
      </c>
      <c r="GM72" s="25">
        <v>1</v>
      </c>
      <c r="GN72" s="25">
        <v>1</v>
      </c>
      <c r="GO72" s="25">
        <v>1</v>
      </c>
      <c r="GP72" s="25">
        <v>1</v>
      </c>
      <c r="GQ72" s="25">
        <v>1</v>
      </c>
      <c r="GR72" s="25">
        <v>1</v>
      </c>
      <c r="GS72" s="25">
        <v>1</v>
      </c>
      <c r="GT72" s="25">
        <v>1</v>
      </c>
      <c r="GU72" s="25">
        <v>1</v>
      </c>
      <c r="GV72" s="25" t="s">
        <v>1588</v>
      </c>
      <c r="GW72" s="25" t="s">
        <v>1588</v>
      </c>
      <c r="GX72" s="25" t="s">
        <v>1588</v>
      </c>
      <c r="GY72" s="25" t="s">
        <v>1588</v>
      </c>
      <c r="GZ72" s="25" t="s">
        <v>1588</v>
      </c>
      <c r="HA72" s="25" t="s">
        <v>1588</v>
      </c>
      <c r="HB72" s="25" t="s">
        <v>455</v>
      </c>
      <c r="HC72" s="25" t="s">
        <v>455</v>
      </c>
      <c r="HD72" s="25" t="s">
        <v>455</v>
      </c>
      <c r="HE72" s="25" t="s">
        <v>455</v>
      </c>
      <c r="HF72" s="25" t="s">
        <v>455</v>
      </c>
      <c r="HG72" s="25" t="s">
        <v>455</v>
      </c>
      <c r="HH72" s="25" t="s">
        <v>455</v>
      </c>
      <c r="HI72" s="25"/>
      <c r="HJ72" s="25"/>
      <c r="HK72" s="25"/>
      <c r="HL72" s="25"/>
      <c r="HM72" s="25" t="s">
        <v>1732</v>
      </c>
      <c r="HN72" s="25"/>
      <c r="HO72" s="25" t="s">
        <v>1839</v>
      </c>
      <c r="HP72" s="25"/>
      <c r="HQ72" s="25"/>
      <c r="HR72" s="25"/>
      <c r="HS72" s="25"/>
      <c r="HT72" s="25"/>
      <c r="HU72" s="13" t="s">
        <v>476</v>
      </c>
      <c r="HV72" s="13"/>
      <c r="HW72" s="32"/>
      <c r="HX72" s="55"/>
      <c r="HY72" s="55"/>
      <c r="HZ72" s="55"/>
      <c r="IA72" s="55"/>
      <c r="IB72" s="55"/>
      <c r="IC72" s="55"/>
      <c r="ID72" s="55"/>
      <c r="IE72" s="55"/>
      <c r="IF72" s="107">
        <v>181140.57</v>
      </c>
      <c r="IG72" s="107"/>
      <c r="IH72" s="250">
        <f t="shared" si="41"/>
        <v>160589.86000000002</v>
      </c>
      <c r="II72" s="55"/>
      <c r="IJ72" s="55"/>
      <c r="IK72" s="55"/>
      <c r="IL72" s="55"/>
      <c r="IM72" s="55"/>
      <c r="IN72" s="55"/>
      <c r="IO72" s="55"/>
      <c r="IP72" s="55"/>
      <c r="IQ72" s="55"/>
      <c r="IR72" s="55"/>
      <c r="IS72" s="55"/>
      <c r="IT72" s="55"/>
      <c r="IU72" s="55"/>
      <c r="IV72" s="55"/>
      <c r="IW72" s="55"/>
      <c r="IX72" s="55"/>
      <c r="IY72" s="55"/>
      <c r="IZ72" s="55"/>
      <c r="JA72" s="55"/>
      <c r="JB72" s="55"/>
      <c r="JC72" s="55"/>
      <c r="JD72" s="55">
        <v>2017</v>
      </c>
    </row>
    <row r="73" spans="1:264" s="5" customFormat="1" ht="24.95" hidden="1" customHeight="1">
      <c r="A73" s="26" t="s">
        <v>44</v>
      </c>
      <c r="B73" s="26" t="s">
        <v>27</v>
      </c>
      <c r="C73" s="13" t="s">
        <v>352</v>
      </c>
      <c r="D73" s="13" t="s">
        <v>377</v>
      </c>
      <c r="E73" s="16" t="s">
        <v>355</v>
      </c>
      <c r="F73" s="13" t="s">
        <v>355</v>
      </c>
      <c r="G73" s="26" t="s">
        <v>354</v>
      </c>
      <c r="H73" s="13" t="s">
        <v>1556</v>
      </c>
      <c r="I73" s="21" t="s">
        <v>52</v>
      </c>
      <c r="J73" s="26">
        <v>4</v>
      </c>
      <c r="K73" s="49" t="s">
        <v>375</v>
      </c>
      <c r="L73" s="26" t="s">
        <v>51</v>
      </c>
      <c r="M73" s="20" t="s">
        <v>52</v>
      </c>
      <c r="N73" s="20"/>
      <c r="O73" s="13" t="s">
        <v>3</v>
      </c>
      <c r="P73" s="13" t="s">
        <v>4</v>
      </c>
      <c r="Q73" s="22" t="s">
        <v>1118</v>
      </c>
      <c r="R73" s="26" t="s">
        <v>51</v>
      </c>
      <c r="S73" s="13" t="s">
        <v>396</v>
      </c>
      <c r="T73" s="13" t="s">
        <v>1387</v>
      </c>
      <c r="U73" s="13" t="s">
        <v>479</v>
      </c>
      <c r="V73" s="13" t="s">
        <v>475</v>
      </c>
      <c r="W73" s="13"/>
      <c r="X73" s="13"/>
      <c r="Y73" s="13"/>
      <c r="Z73" s="13"/>
      <c r="AA73" s="41"/>
      <c r="AB73" s="45">
        <v>127000</v>
      </c>
      <c r="AC73" s="29">
        <v>0</v>
      </c>
      <c r="AD73" s="41">
        <v>127000</v>
      </c>
      <c r="AE73" s="29">
        <v>0</v>
      </c>
      <c r="AF73" s="29">
        <f t="shared" si="17"/>
        <v>127000</v>
      </c>
      <c r="AG73" s="25">
        <v>0.12</v>
      </c>
      <c r="AH73" s="29">
        <f t="shared" si="45"/>
        <v>15240</v>
      </c>
      <c r="AI73" s="29">
        <f>AE73*0.12</f>
        <v>0</v>
      </c>
      <c r="AJ73" s="29">
        <f t="shared" si="36"/>
        <v>142240</v>
      </c>
      <c r="AK73" s="29">
        <v>125518.06</v>
      </c>
      <c r="AL73" s="126">
        <f t="shared" si="44"/>
        <v>1481.9400000000023</v>
      </c>
      <c r="AM73" s="29"/>
      <c r="AN73" s="41"/>
      <c r="AO73" s="41">
        <v>126999.99999999999</v>
      </c>
      <c r="AP73" s="41"/>
      <c r="AQ73" s="41">
        <v>125523.97</v>
      </c>
      <c r="AR73" s="41"/>
      <c r="AS73" s="41"/>
      <c r="AT73" s="41"/>
      <c r="AU73" s="41"/>
      <c r="AV73" s="41"/>
      <c r="AW73" s="41"/>
      <c r="AX73" s="41"/>
      <c r="AY73" s="41"/>
      <c r="AZ73" s="41"/>
      <c r="BA73" s="41"/>
      <c r="BB73" s="41"/>
      <c r="BC73" s="41"/>
      <c r="BD73" s="37"/>
      <c r="BE73" s="37"/>
      <c r="BF73" s="29">
        <f t="shared" si="37"/>
        <v>1476.0299999999988</v>
      </c>
      <c r="BG73" s="29">
        <f t="shared" si="38"/>
        <v>1476.0299999999988</v>
      </c>
      <c r="BH73" s="37" t="s">
        <v>1563</v>
      </c>
      <c r="BI73" s="29" t="s">
        <v>570</v>
      </c>
      <c r="BJ73" s="29" t="s">
        <v>570</v>
      </c>
      <c r="BK73" s="29" t="s">
        <v>570</v>
      </c>
      <c r="BL73" s="29" t="s">
        <v>570</v>
      </c>
      <c r="BM73" s="29" t="s">
        <v>570</v>
      </c>
      <c r="BN73" s="22">
        <v>42251</v>
      </c>
      <c r="BO73" s="22">
        <v>42261</v>
      </c>
      <c r="BP73" s="22">
        <v>42268</v>
      </c>
      <c r="BQ73" s="22">
        <v>42648</v>
      </c>
      <c r="BR73" s="102" t="s">
        <v>570</v>
      </c>
      <c r="BS73" s="22">
        <v>42663</v>
      </c>
      <c r="BT73" s="22">
        <v>42670</v>
      </c>
      <c r="BU73" s="13" t="s">
        <v>570</v>
      </c>
      <c r="BV73" s="13" t="s">
        <v>570</v>
      </c>
      <c r="BW73" s="224" t="s">
        <v>570</v>
      </c>
      <c r="BX73" s="22">
        <v>42342</v>
      </c>
      <c r="BY73" s="22" t="s">
        <v>570</v>
      </c>
      <c r="BZ73" s="22">
        <v>42342</v>
      </c>
      <c r="CA73" s="22">
        <v>42352</v>
      </c>
      <c r="CB73" s="224" t="s">
        <v>570</v>
      </c>
      <c r="CC73" s="224" t="s">
        <v>570</v>
      </c>
      <c r="CD73" s="224" t="s">
        <v>570</v>
      </c>
      <c r="CE73" s="22"/>
      <c r="CF73" s="127" t="s">
        <v>829</v>
      </c>
      <c r="CG73" s="22"/>
      <c r="CH73" s="22"/>
      <c r="CI73" s="22"/>
      <c r="CJ73" s="22"/>
      <c r="CK73" s="22"/>
      <c r="CL73" s="22"/>
      <c r="CM73" s="22"/>
      <c r="CN73" s="22"/>
      <c r="CO73" s="22"/>
      <c r="CP73" s="22"/>
      <c r="CQ73" s="22"/>
      <c r="CR73" s="127" t="s">
        <v>829</v>
      </c>
      <c r="CS73" s="13" t="s">
        <v>570</v>
      </c>
      <c r="CT73" s="37" t="s">
        <v>452</v>
      </c>
      <c r="CU73" s="25">
        <v>0.05</v>
      </c>
      <c r="CV73" s="23">
        <v>42418</v>
      </c>
      <c r="CW73" s="30">
        <v>62761.98</v>
      </c>
      <c r="CX73" s="30"/>
      <c r="CY73" s="23">
        <v>42684</v>
      </c>
      <c r="CZ73" s="30">
        <v>62756.08</v>
      </c>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31">
        <f t="shared" si="40"/>
        <v>125518.06</v>
      </c>
      <c r="DZ73" s="13"/>
      <c r="EA73" s="13"/>
      <c r="EB73" s="13"/>
      <c r="EC73" s="13"/>
      <c r="ED73" s="13"/>
      <c r="EE73" s="13"/>
      <c r="EF73" s="13"/>
      <c r="EG73" s="44">
        <v>150</v>
      </c>
      <c r="EH73" s="13" t="s">
        <v>588</v>
      </c>
      <c r="EI73" s="23">
        <f t="shared" si="42"/>
        <v>42419</v>
      </c>
      <c r="EJ73" s="23">
        <f t="shared" si="43"/>
        <v>42569</v>
      </c>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25">
        <v>0.26</v>
      </c>
      <c r="FK73" s="25">
        <v>0.26</v>
      </c>
      <c r="FL73" s="25">
        <v>0.26</v>
      </c>
      <c r="FM73" s="25">
        <v>0.26</v>
      </c>
      <c r="FN73" s="25">
        <v>0.96</v>
      </c>
      <c r="FO73" s="25">
        <v>1</v>
      </c>
      <c r="FP73" s="25">
        <v>1</v>
      </c>
      <c r="FQ73" s="25">
        <v>1</v>
      </c>
      <c r="FR73" s="25">
        <v>1</v>
      </c>
      <c r="FS73" s="25">
        <v>1</v>
      </c>
      <c r="FT73" s="25">
        <v>1</v>
      </c>
      <c r="FU73" s="25">
        <v>1</v>
      </c>
      <c r="FV73" s="25">
        <v>1</v>
      </c>
      <c r="FW73" s="25">
        <v>1</v>
      </c>
      <c r="FX73" s="25">
        <v>1</v>
      </c>
      <c r="FY73" s="25">
        <v>1</v>
      </c>
      <c r="FZ73" s="25">
        <v>1</v>
      </c>
      <c r="GA73" s="25">
        <v>1</v>
      </c>
      <c r="GB73" s="25">
        <v>1</v>
      </c>
      <c r="GC73" s="25">
        <v>1</v>
      </c>
      <c r="GD73" s="25">
        <v>1</v>
      </c>
      <c r="GE73" s="25">
        <v>1</v>
      </c>
      <c r="GF73" s="25">
        <v>1</v>
      </c>
      <c r="GG73" s="25">
        <v>1</v>
      </c>
      <c r="GH73" s="25">
        <v>1</v>
      </c>
      <c r="GI73" s="25">
        <v>1</v>
      </c>
      <c r="GJ73" s="25">
        <v>1</v>
      </c>
      <c r="GK73" s="25">
        <v>1</v>
      </c>
      <c r="GL73" s="25">
        <v>1</v>
      </c>
      <c r="GM73" s="25">
        <v>1</v>
      </c>
      <c r="GN73" s="25">
        <v>1</v>
      </c>
      <c r="GO73" s="25">
        <v>1</v>
      </c>
      <c r="GP73" s="25">
        <v>1</v>
      </c>
      <c r="GQ73" s="25">
        <v>1</v>
      </c>
      <c r="GR73" s="25">
        <v>1</v>
      </c>
      <c r="GS73" s="25">
        <v>1</v>
      </c>
      <c r="GT73" s="25">
        <v>1</v>
      </c>
      <c r="GU73" s="25">
        <v>1</v>
      </c>
      <c r="GV73" s="25" t="s">
        <v>455</v>
      </c>
      <c r="GW73" s="25" t="s">
        <v>455</v>
      </c>
      <c r="GX73" s="25" t="s">
        <v>455</v>
      </c>
      <c r="GY73" s="25" t="s">
        <v>455</v>
      </c>
      <c r="GZ73" s="25" t="s">
        <v>455</v>
      </c>
      <c r="HA73" s="25" t="s">
        <v>455</v>
      </c>
      <c r="HB73" s="25" t="s">
        <v>455</v>
      </c>
      <c r="HC73" s="25" t="s">
        <v>455</v>
      </c>
      <c r="HD73" s="25" t="s">
        <v>455</v>
      </c>
      <c r="HE73" s="25" t="s">
        <v>455</v>
      </c>
      <c r="HF73" s="25" t="s">
        <v>455</v>
      </c>
      <c r="HG73" s="25" t="s">
        <v>455</v>
      </c>
      <c r="HH73" s="25" t="s">
        <v>455</v>
      </c>
      <c r="HI73" s="25"/>
      <c r="HJ73" s="25"/>
      <c r="HK73" s="25"/>
      <c r="HL73" s="25"/>
      <c r="HM73" s="25"/>
      <c r="HN73" s="25"/>
      <c r="HO73" s="25"/>
      <c r="HP73" s="25"/>
      <c r="HQ73" s="25"/>
      <c r="HR73" s="25"/>
      <c r="HS73" s="25"/>
      <c r="HT73" s="25"/>
      <c r="HU73" s="13" t="s">
        <v>476</v>
      </c>
      <c r="HV73" s="13"/>
      <c r="HW73" s="32"/>
      <c r="HX73" s="55"/>
      <c r="HY73" s="55"/>
      <c r="HZ73" s="55"/>
      <c r="IA73" s="55"/>
      <c r="IB73" s="55"/>
      <c r="IC73" s="55"/>
      <c r="ID73" s="55"/>
      <c r="IE73" s="55"/>
      <c r="IF73" s="107">
        <v>127000</v>
      </c>
      <c r="IG73" s="107">
        <v>125518.06</v>
      </c>
      <c r="IH73" s="250">
        <f t="shared" si="41"/>
        <v>0</v>
      </c>
      <c r="II73" s="55"/>
      <c r="IJ73" s="55"/>
      <c r="IK73" s="55"/>
      <c r="IL73" s="55"/>
      <c r="IM73" s="55"/>
      <c r="IN73" s="55"/>
      <c r="IO73" s="55"/>
      <c r="IP73" s="55"/>
      <c r="IQ73" s="55"/>
      <c r="IR73" s="55"/>
      <c r="IS73" s="55"/>
      <c r="IT73" s="55"/>
      <c r="IU73" s="55"/>
      <c r="IV73" s="55"/>
      <c r="IW73" s="55"/>
      <c r="IX73" s="55"/>
      <c r="IY73" s="55"/>
      <c r="IZ73" s="55"/>
      <c r="JA73" s="55"/>
      <c r="JB73" s="55"/>
      <c r="JC73" s="55"/>
      <c r="JD73" s="55">
        <v>2016</v>
      </c>
    </row>
    <row r="74" spans="1:264" s="5" customFormat="1" ht="40.5" hidden="1" customHeight="1">
      <c r="A74" s="26" t="s">
        <v>44</v>
      </c>
      <c r="B74" s="26" t="s">
        <v>27</v>
      </c>
      <c r="C74" s="13" t="s">
        <v>352</v>
      </c>
      <c r="D74" s="13" t="s">
        <v>377</v>
      </c>
      <c r="E74" s="16" t="s">
        <v>378</v>
      </c>
      <c r="F74" s="13" t="s">
        <v>378</v>
      </c>
      <c r="G74" s="26" t="s">
        <v>354</v>
      </c>
      <c r="H74" s="13" t="s">
        <v>1556</v>
      </c>
      <c r="I74" s="21" t="s">
        <v>54</v>
      </c>
      <c r="J74" s="26">
        <v>5</v>
      </c>
      <c r="K74" s="49" t="s">
        <v>375</v>
      </c>
      <c r="L74" s="26" t="s">
        <v>53</v>
      </c>
      <c r="M74" s="20" t="s">
        <v>54</v>
      </c>
      <c r="N74" s="20"/>
      <c r="O74" s="13" t="s">
        <v>3</v>
      </c>
      <c r="P74" s="13" t="s">
        <v>4</v>
      </c>
      <c r="Q74" s="22" t="s">
        <v>1118</v>
      </c>
      <c r="R74" s="22" t="s">
        <v>53</v>
      </c>
      <c r="S74" s="13" t="s">
        <v>457</v>
      </c>
      <c r="T74" s="13" t="s">
        <v>1387</v>
      </c>
      <c r="U74" s="13" t="s">
        <v>477</v>
      </c>
      <c r="V74" s="13" t="s">
        <v>478</v>
      </c>
      <c r="W74" s="22" t="s">
        <v>503</v>
      </c>
      <c r="X74" s="22" t="s">
        <v>503</v>
      </c>
      <c r="Y74" s="22" t="s">
        <v>1082</v>
      </c>
      <c r="Z74" s="22" t="s">
        <v>503</v>
      </c>
      <c r="AA74" s="41"/>
      <c r="AB74" s="45">
        <v>92000</v>
      </c>
      <c r="AC74" s="29">
        <v>0</v>
      </c>
      <c r="AD74" s="41">
        <v>92000</v>
      </c>
      <c r="AE74" s="29">
        <v>0</v>
      </c>
      <c r="AF74" s="29">
        <f t="shared" si="17"/>
        <v>92000</v>
      </c>
      <c r="AG74" s="25">
        <v>0.12</v>
      </c>
      <c r="AH74" s="29">
        <f t="shared" si="45"/>
        <v>11040</v>
      </c>
      <c r="AI74" s="29">
        <f>AE74*0.12</f>
        <v>0</v>
      </c>
      <c r="AJ74" s="29">
        <f t="shared" si="36"/>
        <v>103040.00000000001</v>
      </c>
      <c r="AK74" s="29">
        <v>90380.860000000015</v>
      </c>
      <c r="AL74" s="126">
        <f t="shared" si="44"/>
        <v>1619.1399999999849</v>
      </c>
      <c r="AM74" s="29"/>
      <c r="AN74" s="41"/>
      <c r="AO74" s="41">
        <v>91999.999999999985</v>
      </c>
      <c r="AP74" s="41"/>
      <c r="AQ74" s="41">
        <v>90404.58</v>
      </c>
      <c r="AR74" s="41"/>
      <c r="AS74" s="41"/>
      <c r="AT74" s="41"/>
      <c r="AU74" s="41"/>
      <c r="AV74" s="41"/>
      <c r="AW74" s="41"/>
      <c r="AX74" s="41"/>
      <c r="AY74" s="41"/>
      <c r="AZ74" s="41"/>
      <c r="BA74" s="41"/>
      <c r="BB74" s="41"/>
      <c r="BC74" s="41"/>
      <c r="BD74" s="37"/>
      <c r="BE74" s="37"/>
      <c r="BF74" s="29">
        <f t="shared" si="37"/>
        <v>1595.4199999999983</v>
      </c>
      <c r="BG74" s="29">
        <f t="shared" si="38"/>
        <v>1595.4199999999983</v>
      </c>
      <c r="BH74" s="37" t="s">
        <v>1563</v>
      </c>
      <c r="BI74" s="29" t="s">
        <v>570</v>
      </c>
      <c r="BJ74" s="29" t="s">
        <v>570</v>
      </c>
      <c r="BK74" s="29" t="s">
        <v>570</v>
      </c>
      <c r="BL74" s="29" t="s">
        <v>570</v>
      </c>
      <c r="BM74" s="29" t="s">
        <v>570</v>
      </c>
      <c r="BN74" s="102">
        <v>42335</v>
      </c>
      <c r="BO74" s="102">
        <v>42349</v>
      </c>
      <c r="BP74" s="102">
        <v>42356</v>
      </c>
      <c r="BQ74" s="102">
        <v>42362</v>
      </c>
      <c r="BR74" s="102" t="s">
        <v>570</v>
      </c>
      <c r="BS74" s="22">
        <v>42380</v>
      </c>
      <c r="BT74" s="22">
        <v>42388</v>
      </c>
      <c r="BU74" s="13" t="s">
        <v>570</v>
      </c>
      <c r="BV74" s="13" t="s">
        <v>570</v>
      </c>
      <c r="BW74" s="224" t="s">
        <v>570</v>
      </c>
      <c r="BX74" s="22">
        <v>42572</v>
      </c>
      <c r="BY74" s="22" t="s">
        <v>570</v>
      </c>
      <c r="BZ74" s="22">
        <v>42577</v>
      </c>
      <c r="CA74" s="22">
        <v>42577</v>
      </c>
      <c r="CB74" s="224" t="s">
        <v>570</v>
      </c>
      <c r="CC74" s="224" t="s">
        <v>570</v>
      </c>
      <c r="CD74" s="224" t="s">
        <v>570</v>
      </c>
      <c r="CE74" s="22"/>
      <c r="CF74" s="127" t="s">
        <v>829</v>
      </c>
      <c r="CG74" s="22"/>
      <c r="CH74" s="22"/>
      <c r="CI74" s="22"/>
      <c r="CJ74" s="22"/>
      <c r="CK74" s="22"/>
      <c r="CL74" s="22"/>
      <c r="CM74" s="22"/>
      <c r="CN74" s="22"/>
      <c r="CO74" s="22"/>
      <c r="CP74" s="22"/>
      <c r="CQ74" s="22"/>
      <c r="CR74" s="127" t="s">
        <v>829</v>
      </c>
      <c r="CS74" s="13" t="s">
        <v>570</v>
      </c>
      <c r="CT74" s="37" t="s">
        <v>452</v>
      </c>
      <c r="CU74" s="25">
        <v>0.05</v>
      </c>
      <c r="CV74" s="23">
        <v>42629</v>
      </c>
      <c r="CW74" s="30">
        <f>AQ74*0.5</f>
        <v>45202.29</v>
      </c>
      <c r="CX74" s="46" t="s">
        <v>1255</v>
      </c>
      <c r="CY74" s="23">
        <v>42740</v>
      </c>
      <c r="CZ74" s="30">
        <f>44548.33-22274.17</f>
        <v>22274.160000000003</v>
      </c>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31">
        <f t="shared" si="40"/>
        <v>67476.450000000012</v>
      </c>
      <c r="DZ74" s="13"/>
      <c r="EA74" s="13"/>
      <c r="EB74" s="13"/>
      <c r="EC74" s="13"/>
      <c r="ED74" s="13"/>
      <c r="EE74" s="13"/>
      <c r="EF74" s="13"/>
      <c r="EG74" s="44">
        <v>120</v>
      </c>
      <c r="EH74" s="13" t="s">
        <v>588</v>
      </c>
      <c r="EI74" s="23">
        <f t="shared" si="42"/>
        <v>42630</v>
      </c>
      <c r="EJ74" s="23">
        <f t="shared" si="43"/>
        <v>42750</v>
      </c>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25"/>
      <c r="FI74" s="25"/>
      <c r="FJ74" s="25"/>
      <c r="FK74" s="25"/>
      <c r="FL74" s="25"/>
      <c r="FM74" s="25"/>
      <c r="FN74" s="25"/>
      <c r="FO74" s="25"/>
      <c r="FP74" s="25">
        <v>0.1</v>
      </c>
      <c r="FQ74" s="25">
        <v>0.42</v>
      </c>
      <c r="FR74" s="25">
        <v>0.57999999999999996</v>
      </c>
      <c r="FS74" s="25">
        <v>0.76</v>
      </c>
      <c r="FT74" s="25">
        <v>0.76</v>
      </c>
      <c r="FU74" s="25">
        <v>1</v>
      </c>
      <c r="FV74" s="25">
        <v>1</v>
      </c>
      <c r="FW74" s="25">
        <v>1</v>
      </c>
      <c r="FX74" s="25">
        <v>1</v>
      </c>
      <c r="FY74" s="25">
        <v>1</v>
      </c>
      <c r="FZ74" s="25">
        <v>1</v>
      </c>
      <c r="GA74" s="25">
        <v>1</v>
      </c>
      <c r="GB74" s="25">
        <v>1</v>
      </c>
      <c r="GC74" s="25">
        <v>1</v>
      </c>
      <c r="GD74" s="25">
        <v>1</v>
      </c>
      <c r="GE74" s="25">
        <v>1</v>
      </c>
      <c r="GF74" s="25">
        <v>1</v>
      </c>
      <c r="GG74" s="25">
        <v>1</v>
      </c>
      <c r="GH74" s="25">
        <v>1</v>
      </c>
      <c r="GI74" s="25">
        <v>1</v>
      </c>
      <c r="GJ74" s="25">
        <v>1</v>
      </c>
      <c r="GK74" s="25">
        <v>1</v>
      </c>
      <c r="GL74" s="25">
        <v>1</v>
      </c>
      <c r="GM74" s="25">
        <v>1</v>
      </c>
      <c r="GN74" s="25">
        <v>1</v>
      </c>
      <c r="GO74" s="25">
        <v>1</v>
      </c>
      <c r="GP74" s="25">
        <v>1</v>
      </c>
      <c r="GQ74" s="25">
        <v>1</v>
      </c>
      <c r="GR74" s="25">
        <v>1</v>
      </c>
      <c r="GS74" s="25">
        <v>1</v>
      </c>
      <c r="GT74" s="25">
        <v>1</v>
      </c>
      <c r="GU74" s="25">
        <v>1</v>
      </c>
      <c r="GV74" s="25" t="s">
        <v>1588</v>
      </c>
      <c r="GW74" s="25" t="s">
        <v>1588</v>
      </c>
      <c r="GX74" s="25" t="s">
        <v>1588</v>
      </c>
      <c r="GY74" s="25" t="s">
        <v>1588</v>
      </c>
      <c r="GZ74" s="25" t="s">
        <v>455</v>
      </c>
      <c r="HA74" s="25" t="s">
        <v>455</v>
      </c>
      <c r="HB74" s="25" t="s">
        <v>455</v>
      </c>
      <c r="HC74" s="25" t="s">
        <v>455</v>
      </c>
      <c r="HD74" s="25" t="s">
        <v>455</v>
      </c>
      <c r="HE74" s="25" t="s">
        <v>455</v>
      </c>
      <c r="HF74" s="25" t="s">
        <v>455</v>
      </c>
      <c r="HG74" s="25" t="s">
        <v>455</v>
      </c>
      <c r="HH74" s="25" t="s">
        <v>455</v>
      </c>
      <c r="HI74" s="25"/>
      <c r="HJ74" s="25"/>
      <c r="HK74" s="25"/>
      <c r="HL74" s="25"/>
      <c r="HM74" s="25" t="s">
        <v>1731</v>
      </c>
      <c r="HN74" s="25"/>
      <c r="HO74" s="25"/>
      <c r="HP74" s="25"/>
      <c r="HQ74" s="25"/>
      <c r="HR74" s="25"/>
      <c r="HS74" s="25"/>
      <c r="HT74" s="25"/>
      <c r="HU74" s="13" t="s">
        <v>485</v>
      </c>
      <c r="HV74" s="13"/>
      <c r="HW74" s="32"/>
      <c r="HX74" s="55"/>
      <c r="HY74" s="55"/>
      <c r="HZ74" s="55"/>
      <c r="IA74" s="55"/>
      <c r="IB74" s="55"/>
      <c r="IC74" s="55"/>
      <c r="ID74" s="55"/>
      <c r="IE74" s="55"/>
      <c r="IF74" s="107">
        <v>92000</v>
      </c>
      <c r="IG74" s="107">
        <v>90380.860000000015</v>
      </c>
      <c r="IH74" s="250">
        <f t="shared" si="41"/>
        <v>0</v>
      </c>
      <c r="II74" s="55"/>
      <c r="IJ74" s="55"/>
      <c r="IK74" s="55"/>
      <c r="IL74" s="55"/>
      <c r="IM74" s="55"/>
      <c r="IN74" s="55"/>
      <c r="IO74" s="55"/>
      <c r="IP74" s="55"/>
      <c r="IQ74" s="55"/>
      <c r="IR74" s="55"/>
      <c r="IS74" s="55"/>
      <c r="IT74" s="55"/>
      <c r="IU74" s="55"/>
      <c r="IV74" s="55"/>
      <c r="IW74" s="55"/>
      <c r="IX74" s="55"/>
      <c r="IY74" s="55"/>
      <c r="IZ74" s="55"/>
      <c r="JA74" s="55"/>
      <c r="JB74" s="55"/>
      <c r="JC74" s="55"/>
      <c r="JD74" s="55">
        <v>2017</v>
      </c>
    </row>
    <row r="75" spans="1:264" s="5" customFormat="1" ht="24.95" hidden="1" customHeight="1">
      <c r="A75" s="26" t="s">
        <v>44</v>
      </c>
      <c r="B75" s="26" t="s">
        <v>27</v>
      </c>
      <c r="C75" s="13" t="s">
        <v>349</v>
      </c>
      <c r="D75" s="13" t="s">
        <v>380</v>
      </c>
      <c r="E75" s="16" t="s">
        <v>350</v>
      </c>
      <c r="F75" s="13" t="s">
        <v>350</v>
      </c>
      <c r="G75" s="26" t="s">
        <v>354</v>
      </c>
      <c r="H75" s="13" t="s">
        <v>1556</v>
      </c>
      <c r="I75" s="20" t="s">
        <v>55</v>
      </c>
      <c r="J75" s="26">
        <v>6</v>
      </c>
      <c r="K75" s="49" t="s">
        <v>375</v>
      </c>
      <c r="L75" s="26" t="s">
        <v>1906</v>
      </c>
      <c r="M75" s="20" t="s">
        <v>55</v>
      </c>
      <c r="N75" s="20"/>
      <c r="O75" s="13" t="s">
        <v>3</v>
      </c>
      <c r="P75" s="13" t="s">
        <v>4</v>
      </c>
      <c r="Q75" s="22" t="s">
        <v>1118</v>
      </c>
      <c r="R75" s="26" t="s">
        <v>1906</v>
      </c>
      <c r="S75" s="13" t="s">
        <v>396</v>
      </c>
      <c r="T75" s="13" t="s">
        <v>1387</v>
      </c>
      <c r="U75" s="13" t="s">
        <v>479</v>
      </c>
      <c r="V75" s="13" t="s">
        <v>475</v>
      </c>
      <c r="W75" s="13"/>
      <c r="X75" s="13"/>
      <c r="Y75" s="13"/>
      <c r="Z75" s="13"/>
      <c r="AA75" s="41"/>
      <c r="AB75" s="45">
        <v>178141.84</v>
      </c>
      <c r="AC75" s="29">
        <v>0</v>
      </c>
      <c r="AD75" s="41">
        <v>178141.84</v>
      </c>
      <c r="AE75" s="29">
        <v>0</v>
      </c>
      <c r="AF75" s="29">
        <f t="shared" si="17"/>
        <v>178141.84</v>
      </c>
      <c r="AG75" s="25">
        <v>0.12</v>
      </c>
      <c r="AH75" s="29">
        <f t="shared" si="45"/>
        <v>21377.020799999998</v>
      </c>
      <c r="AI75" s="29">
        <f>AE75*0.12</f>
        <v>0</v>
      </c>
      <c r="AJ75" s="29">
        <f t="shared" si="36"/>
        <v>199518.86080000002</v>
      </c>
      <c r="AK75" s="29">
        <v>172987.84</v>
      </c>
      <c r="AL75" s="126">
        <f t="shared" si="44"/>
        <v>5154</v>
      </c>
      <c r="AM75" s="29"/>
      <c r="AN75" s="41"/>
      <c r="AO75" s="41">
        <v>178141.83999999997</v>
      </c>
      <c r="AP75" s="41"/>
      <c r="AQ75" s="41">
        <v>175387.84</v>
      </c>
      <c r="AR75" s="41"/>
      <c r="AS75" s="41"/>
      <c r="AT75" s="41"/>
      <c r="AU75" s="41"/>
      <c r="AV75" s="41"/>
      <c r="AW75" s="41"/>
      <c r="AX75" s="41"/>
      <c r="AY75" s="41"/>
      <c r="AZ75" s="41"/>
      <c r="BA75" s="41"/>
      <c r="BB75" s="41"/>
      <c r="BC75" s="41"/>
      <c r="BD75" s="37"/>
      <c r="BE75" s="37"/>
      <c r="BF75" s="29">
        <f t="shared" si="37"/>
        <v>2754</v>
      </c>
      <c r="BG75" s="29">
        <f t="shared" si="38"/>
        <v>2754</v>
      </c>
      <c r="BH75" s="37" t="s">
        <v>1563</v>
      </c>
      <c r="BI75" s="29" t="s">
        <v>570</v>
      </c>
      <c r="BJ75" s="29" t="s">
        <v>570</v>
      </c>
      <c r="BK75" s="29" t="s">
        <v>570</v>
      </c>
      <c r="BL75" s="29" t="s">
        <v>570</v>
      </c>
      <c r="BM75" s="29" t="s">
        <v>570</v>
      </c>
      <c r="BN75" s="22">
        <v>42251</v>
      </c>
      <c r="BO75" s="22">
        <v>42261</v>
      </c>
      <c r="BP75" s="22">
        <v>42268</v>
      </c>
      <c r="BQ75" s="22">
        <v>42282</v>
      </c>
      <c r="BR75" s="102" t="s">
        <v>570</v>
      </c>
      <c r="BS75" s="22">
        <v>42297</v>
      </c>
      <c r="BT75" s="22">
        <v>42304</v>
      </c>
      <c r="BU75" s="13" t="s">
        <v>570</v>
      </c>
      <c r="BV75" s="13" t="s">
        <v>570</v>
      </c>
      <c r="BW75" s="224" t="s">
        <v>570</v>
      </c>
      <c r="BX75" s="22">
        <v>42342</v>
      </c>
      <c r="BY75" s="22" t="s">
        <v>570</v>
      </c>
      <c r="BZ75" s="22">
        <v>42347</v>
      </c>
      <c r="CA75" s="22">
        <v>42353</v>
      </c>
      <c r="CB75" s="224" t="s">
        <v>570</v>
      </c>
      <c r="CC75" s="224" t="s">
        <v>570</v>
      </c>
      <c r="CD75" s="224" t="s">
        <v>570</v>
      </c>
      <c r="CE75" s="22"/>
      <c r="CF75" s="127" t="s">
        <v>829</v>
      </c>
      <c r="CG75" s="22"/>
      <c r="CH75" s="22"/>
      <c r="CI75" s="22"/>
      <c r="CJ75" s="22"/>
      <c r="CK75" s="22"/>
      <c r="CL75" s="22"/>
      <c r="CM75" s="22"/>
      <c r="CN75" s="22"/>
      <c r="CO75" s="22"/>
      <c r="CP75" s="22"/>
      <c r="CQ75" s="22"/>
      <c r="CR75" s="127" t="s">
        <v>829</v>
      </c>
      <c r="CS75" s="13" t="s">
        <v>570</v>
      </c>
      <c r="CT75" s="37" t="s">
        <v>452</v>
      </c>
      <c r="CU75" s="25">
        <v>0.05</v>
      </c>
      <c r="CV75" s="23">
        <v>42418</v>
      </c>
      <c r="CW75" s="30">
        <f>AQ75*0.5</f>
        <v>87693.92</v>
      </c>
      <c r="CX75" s="30"/>
      <c r="CY75" s="23">
        <v>42661</v>
      </c>
      <c r="CZ75" s="30">
        <v>85293.92</v>
      </c>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31">
        <f t="shared" si="40"/>
        <v>172987.84</v>
      </c>
      <c r="DZ75" s="13"/>
      <c r="EA75" s="13"/>
      <c r="EB75" s="13"/>
      <c r="EC75" s="13"/>
      <c r="ED75" s="13"/>
      <c r="EE75" s="13"/>
      <c r="EF75" s="13"/>
      <c r="EG75" s="13">
        <v>120</v>
      </c>
      <c r="EH75" s="13" t="s">
        <v>588</v>
      </c>
      <c r="EI75" s="23">
        <f t="shared" si="42"/>
        <v>42419</v>
      </c>
      <c r="EJ75" s="22">
        <f t="shared" si="43"/>
        <v>42539</v>
      </c>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5"/>
      <c r="FI75" s="25"/>
      <c r="FJ75" s="25">
        <v>0.16</v>
      </c>
      <c r="FK75" s="25">
        <v>0.5</v>
      </c>
      <c r="FL75" s="25">
        <v>0.68</v>
      </c>
      <c r="FM75" s="25">
        <v>0.68</v>
      </c>
      <c r="FN75" s="25">
        <v>0.96</v>
      </c>
      <c r="FO75" s="25">
        <v>1</v>
      </c>
      <c r="FP75" s="25">
        <v>1</v>
      </c>
      <c r="FQ75" s="25">
        <v>1</v>
      </c>
      <c r="FR75" s="25">
        <v>1</v>
      </c>
      <c r="FS75" s="25">
        <v>1</v>
      </c>
      <c r="FT75" s="25">
        <v>1</v>
      </c>
      <c r="FU75" s="25">
        <v>1</v>
      </c>
      <c r="FV75" s="25">
        <v>1</v>
      </c>
      <c r="FW75" s="25">
        <v>1</v>
      </c>
      <c r="FX75" s="25">
        <v>1</v>
      </c>
      <c r="FY75" s="25">
        <v>1</v>
      </c>
      <c r="FZ75" s="25">
        <v>1</v>
      </c>
      <c r="GA75" s="25">
        <v>1</v>
      </c>
      <c r="GB75" s="25">
        <v>1</v>
      </c>
      <c r="GC75" s="25">
        <v>1</v>
      </c>
      <c r="GD75" s="25">
        <v>1</v>
      </c>
      <c r="GE75" s="25">
        <v>1</v>
      </c>
      <c r="GF75" s="25">
        <v>1</v>
      </c>
      <c r="GG75" s="25">
        <v>1</v>
      </c>
      <c r="GH75" s="25">
        <v>1</v>
      </c>
      <c r="GI75" s="25">
        <v>1</v>
      </c>
      <c r="GJ75" s="25">
        <v>1</v>
      </c>
      <c r="GK75" s="25">
        <v>1</v>
      </c>
      <c r="GL75" s="25">
        <v>1</v>
      </c>
      <c r="GM75" s="25">
        <v>1</v>
      </c>
      <c r="GN75" s="25">
        <v>1</v>
      </c>
      <c r="GO75" s="25">
        <v>1</v>
      </c>
      <c r="GP75" s="25">
        <v>1</v>
      </c>
      <c r="GQ75" s="25">
        <v>1</v>
      </c>
      <c r="GR75" s="25">
        <v>1</v>
      </c>
      <c r="GS75" s="25">
        <v>1</v>
      </c>
      <c r="GT75" s="25">
        <v>1</v>
      </c>
      <c r="GU75" s="25">
        <v>1</v>
      </c>
      <c r="GV75" s="25" t="s">
        <v>455</v>
      </c>
      <c r="GW75" s="25" t="s">
        <v>455</v>
      </c>
      <c r="GX75" s="25" t="s">
        <v>455</v>
      </c>
      <c r="GY75" s="25" t="s">
        <v>455</v>
      </c>
      <c r="GZ75" s="25" t="s">
        <v>455</v>
      </c>
      <c r="HA75" s="25" t="s">
        <v>455</v>
      </c>
      <c r="HB75" s="25" t="s">
        <v>455</v>
      </c>
      <c r="HC75" s="25" t="s">
        <v>455</v>
      </c>
      <c r="HD75" s="25" t="s">
        <v>455</v>
      </c>
      <c r="HE75" s="25" t="s">
        <v>455</v>
      </c>
      <c r="HF75" s="25" t="s">
        <v>455</v>
      </c>
      <c r="HG75" s="25" t="s">
        <v>455</v>
      </c>
      <c r="HH75" s="25" t="s">
        <v>455</v>
      </c>
      <c r="HI75" s="25"/>
      <c r="HJ75" s="25"/>
      <c r="HK75" s="25"/>
      <c r="HL75" s="25"/>
      <c r="HM75" s="25"/>
      <c r="HN75" s="25"/>
      <c r="HO75" s="25"/>
      <c r="HP75" s="25"/>
      <c r="HQ75" s="25"/>
      <c r="HR75" s="25"/>
      <c r="HS75" s="25"/>
      <c r="HT75" s="25"/>
      <c r="HU75" s="13" t="s">
        <v>476</v>
      </c>
      <c r="HV75" s="13"/>
      <c r="HW75" s="32"/>
      <c r="HX75" s="55"/>
      <c r="HY75" s="55"/>
      <c r="HZ75" s="55"/>
      <c r="IA75" s="55"/>
      <c r="IB75" s="55"/>
      <c r="IC75" s="55"/>
      <c r="ID75" s="55"/>
      <c r="IE75" s="55"/>
      <c r="IF75" s="107">
        <v>178141.84</v>
      </c>
      <c r="IG75" s="107">
        <v>172987.84</v>
      </c>
      <c r="IH75" s="250">
        <f t="shared" si="41"/>
        <v>0</v>
      </c>
      <c r="II75" s="55"/>
      <c r="IJ75" s="55"/>
      <c r="IK75" s="55"/>
      <c r="IL75" s="55"/>
      <c r="IM75" s="55"/>
      <c r="IN75" s="55"/>
      <c r="IO75" s="55"/>
      <c r="IP75" s="55"/>
      <c r="IQ75" s="55"/>
      <c r="IR75" s="55"/>
      <c r="IS75" s="55"/>
      <c r="IT75" s="55"/>
      <c r="IU75" s="55"/>
      <c r="IV75" s="55"/>
      <c r="IW75" s="55"/>
      <c r="IX75" s="55"/>
      <c r="IY75" s="55"/>
      <c r="IZ75" s="55"/>
      <c r="JA75" s="55"/>
      <c r="JB75" s="55"/>
      <c r="JC75" s="55"/>
      <c r="JD75" s="55">
        <v>2016</v>
      </c>
    </row>
    <row r="76" spans="1:264" s="5" customFormat="1" ht="24.95" hidden="1" customHeight="1">
      <c r="A76" s="26" t="s">
        <v>56</v>
      </c>
      <c r="B76" s="26" t="s">
        <v>27</v>
      </c>
      <c r="C76" s="13" t="s">
        <v>349</v>
      </c>
      <c r="D76" s="13" t="s">
        <v>380</v>
      </c>
      <c r="E76" s="16" t="s">
        <v>350</v>
      </c>
      <c r="F76" s="13" t="s">
        <v>350</v>
      </c>
      <c r="G76" s="26" t="s">
        <v>351</v>
      </c>
      <c r="H76" s="13" t="s">
        <v>1516</v>
      </c>
      <c r="I76" s="21" t="s">
        <v>413</v>
      </c>
      <c r="J76" s="26">
        <v>1</v>
      </c>
      <c r="K76" s="49" t="s">
        <v>375</v>
      </c>
      <c r="L76" s="26" t="s">
        <v>57</v>
      </c>
      <c r="M76" s="20" t="s">
        <v>58</v>
      </c>
      <c r="N76" s="20" t="s">
        <v>1942</v>
      </c>
      <c r="O76" s="13" t="s">
        <v>3</v>
      </c>
      <c r="P76" s="13" t="s">
        <v>4</v>
      </c>
      <c r="Q76" s="22" t="s">
        <v>1118</v>
      </c>
      <c r="R76" s="26" t="s">
        <v>57</v>
      </c>
      <c r="S76" s="13" t="s">
        <v>708</v>
      </c>
      <c r="T76" s="13" t="s">
        <v>1387</v>
      </c>
      <c r="U76" s="13" t="s">
        <v>479</v>
      </c>
      <c r="V76" s="13" t="s">
        <v>709</v>
      </c>
      <c r="W76" s="22" t="s">
        <v>1084</v>
      </c>
      <c r="X76" s="22" t="s">
        <v>503</v>
      </c>
      <c r="Y76" s="22" t="s">
        <v>1083</v>
      </c>
      <c r="Z76" s="22" t="s">
        <v>503</v>
      </c>
      <c r="AA76" s="41">
        <v>581085.75</v>
      </c>
      <c r="AB76" s="45">
        <v>597593.03</v>
      </c>
      <c r="AC76" s="41">
        <v>581085.75</v>
      </c>
      <c r="AD76" s="41">
        <v>597593.02678571397</v>
      </c>
      <c r="AE76" s="29">
        <f>AK76-AB76</f>
        <v>68907.420000000042</v>
      </c>
      <c r="AF76" s="29">
        <f t="shared" si="17"/>
        <v>666500.44678571401</v>
      </c>
      <c r="AG76" s="25">
        <v>0.12</v>
      </c>
      <c r="AH76" s="29">
        <f t="shared" si="45"/>
        <v>71711.163214285669</v>
      </c>
      <c r="AI76" s="29">
        <f>AK76-AB76</f>
        <v>68907.420000000042</v>
      </c>
      <c r="AJ76" s="29">
        <f t="shared" si="36"/>
        <v>746480.50039999979</v>
      </c>
      <c r="AK76" s="29">
        <v>666500.45000000007</v>
      </c>
      <c r="AL76" s="126">
        <v>0</v>
      </c>
      <c r="AM76" s="29"/>
      <c r="AN76" s="41"/>
      <c r="AO76" s="41">
        <v>597593.0267857142</v>
      </c>
      <c r="AP76" s="41"/>
      <c r="AQ76" s="41">
        <v>647087.81999999995</v>
      </c>
      <c r="AR76" s="41"/>
      <c r="AS76" s="41"/>
      <c r="AT76" s="41"/>
      <c r="AU76" s="41"/>
      <c r="AV76" s="41"/>
      <c r="AW76" s="41"/>
      <c r="AX76" s="41"/>
      <c r="AY76" s="41"/>
      <c r="AZ76" s="41"/>
      <c r="BA76" s="41"/>
      <c r="BB76" s="41"/>
      <c r="BC76" s="41"/>
      <c r="BD76" s="37"/>
      <c r="BE76" s="37"/>
      <c r="BF76" s="29">
        <f t="shared" si="37"/>
        <v>-49494.789999999921</v>
      </c>
      <c r="BG76" s="29">
        <f t="shared" si="38"/>
        <v>-49494.789999999921</v>
      </c>
      <c r="BH76" s="37" t="s">
        <v>594</v>
      </c>
      <c r="BI76" s="29" t="s">
        <v>570</v>
      </c>
      <c r="BJ76" s="29" t="s">
        <v>570</v>
      </c>
      <c r="BK76" s="29" t="s">
        <v>570</v>
      </c>
      <c r="BL76" s="29" t="s">
        <v>570</v>
      </c>
      <c r="BM76" s="29" t="s">
        <v>570</v>
      </c>
      <c r="BN76" s="23">
        <v>42256</v>
      </c>
      <c r="BO76" s="23">
        <v>42265</v>
      </c>
      <c r="BP76" s="23">
        <v>42272</v>
      </c>
      <c r="BQ76" s="23">
        <v>42284</v>
      </c>
      <c r="BR76" s="13" t="s">
        <v>570</v>
      </c>
      <c r="BS76" s="23">
        <v>42659</v>
      </c>
      <c r="BT76" s="23">
        <v>42297</v>
      </c>
      <c r="BU76" s="13" t="s">
        <v>570</v>
      </c>
      <c r="BV76" s="13" t="s">
        <v>570</v>
      </c>
      <c r="BW76" s="224" t="s">
        <v>570</v>
      </c>
      <c r="BX76" s="13" t="s">
        <v>503</v>
      </c>
      <c r="BY76" s="13" t="s">
        <v>570</v>
      </c>
      <c r="BZ76" s="23">
        <v>42398</v>
      </c>
      <c r="CA76" s="23">
        <v>42398</v>
      </c>
      <c r="CB76" s="224" t="s">
        <v>570</v>
      </c>
      <c r="CC76" s="224" t="s">
        <v>570</v>
      </c>
      <c r="CD76" s="224" t="s">
        <v>570</v>
      </c>
      <c r="CE76" s="23"/>
      <c r="CF76" s="127" t="s">
        <v>829</v>
      </c>
      <c r="CG76" s="23"/>
      <c r="CH76" s="23"/>
      <c r="CI76" s="23"/>
      <c r="CJ76" s="23"/>
      <c r="CK76" s="23"/>
      <c r="CL76" s="23"/>
      <c r="CM76" s="23"/>
      <c r="CN76" s="23"/>
      <c r="CO76" s="23"/>
      <c r="CP76" s="23"/>
      <c r="CQ76" s="23"/>
      <c r="CR76" s="127" t="s">
        <v>829</v>
      </c>
      <c r="CS76" s="13" t="s">
        <v>570</v>
      </c>
      <c r="CT76" s="37" t="s">
        <v>452</v>
      </c>
      <c r="CU76" s="25">
        <v>0.05</v>
      </c>
      <c r="CV76" s="23">
        <v>42530</v>
      </c>
      <c r="CW76" s="30">
        <f>AQ76*0.5</f>
        <v>323543.90999999997</v>
      </c>
      <c r="CX76" s="161" t="s">
        <v>1420</v>
      </c>
      <c r="CY76" s="99">
        <v>42796</v>
      </c>
      <c r="CZ76" s="54">
        <f>291189.52-161771.96</f>
        <v>129417.56000000003</v>
      </c>
      <c r="DA76" s="161" t="s">
        <v>1421</v>
      </c>
      <c r="DB76" s="99">
        <v>42828</v>
      </c>
      <c r="DC76" s="54">
        <f>291189.52-161771.95</f>
        <v>129417.57</v>
      </c>
      <c r="DD76" s="13"/>
      <c r="DE76" s="13"/>
      <c r="DF76" s="13"/>
      <c r="DG76" s="13"/>
      <c r="DH76" s="13"/>
      <c r="DI76" s="13"/>
      <c r="DJ76" s="13"/>
      <c r="DK76" s="13"/>
      <c r="DL76" s="13"/>
      <c r="DM76" s="13"/>
      <c r="DN76" s="13"/>
      <c r="DO76" s="13"/>
      <c r="DP76" s="13"/>
      <c r="DQ76" s="13"/>
      <c r="DR76" s="13"/>
      <c r="DS76" s="13"/>
      <c r="DT76" s="13"/>
      <c r="DU76" s="13"/>
      <c r="DV76" s="13"/>
      <c r="DW76" s="13"/>
      <c r="DX76" s="13"/>
      <c r="DY76" s="31">
        <f t="shared" si="40"/>
        <v>582379.04</v>
      </c>
      <c r="DZ76" s="13"/>
      <c r="EA76" s="13"/>
      <c r="EB76" s="13"/>
      <c r="EC76" s="13"/>
      <c r="ED76" s="13"/>
      <c r="EE76" s="13"/>
      <c r="EF76" s="13"/>
      <c r="EG76" s="13">
        <v>270</v>
      </c>
      <c r="EH76" s="13" t="s">
        <v>588</v>
      </c>
      <c r="EI76" s="23">
        <f t="shared" si="42"/>
        <v>42531</v>
      </c>
      <c r="EJ76" s="23">
        <f t="shared" si="43"/>
        <v>42801</v>
      </c>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25"/>
      <c r="FI76" s="25"/>
      <c r="FJ76" s="25"/>
      <c r="FK76" s="25"/>
      <c r="FL76" s="25"/>
      <c r="FM76" s="25"/>
      <c r="FN76" s="25">
        <v>0.09</v>
      </c>
      <c r="FO76" s="25" t="s">
        <v>1228</v>
      </c>
      <c r="FP76" s="25" t="s">
        <v>1229</v>
      </c>
      <c r="FQ76" s="25" t="s">
        <v>1230</v>
      </c>
      <c r="FR76" s="25" t="s">
        <v>1230</v>
      </c>
      <c r="FS76" s="25" t="s">
        <v>1231</v>
      </c>
      <c r="FT76" s="25">
        <v>0.31</v>
      </c>
      <c r="FU76" s="25" t="s">
        <v>1232</v>
      </c>
      <c r="FV76" s="25">
        <v>0.94</v>
      </c>
      <c r="FW76" s="25">
        <v>0.94</v>
      </c>
      <c r="FX76" s="25">
        <v>0.99</v>
      </c>
      <c r="FY76" s="25">
        <v>1</v>
      </c>
      <c r="FZ76" s="25">
        <v>1</v>
      </c>
      <c r="GA76" s="25">
        <v>1</v>
      </c>
      <c r="GB76" s="25">
        <v>1</v>
      </c>
      <c r="GC76" s="25">
        <v>1</v>
      </c>
      <c r="GD76" s="25">
        <v>1</v>
      </c>
      <c r="GE76" s="25">
        <v>1</v>
      </c>
      <c r="GF76" s="25">
        <v>1</v>
      </c>
      <c r="GG76" s="25">
        <v>1</v>
      </c>
      <c r="GH76" s="25">
        <v>1</v>
      </c>
      <c r="GI76" s="25">
        <v>1</v>
      </c>
      <c r="GJ76" s="25">
        <v>1</v>
      </c>
      <c r="GK76" s="25">
        <v>1</v>
      </c>
      <c r="GL76" s="25">
        <v>1</v>
      </c>
      <c r="GM76" s="25">
        <v>1</v>
      </c>
      <c r="GN76" s="25">
        <v>1</v>
      </c>
      <c r="GO76" s="25">
        <v>1</v>
      </c>
      <c r="GP76" s="25">
        <v>1</v>
      </c>
      <c r="GQ76" s="25">
        <v>1</v>
      </c>
      <c r="GR76" s="25">
        <v>1</v>
      </c>
      <c r="GS76" s="25">
        <v>1</v>
      </c>
      <c r="GT76" s="25">
        <v>1</v>
      </c>
      <c r="GU76" s="25">
        <v>1</v>
      </c>
      <c r="GV76" s="25" t="s">
        <v>452</v>
      </c>
      <c r="GW76" s="25" t="s">
        <v>452</v>
      </c>
      <c r="GX76" s="25" t="s">
        <v>452</v>
      </c>
      <c r="GY76" s="25" t="s">
        <v>1588</v>
      </c>
      <c r="GZ76" s="25" t="s">
        <v>1588</v>
      </c>
      <c r="HA76" s="25" t="s">
        <v>455</v>
      </c>
      <c r="HB76" s="25" t="s">
        <v>455</v>
      </c>
      <c r="HC76" s="25" t="s">
        <v>455</v>
      </c>
      <c r="HD76" s="25" t="s">
        <v>455</v>
      </c>
      <c r="HE76" s="25" t="s">
        <v>455</v>
      </c>
      <c r="HF76" s="25" t="s">
        <v>455</v>
      </c>
      <c r="HG76" s="25" t="s">
        <v>455</v>
      </c>
      <c r="HH76" s="25" t="s">
        <v>455</v>
      </c>
      <c r="HI76" s="25"/>
      <c r="HJ76" s="25"/>
      <c r="HK76" s="25"/>
      <c r="HL76" s="25"/>
      <c r="HM76" s="25" t="s">
        <v>1736</v>
      </c>
      <c r="HN76" s="25" t="s">
        <v>1781</v>
      </c>
      <c r="HO76" s="234" t="s">
        <v>1910</v>
      </c>
      <c r="HP76" s="234"/>
      <c r="HQ76" s="234"/>
      <c r="HR76" s="234"/>
      <c r="HS76" s="234"/>
      <c r="HT76" s="234"/>
      <c r="HU76" s="13"/>
      <c r="HV76" s="13"/>
      <c r="HW76" s="32"/>
      <c r="HX76" s="55"/>
      <c r="HY76" s="55"/>
      <c r="HZ76" s="55"/>
      <c r="IA76" s="55"/>
      <c r="IB76" s="55"/>
      <c r="IC76" s="55"/>
      <c r="ID76" s="55"/>
      <c r="IE76" s="55"/>
      <c r="IF76" s="107">
        <v>597593.03</v>
      </c>
      <c r="IG76" s="107">
        <v>666500.45000000007</v>
      </c>
      <c r="IH76" s="250">
        <f t="shared" si="41"/>
        <v>0</v>
      </c>
      <c r="II76" s="55"/>
      <c r="IJ76" s="55"/>
      <c r="IK76" s="55"/>
      <c r="IL76" s="55"/>
      <c r="IM76" s="55"/>
      <c r="IN76" s="55"/>
      <c r="IO76" s="55"/>
      <c r="IP76" s="55"/>
      <c r="IQ76" s="55"/>
      <c r="IR76" s="55"/>
      <c r="IS76" s="55"/>
      <c r="IT76" s="55"/>
      <c r="IU76" s="55"/>
      <c r="IV76" s="55"/>
      <c r="IW76" s="55"/>
      <c r="IX76" s="55"/>
      <c r="IY76" s="55"/>
      <c r="IZ76" s="55"/>
      <c r="JA76" s="55"/>
      <c r="JB76" s="55"/>
      <c r="JC76" s="55"/>
      <c r="JD76" s="55">
        <v>2017</v>
      </c>
    </row>
    <row r="77" spans="1:264" s="5" customFormat="1" ht="24.95" hidden="1" customHeight="1">
      <c r="A77" s="26" t="s">
        <v>56</v>
      </c>
      <c r="B77" s="26" t="s">
        <v>27</v>
      </c>
      <c r="C77" s="13" t="s">
        <v>349</v>
      </c>
      <c r="D77" s="13" t="s">
        <v>380</v>
      </c>
      <c r="E77" s="16" t="s">
        <v>350</v>
      </c>
      <c r="F77" s="13" t="s">
        <v>350</v>
      </c>
      <c r="G77" s="26" t="s">
        <v>351</v>
      </c>
      <c r="H77" s="13" t="s">
        <v>1516</v>
      </c>
      <c r="I77" s="21" t="s">
        <v>414</v>
      </c>
      <c r="J77" s="26">
        <v>2</v>
      </c>
      <c r="K77" s="49" t="s">
        <v>375</v>
      </c>
      <c r="L77" s="26" t="s">
        <v>57</v>
      </c>
      <c r="M77" s="20" t="s">
        <v>58</v>
      </c>
      <c r="N77" s="20" t="s">
        <v>1943</v>
      </c>
      <c r="O77" s="13" t="s">
        <v>3</v>
      </c>
      <c r="P77" s="13" t="s">
        <v>4</v>
      </c>
      <c r="Q77" s="22" t="s">
        <v>1118</v>
      </c>
      <c r="R77" s="26" t="s">
        <v>57</v>
      </c>
      <c r="S77" s="13" t="s">
        <v>708</v>
      </c>
      <c r="T77" s="13" t="s">
        <v>1387</v>
      </c>
      <c r="U77" s="13" t="s">
        <v>479</v>
      </c>
      <c r="V77" s="13" t="s">
        <v>709</v>
      </c>
      <c r="W77" s="22" t="s">
        <v>1084</v>
      </c>
      <c r="X77" s="22" t="s">
        <v>503</v>
      </c>
      <c r="Y77" s="22" t="s">
        <v>1083</v>
      </c>
      <c r="Z77" s="22" t="s">
        <v>503</v>
      </c>
      <c r="AA77" s="41">
        <v>16507.28</v>
      </c>
      <c r="AB77" s="45">
        <v>0</v>
      </c>
      <c r="AC77" s="41">
        <v>16507.28</v>
      </c>
      <c r="AD77" s="41"/>
      <c r="AE77" s="29">
        <v>0</v>
      </c>
      <c r="AF77" s="29">
        <f t="shared" si="17"/>
        <v>0</v>
      </c>
      <c r="AG77" s="25">
        <v>0.12</v>
      </c>
      <c r="AH77" s="29">
        <f t="shared" si="45"/>
        <v>0</v>
      </c>
      <c r="AI77" s="29">
        <f>AE77*0.12</f>
        <v>0</v>
      </c>
      <c r="AJ77" s="29">
        <f t="shared" si="36"/>
        <v>0</v>
      </c>
      <c r="AK77" s="29"/>
      <c r="AL77" s="29"/>
      <c r="AM77" s="29"/>
      <c r="AN77" s="41"/>
      <c r="AO77" s="41"/>
      <c r="AP77" s="41"/>
      <c r="AQ77" s="41"/>
      <c r="AR77" s="41"/>
      <c r="AS77" s="41"/>
      <c r="AT77" s="41"/>
      <c r="AU77" s="41"/>
      <c r="AV77" s="41"/>
      <c r="AW77" s="41"/>
      <c r="AX77" s="41"/>
      <c r="AY77" s="41"/>
      <c r="AZ77" s="41"/>
      <c r="BA77" s="41"/>
      <c r="BB77" s="41"/>
      <c r="BC77" s="41"/>
      <c r="BD77" s="37"/>
      <c r="BE77" s="37"/>
      <c r="BF77" s="29">
        <f t="shared" si="37"/>
        <v>0</v>
      </c>
      <c r="BG77" s="29">
        <f t="shared" si="38"/>
        <v>0</v>
      </c>
      <c r="BH77" s="37" t="s">
        <v>594</v>
      </c>
      <c r="BI77" s="29" t="s">
        <v>570</v>
      </c>
      <c r="BJ77" s="29" t="s">
        <v>570</v>
      </c>
      <c r="BK77" s="29" t="s">
        <v>570</v>
      </c>
      <c r="BL77" s="29" t="s">
        <v>570</v>
      </c>
      <c r="BM77" s="29" t="s">
        <v>570</v>
      </c>
      <c r="BN77" s="23">
        <v>42256</v>
      </c>
      <c r="BO77" s="23">
        <v>42265</v>
      </c>
      <c r="BP77" s="23">
        <v>42272</v>
      </c>
      <c r="BQ77" s="23">
        <v>42284</v>
      </c>
      <c r="BR77" s="13" t="s">
        <v>570</v>
      </c>
      <c r="BS77" s="23">
        <v>42659</v>
      </c>
      <c r="BT77" s="23">
        <v>42297</v>
      </c>
      <c r="BU77" s="13" t="s">
        <v>570</v>
      </c>
      <c r="BV77" s="13" t="s">
        <v>570</v>
      </c>
      <c r="BW77" s="224" t="s">
        <v>570</v>
      </c>
      <c r="BX77" s="13" t="s">
        <v>503</v>
      </c>
      <c r="BY77" s="13" t="s">
        <v>570</v>
      </c>
      <c r="BZ77" s="23">
        <v>42398</v>
      </c>
      <c r="CA77" s="23">
        <v>42398</v>
      </c>
      <c r="CB77" s="224" t="s">
        <v>570</v>
      </c>
      <c r="CC77" s="224" t="s">
        <v>570</v>
      </c>
      <c r="CD77" s="224" t="s">
        <v>570</v>
      </c>
      <c r="CE77" s="23"/>
      <c r="CF77" s="127" t="s">
        <v>829</v>
      </c>
      <c r="CG77" s="23"/>
      <c r="CH77" s="23"/>
      <c r="CI77" s="23"/>
      <c r="CJ77" s="23"/>
      <c r="CK77" s="23"/>
      <c r="CL77" s="23"/>
      <c r="CM77" s="23"/>
      <c r="CN77" s="23"/>
      <c r="CO77" s="23"/>
      <c r="CP77" s="23"/>
      <c r="CQ77" s="23"/>
      <c r="CR77" s="127" t="s">
        <v>829</v>
      </c>
      <c r="CS77" s="13" t="s">
        <v>570</v>
      </c>
      <c r="CT77" s="37" t="s">
        <v>452</v>
      </c>
      <c r="CU77" s="25">
        <v>0.05</v>
      </c>
      <c r="CV77" s="23">
        <v>42530</v>
      </c>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31">
        <f t="shared" si="40"/>
        <v>0</v>
      </c>
      <c r="DZ77" s="13"/>
      <c r="EA77" s="13"/>
      <c r="EB77" s="13"/>
      <c r="EC77" s="13"/>
      <c r="ED77" s="13"/>
      <c r="EE77" s="13"/>
      <c r="EF77" s="13"/>
      <c r="EG77" s="13">
        <v>270</v>
      </c>
      <c r="EH77" s="13" t="s">
        <v>588</v>
      </c>
      <c r="EI77" s="23">
        <f t="shared" si="42"/>
        <v>42531</v>
      </c>
      <c r="EJ77" s="23">
        <f t="shared" si="43"/>
        <v>42801</v>
      </c>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25"/>
      <c r="FI77" s="25"/>
      <c r="FJ77" s="25"/>
      <c r="FK77" s="25"/>
      <c r="FL77" s="25"/>
      <c r="FM77" s="25"/>
      <c r="FN77" s="25">
        <v>0.09</v>
      </c>
      <c r="FO77" s="25" t="s">
        <v>1228</v>
      </c>
      <c r="FP77" s="25" t="s">
        <v>1229</v>
      </c>
      <c r="FQ77" s="25" t="s">
        <v>1230</v>
      </c>
      <c r="FR77" s="25" t="s">
        <v>1230</v>
      </c>
      <c r="FS77" s="25" t="s">
        <v>1231</v>
      </c>
      <c r="FT77" s="25">
        <v>0.31</v>
      </c>
      <c r="FU77" s="25" t="s">
        <v>1232</v>
      </c>
      <c r="FV77" s="25">
        <v>0.94</v>
      </c>
      <c r="FW77" s="25">
        <v>0.94</v>
      </c>
      <c r="FX77" s="25">
        <v>0.99</v>
      </c>
      <c r="FY77" s="25">
        <v>1</v>
      </c>
      <c r="FZ77" s="25">
        <v>1</v>
      </c>
      <c r="GA77" s="25">
        <v>1</v>
      </c>
      <c r="GB77" s="25">
        <v>1</v>
      </c>
      <c r="GC77" s="25">
        <v>1</v>
      </c>
      <c r="GD77" s="25">
        <v>1</v>
      </c>
      <c r="GE77" s="25">
        <v>1</v>
      </c>
      <c r="GF77" s="25">
        <v>1</v>
      </c>
      <c r="GG77" s="25">
        <v>1</v>
      </c>
      <c r="GH77" s="25">
        <v>1</v>
      </c>
      <c r="GI77" s="25">
        <v>1</v>
      </c>
      <c r="GJ77" s="25">
        <v>1</v>
      </c>
      <c r="GK77" s="25">
        <v>1</v>
      </c>
      <c r="GL77" s="25">
        <v>1</v>
      </c>
      <c r="GM77" s="25">
        <v>1</v>
      </c>
      <c r="GN77" s="25">
        <v>1</v>
      </c>
      <c r="GO77" s="25">
        <v>1</v>
      </c>
      <c r="GP77" s="25">
        <v>1</v>
      </c>
      <c r="GQ77" s="25">
        <v>1</v>
      </c>
      <c r="GR77" s="25">
        <v>1</v>
      </c>
      <c r="GS77" s="25">
        <v>1</v>
      </c>
      <c r="GT77" s="25">
        <v>1</v>
      </c>
      <c r="GU77" s="25">
        <v>1</v>
      </c>
      <c r="GV77" s="25" t="s">
        <v>452</v>
      </c>
      <c r="GW77" s="25" t="s">
        <v>452</v>
      </c>
      <c r="GX77" s="25" t="s">
        <v>452</v>
      </c>
      <c r="GY77" s="25" t="s">
        <v>452</v>
      </c>
      <c r="GZ77" s="25" t="s">
        <v>452</v>
      </c>
      <c r="HA77" s="25" t="s">
        <v>455</v>
      </c>
      <c r="HB77" s="25" t="s">
        <v>455</v>
      </c>
      <c r="HC77" s="25" t="s">
        <v>455</v>
      </c>
      <c r="HD77" s="25" t="s">
        <v>455</v>
      </c>
      <c r="HE77" s="25" t="s">
        <v>455</v>
      </c>
      <c r="HF77" s="25" t="s">
        <v>455</v>
      </c>
      <c r="HG77" s="25" t="s">
        <v>455</v>
      </c>
      <c r="HH77" s="25" t="s">
        <v>455</v>
      </c>
      <c r="HI77" s="25"/>
      <c r="HJ77" s="25"/>
      <c r="HK77" s="25"/>
      <c r="HL77" s="25"/>
      <c r="HM77" s="25"/>
      <c r="HN77" s="25"/>
      <c r="HO77" s="25"/>
      <c r="HP77" s="25"/>
      <c r="HQ77" s="25"/>
      <c r="HR77" s="25"/>
      <c r="HS77" s="25"/>
      <c r="HT77" s="25"/>
      <c r="HU77" s="13"/>
      <c r="HV77" s="13"/>
      <c r="HW77" s="32"/>
      <c r="HX77" s="55"/>
      <c r="HY77" s="55"/>
      <c r="HZ77" s="55"/>
      <c r="IA77" s="55"/>
      <c r="IB77" s="55"/>
      <c r="IC77" s="55"/>
      <c r="ID77" s="55"/>
      <c r="IE77" s="55"/>
      <c r="IF77" s="107">
        <v>0</v>
      </c>
      <c r="IG77" s="107"/>
      <c r="IH77" s="250">
        <f t="shared" si="41"/>
        <v>0</v>
      </c>
      <c r="II77" s="55"/>
      <c r="IJ77" s="55"/>
      <c r="IK77" s="55"/>
      <c r="IL77" s="55"/>
      <c r="IM77" s="55"/>
      <c r="IN77" s="55"/>
      <c r="IO77" s="55"/>
      <c r="IP77" s="55"/>
      <c r="IQ77" s="55"/>
      <c r="IR77" s="55"/>
      <c r="IS77" s="55"/>
      <c r="IT77" s="55"/>
      <c r="IU77" s="55"/>
      <c r="IV77" s="55"/>
      <c r="IW77" s="55"/>
      <c r="IX77" s="55"/>
      <c r="IY77" s="55"/>
      <c r="IZ77" s="55"/>
      <c r="JA77" s="55"/>
      <c r="JB77" s="55"/>
      <c r="JC77" s="55"/>
      <c r="JD77" s="55">
        <v>2017</v>
      </c>
    </row>
    <row r="78" spans="1:264" s="5" customFormat="1" ht="24.95" hidden="1" customHeight="1">
      <c r="A78" s="26" t="s">
        <v>56</v>
      </c>
      <c r="B78" s="26" t="s">
        <v>27</v>
      </c>
      <c r="C78" s="13" t="s">
        <v>349</v>
      </c>
      <c r="D78" s="13" t="s">
        <v>380</v>
      </c>
      <c r="E78" s="16" t="s">
        <v>350</v>
      </c>
      <c r="F78" s="13" t="s">
        <v>350</v>
      </c>
      <c r="G78" s="26" t="s">
        <v>351</v>
      </c>
      <c r="H78" s="13" t="s">
        <v>1516</v>
      </c>
      <c r="I78" s="21" t="s">
        <v>415</v>
      </c>
      <c r="J78" s="26">
        <v>3</v>
      </c>
      <c r="K78" s="49" t="s">
        <v>375</v>
      </c>
      <c r="L78" s="26" t="s">
        <v>59</v>
      </c>
      <c r="M78" s="20" t="s">
        <v>60</v>
      </c>
      <c r="N78" s="20" t="s">
        <v>1944</v>
      </c>
      <c r="O78" s="13" t="s">
        <v>3</v>
      </c>
      <c r="P78" s="13" t="s">
        <v>4</v>
      </c>
      <c r="Q78" s="22" t="s">
        <v>1118</v>
      </c>
      <c r="R78" s="26" t="s">
        <v>59</v>
      </c>
      <c r="S78" s="13" t="s">
        <v>1561</v>
      </c>
      <c r="T78" s="13" t="s">
        <v>1387</v>
      </c>
      <c r="U78" s="13" t="s">
        <v>479</v>
      </c>
      <c r="V78" s="13" t="s">
        <v>647</v>
      </c>
      <c r="W78" s="22" t="s">
        <v>1086</v>
      </c>
      <c r="X78" s="22" t="s">
        <v>503</v>
      </c>
      <c r="Y78" s="13" t="s">
        <v>1085</v>
      </c>
      <c r="Z78" s="22" t="s">
        <v>503</v>
      </c>
      <c r="AA78" s="41">
        <v>549936.67543467798</v>
      </c>
      <c r="AB78" s="45">
        <v>819666.62</v>
      </c>
      <c r="AC78" s="41">
        <v>608831.82999999996</v>
      </c>
      <c r="AD78" s="41">
        <v>878561.76785714296</v>
      </c>
      <c r="AE78" s="29">
        <f>AK78-AB78</f>
        <v>80773.569999999949</v>
      </c>
      <c r="AF78" s="29">
        <f t="shared" si="17"/>
        <v>959335.33785714291</v>
      </c>
      <c r="AG78" s="25">
        <v>0.12</v>
      </c>
      <c r="AH78" s="29">
        <f t="shared" si="45"/>
        <v>105427.41214285715</v>
      </c>
      <c r="AI78" s="29">
        <f>AK78-AB78</f>
        <v>80773.569999999949</v>
      </c>
      <c r="AJ78" s="29">
        <f t="shared" si="36"/>
        <v>1074455.5784000002</v>
      </c>
      <c r="AK78" s="29">
        <v>900440.19</v>
      </c>
      <c r="AL78" s="126">
        <v>0</v>
      </c>
      <c r="AM78" s="29"/>
      <c r="AN78" s="41"/>
      <c r="AO78" s="41">
        <v>878561.76785714296</v>
      </c>
      <c r="AP78" s="41"/>
      <c r="AQ78" s="41">
        <v>901302.52</v>
      </c>
      <c r="AR78" s="41"/>
      <c r="AS78" s="41"/>
      <c r="AT78" s="41"/>
      <c r="AU78" s="41"/>
      <c r="AV78" s="41"/>
      <c r="AW78" s="41"/>
      <c r="AX78" s="41"/>
      <c r="AY78" s="41"/>
      <c r="AZ78" s="41"/>
      <c r="BA78" s="41"/>
      <c r="BB78" s="41"/>
      <c r="BC78" s="41"/>
      <c r="BD78" s="37"/>
      <c r="BE78" s="37"/>
      <c r="BF78" s="29">
        <f t="shared" si="37"/>
        <v>-81635.900000000023</v>
      </c>
      <c r="BG78" s="29">
        <f t="shared" si="38"/>
        <v>-81635.900000000023</v>
      </c>
      <c r="BH78" s="37" t="s">
        <v>594</v>
      </c>
      <c r="BI78" s="29" t="s">
        <v>570</v>
      </c>
      <c r="BJ78" s="29" t="s">
        <v>570</v>
      </c>
      <c r="BK78" s="29" t="s">
        <v>570</v>
      </c>
      <c r="BL78" s="29" t="s">
        <v>570</v>
      </c>
      <c r="BM78" s="29" t="s">
        <v>570</v>
      </c>
      <c r="BN78" s="23">
        <v>42256</v>
      </c>
      <c r="BO78" s="23">
        <v>42265</v>
      </c>
      <c r="BP78" s="23">
        <v>42272</v>
      </c>
      <c r="BQ78" s="23">
        <v>42285</v>
      </c>
      <c r="BR78" s="13" t="s">
        <v>570</v>
      </c>
      <c r="BS78" s="23">
        <v>42292</v>
      </c>
      <c r="BT78" s="23">
        <v>42296</v>
      </c>
      <c r="BU78" s="13" t="s">
        <v>570</v>
      </c>
      <c r="BV78" s="13" t="s">
        <v>570</v>
      </c>
      <c r="BW78" s="224" t="s">
        <v>570</v>
      </c>
      <c r="BX78" s="23">
        <v>42347</v>
      </c>
      <c r="BY78" s="13" t="s">
        <v>570</v>
      </c>
      <c r="BZ78" s="23">
        <v>42388</v>
      </c>
      <c r="CA78" s="23">
        <v>42388</v>
      </c>
      <c r="CB78" s="224" t="s">
        <v>570</v>
      </c>
      <c r="CC78" s="224" t="s">
        <v>570</v>
      </c>
      <c r="CD78" s="224" t="s">
        <v>570</v>
      </c>
      <c r="CE78" s="23"/>
      <c r="CF78" s="127" t="s">
        <v>829</v>
      </c>
      <c r="CG78" s="23"/>
      <c r="CH78" s="23"/>
      <c r="CI78" s="23"/>
      <c r="CJ78" s="23"/>
      <c r="CK78" s="23"/>
      <c r="CL78" s="23"/>
      <c r="CM78" s="23"/>
      <c r="CN78" s="23"/>
      <c r="CO78" s="23"/>
      <c r="CP78" s="23"/>
      <c r="CQ78" s="23"/>
      <c r="CR78" s="127" t="s">
        <v>829</v>
      </c>
      <c r="CS78" s="13" t="s">
        <v>570</v>
      </c>
      <c r="CT78" s="37" t="s">
        <v>452</v>
      </c>
      <c r="CU78" s="25">
        <v>0.05</v>
      </c>
      <c r="CV78" s="23">
        <v>42530</v>
      </c>
      <c r="CW78" s="30">
        <f>AQ78*0.5</f>
        <v>450651.26</v>
      </c>
      <c r="CX78" s="30"/>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31">
        <f t="shared" si="40"/>
        <v>450651.26</v>
      </c>
      <c r="DZ78" s="13"/>
      <c r="EA78" s="13"/>
      <c r="EB78" s="13"/>
      <c r="EC78" s="13"/>
      <c r="ED78" s="13"/>
      <c r="EE78" s="13"/>
      <c r="EF78" s="13"/>
      <c r="EG78" s="13">
        <v>270</v>
      </c>
      <c r="EH78" s="13" t="s">
        <v>588</v>
      </c>
      <c r="EI78" s="23">
        <f t="shared" si="42"/>
        <v>42531</v>
      </c>
      <c r="EJ78" s="23">
        <f t="shared" si="43"/>
        <v>42801</v>
      </c>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25">
        <v>0.09</v>
      </c>
      <c r="FO78" s="25" t="s">
        <v>1233</v>
      </c>
      <c r="FP78" s="25">
        <v>0.12</v>
      </c>
      <c r="FQ78" s="25" t="s">
        <v>1234</v>
      </c>
      <c r="FR78" s="25" t="s">
        <v>1234</v>
      </c>
      <c r="FS78" s="25" t="s">
        <v>1235</v>
      </c>
      <c r="FT78" s="25">
        <v>0.16500000000000001</v>
      </c>
      <c r="FU78" s="25">
        <v>0.255</v>
      </c>
      <c r="FV78" s="25">
        <v>0.58150000000000002</v>
      </c>
      <c r="FW78" s="25">
        <v>0.75</v>
      </c>
      <c r="FX78" s="25">
        <v>0.9</v>
      </c>
      <c r="FY78" s="25">
        <v>0.97</v>
      </c>
      <c r="FZ78" s="25">
        <v>0.99</v>
      </c>
      <c r="GA78" s="25">
        <v>0.99</v>
      </c>
      <c r="GB78" s="25">
        <v>0.99</v>
      </c>
      <c r="GC78" s="25">
        <v>0.99</v>
      </c>
      <c r="GD78" s="25">
        <v>1</v>
      </c>
      <c r="GE78" s="25">
        <v>1</v>
      </c>
      <c r="GF78" s="25">
        <v>1</v>
      </c>
      <c r="GG78" s="25">
        <v>1</v>
      </c>
      <c r="GH78" s="25">
        <v>1</v>
      </c>
      <c r="GI78" s="25">
        <v>1</v>
      </c>
      <c r="GJ78" s="25">
        <v>1</v>
      </c>
      <c r="GK78" s="25">
        <v>1</v>
      </c>
      <c r="GL78" s="25">
        <v>1</v>
      </c>
      <c r="GM78" s="25">
        <v>1</v>
      </c>
      <c r="GN78" s="25">
        <v>1</v>
      </c>
      <c r="GO78" s="25">
        <v>1</v>
      </c>
      <c r="GP78" s="25">
        <v>1</v>
      </c>
      <c r="GQ78" s="25">
        <v>1</v>
      </c>
      <c r="GR78" s="25">
        <v>1</v>
      </c>
      <c r="GS78" s="25">
        <v>1</v>
      </c>
      <c r="GT78" s="25">
        <v>1</v>
      </c>
      <c r="GU78" s="25">
        <v>1</v>
      </c>
      <c r="GV78" s="25" t="s">
        <v>1588</v>
      </c>
      <c r="GW78" s="25" t="s">
        <v>455</v>
      </c>
      <c r="GX78" s="25" t="s">
        <v>455</v>
      </c>
      <c r="GY78" s="25" t="s">
        <v>455</v>
      </c>
      <c r="GZ78" s="25" t="s">
        <v>455</v>
      </c>
      <c r="HA78" s="25" t="s">
        <v>455</v>
      </c>
      <c r="HB78" s="25" t="s">
        <v>455</v>
      </c>
      <c r="HC78" s="25" t="s">
        <v>455</v>
      </c>
      <c r="HD78" s="25" t="s">
        <v>455</v>
      </c>
      <c r="HE78" s="25" t="s">
        <v>455</v>
      </c>
      <c r="HF78" s="25" t="s">
        <v>455</v>
      </c>
      <c r="HG78" s="25" t="s">
        <v>455</v>
      </c>
      <c r="HH78" s="25" t="s">
        <v>455</v>
      </c>
      <c r="HI78" s="25"/>
      <c r="HJ78" s="25"/>
      <c r="HK78" s="25"/>
      <c r="HL78" s="25"/>
      <c r="HM78" s="25"/>
      <c r="HN78" s="25"/>
      <c r="HO78" s="25"/>
      <c r="HP78" s="25"/>
      <c r="HQ78" s="25"/>
      <c r="HR78" s="25"/>
      <c r="HS78" s="25"/>
      <c r="HT78" s="25"/>
      <c r="HU78" s="13"/>
      <c r="HV78" s="13"/>
      <c r="HW78" s="32"/>
      <c r="HX78" s="55"/>
      <c r="HY78" s="55"/>
      <c r="HZ78" s="55"/>
      <c r="IA78" s="55"/>
      <c r="IB78" s="55"/>
      <c r="IC78" s="55"/>
      <c r="ID78" s="55"/>
      <c r="IE78" s="55"/>
      <c r="IF78" s="107">
        <v>819666.62</v>
      </c>
      <c r="IG78" s="107">
        <v>900440.19</v>
      </c>
      <c r="IH78" s="250">
        <f t="shared" si="41"/>
        <v>0</v>
      </c>
      <c r="II78" s="55"/>
      <c r="IJ78" s="55"/>
      <c r="IK78" s="55"/>
      <c r="IL78" s="55"/>
      <c r="IM78" s="55"/>
      <c r="IN78" s="55"/>
      <c r="IO78" s="55"/>
      <c r="IP78" s="55"/>
      <c r="IQ78" s="55"/>
      <c r="IR78" s="55"/>
      <c r="IS78" s="55"/>
      <c r="IT78" s="55"/>
      <c r="IU78" s="55"/>
      <c r="IV78" s="55"/>
      <c r="IW78" s="55"/>
      <c r="IX78" s="55"/>
      <c r="IY78" s="55"/>
      <c r="IZ78" s="55"/>
      <c r="JA78" s="55"/>
      <c r="JB78" s="55"/>
      <c r="JC78" s="55"/>
      <c r="JD78" s="55">
        <v>2018</v>
      </c>
    </row>
    <row r="79" spans="1:264" s="5" customFormat="1" ht="24.95" hidden="1" customHeight="1">
      <c r="A79" s="26" t="s">
        <v>56</v>
      </c>
      <c r="B79" s="26" t="s">
        <v>27</v>
      </c>
      <c r="C79" s="13" t="s">
        <v>349</v>
      </c>
      <c r="D79" s="13" t="s">
        <v>380</v>
      </c>
      <c r="E79" s="16" t="s">
        <v>350</v>
      </c>
      <c r="F79" s="13" t="s">
        <v>350</v>
      </c>
      <c r="G79" s="26" t="s">
        <v>351</v>
      </c>
      <c r="H79" s="13" t="s">
        <v>1516</v>
      </c>
      <c r="I79" s="21" t="s">
        <v>416</v>
      </c>
      <c r="J79" s="26">
        <v>4</v>
      </c>
      <c r="K79" s="49" t="s">
        <v>375</v>
      </c>
      <c r="L79" s="26" t="s">
        <v>59</v>
      </c>
      <c r="M79" s="20" t="s">
        <v>60</v>
      </c>
      <c r="N79" s="20" t="s">
        <v>1945</v>
      </c>
      <c r="O79" s="13" t="s">
        <v>3</v>
      </c>
      <c r="P79" s="13" t="s">
        <v>4</v>
      </c>
      <c r="Q79" s="22" t="s">
        <v>1118</v>
      </c>
      <c r="R79" s="26" t="s">
        <v>59</v>
      </c>
      <c r="S79" s="13" t="s">
        <v>1561</v>
      </c>
      <c r="T79" s="13" t="s">
        <v>1387</v>
      </c>
      <c r="U79" s="13" t="s">
        <v>479</v>
      </c>
      <c r="V79" s="13" t="s">
        <v>647</v>
      </c>
      <c r="W79" s="22" t="s">
        <v>1086</v>
      </c>
      <c r="X79" s="22" t="s">
        <v>503</v>
      </c>
      <c r="Y79" s="13" t="s">
        <v>1085</v>
      </c>
      <c r="Z79" s="22" t="s">
        <v>503</v>
      </c>
      <c r="AA79" s="41">
        <v>269729.93999999989</v>
      </c>
      <c r="AB79" s="45">
        <v>0</v>
      </c>
      <c r="AC79" s="41">
        <v>269729.94</v>
      </c>
      <c r="AD79" s="41"/>
      <c r="AE79" s="29">
        <v>0</v>
      </c>
      <c r="AF79" s="29">
        <f t="shared" si="17"/>
        <v>0</v>
      </c>
      <c r="AG79" s="25">
        <v>0.12</v>
      </c>
      <c r="AH79" s="29">
        <f t="shared" si="45"/>
        <v>0</v>
      </c>
      <c r="AI79" s="29">
        <f t="shared" ref="AI79:AI114" si="46">AE79*0.12</f>
        <v>0</v>
      </c>
      <c r="AJ79" s="29">
        <f t="shared" si="36"/>
        <v>0</v>
      </c>
      <c r="AK79" s="29"/>
      <c r="AL79" s="29"/>
      <c r="AM79" s="29"/>
      <c r="AN79" s="41"/>
      <c r="AO79" s="41"/>
      <c r="AP79" s="41"/>
      <c r="AQ79" s="41"/>
      <c r="AR79" s="41"/>
      <c r="AS79" s="41"/>
      <c r="AT79" s="41"/>
      <c r="AU79" s="41"/>
      <c r="AV79" s="41"/>
      <c r="AW79" s="41"/>
      <c r="AX79" s="41"/>
      <c r="AY79" s="41"/>
      <c r="AZ79" s="41"/>
      <c r="BA79" s="41"/>
      <c r="BB79" s="41"/>
      <c r="BC79" s="41"/>
      <c r="BD79" s="37"/>
      <c r="BE79" s="37"/>
      <c r="BF79" s="29">
        <f t="shared" si="37"/>
        <v>0</v>
      </c>
      <c r="BG79" s="29">
        <f t="shared" si="38"/>
        <v>0</v>
      </c>
      <c r="BH79" s="37" t="s">
        <v>594</v>
      </c>
      <c r="BI79" s="29" t="s">
        <v>570</v>
      </c>
      <c r="BJ79" s="29" t="s">
        <v>570</v>
      </c>
      <c r="BK79" s="29" t="s">
        <v>570</v>
      </c>
      <c r="BL79" s="29" t="s">
        <v>570</v>
      </c>
      <c r="BM79" s="29" t="s">
        <v>570</v>
      </c>
      <c r="BN79" s="23">
        <v>42256</v>
      </c>
      <c r="BO79" s="23">
        <v>42265</v>
      </c>
      <c r="BP79" s="23">
        <v>42272</v>
      </c>
      <c r="BQ79" s="23">
        <v>42285</v>
      </c>
      <c r="BR79" s="13" t="s">
        <v>570</v>
      </c>
      <c r="BS79" s="23">
        <v>42292</v>
      </c>
      <c r="BT79" s="23">
        <v>42296</v>
      </c>
      <c r="BU79" s="13" t="s">
        <v>570</v>
      </c>
      <c r="BV79" s="13" t="s">
        <v>570</v>
      </c>
      <c r="BW79" s="224" t="s">
        <v>570</v>
      </c>
      <c r="BX79" s="23">
        <v>42347</v>
      </c>
      <c r="BY79" s="13" t="s">
        <v>570</v>
      </c>
      <c r="BZ79" s="23">
        <v>42388</v>
      </c>
      <c r="CA79" s="23">
        <v>42388</v>
      </c>
      <c r="CB79" s="224" t="s">
        <v>570</v>
      </c>
      <c r="CC79" s="224" t="s">
        <v>570</v>
      </c>
      <c r="CD79" s="224" t="s">
        <v>570</v>
      </c>
      <c r="CE79" s="23"/>
      <c r="CF79" s="127" t="s">
        <v>829</v>
      </c>
      <c r="CG79" s="23"/>
      <c r="CH79" s="23"/>
      <c r="CI79" s="23"/>
      <c r="CJ79" s="23"/>
      <c r="CK79" s="23"/>
      <c r="CL79" s="23"/>
      <c r="CM79" s="23"/>
      <c r="CN79" s="23"/>
      <c r="CO79" s="23"/>
      <c r="CP79" s="23"/>
      <c r="CQ79" s="23"/>
      <c r="CR79" s="127" t="s">
        <v>829</v>
      </c>
      <c r="CS79" s="13" t="s">
        <v>570</v>
      </c>
      <c r="CT79" s="37" t="s">
        <v>452</v>
      </c>
      <c r="CU79" s="25">
        <v>0.05</v>
      </c>
      <c r="CV79" s="23">
        <v>42530</v>
      </c>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31">
        <f t="shared" si="40"/>
        <v>0</v>
      </c>
      <c r="DZ79" s="13"/>
      <c r="EA79" s="13"/>
      <c r="EB79" s="13"/>
      <c r="EC79" s="13"/>
      <c r="ED79" s="13"/>
      <c r="EE79" s="13"/>
      <c r="EF79" s="13"/>
      <c r="EG79" s="13">
        <v>270</v>
      </c>
      <c r="EH79" s="13" t="s">
        <v>588</v>
      </c>
      <c r="EI79" s="23">
        <f t="shared" si="42"/>
        <v>42531</v>
      </c>
      <c r="EJ79" s="23">
        <f t="shared" si="43"/>
        <v>42801</v>
      </c>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25">
        <v>0.09</v>
      </c>
      <c r="FO79" s="25" t="s">
        <v>1233</v>
      </c>
      <c r="FP79" s="25">
        <v>0.12</v>
      </c>
      <c r="FQ79" s="25" t="s">
        <v>1234</v>
      </c>
      <c r="FR79" s="25" t="s">
        <v>1234</v>
      </c>
      <c r="FS79" s="25" t="s">
        <v>1235</v>
      </c>
      <c r="FT79" s="25" t="s">
        <v>1236</v>
      </c>
      <c r="FU79" s="25" t="s">
        <v>1237</v>
      </c>
      <c r="FV79" s="25">
        <v>0.58150000000000002</v>
      </c>
      <c r="FW79" s="25">
        <v>0.75</v>
      </c>
      <c r="FX79" s="25">
        <v>0.9</v>
      </c>
      <c r="FY79" s="25">
        <v>0.97</v>
      </c>
      <c r="FZ79" s="25">
        <v>0.99</v>
      </c>
      <c r="GA79" s="25">
        <v>0.99</v>
      </c>
      <c r="GB79" s="25">
        <v>0.99</v>
      </c>
      <c r="GC79" s="25">
        <v>0.99</v>
      </c>
      <c r="GD79" s="25">
        <v>0.99</v>
      </c>
      <c r="GE79" s="25">
        <v>0.99</v>
      </c>
      <c r="GF79" s="25">
        <v>1</v>
      </c>
      <c r="GG79" s="25">
        <v>1</v>
      </c>
      <c r="GH79" s="25">
        <v>1</v>
      </c>
      <c r="GI79" s="25">
        <v>1</v>
      </c>
      <c r="GJ79" s="25">
        <v>1</v>
      </c>
      <c r="GK79" s="25">
        <v>1</v>
      </c>
      <c r="GL79" s="25">
        <v>1</v>
      </c>
      <c r="GM79" s="25">
        <v>1</v>
      </c>
      <c r="GN79" s="25">
        <v>1</v>
      </c>
      <c r="GO79" s="25">
        <v>1</v>
      </c>
      <c r="GP79" s="25">
        <v>1</v>
      </c>
      <c r="GQ79" s="25">
        <v>1</v>
      </c>
      <c r="GR79" s="25">
        <v>1</v>
      </c>
      <c r="GS79" s="25">
        <v>1</v>
      </c>
      <c r="GT79" s="25">
        <v>1</v>
      </c>
      <c r="GU79" s="25">
        <v>1</v>
      </c>
      <c r="GV79" s="25" t="s">
        <v>1588</v>
      </c>
      <c r="GW79" s="25" t="s">
        <v>455</v>
      </c>
      <c r="GX79" s="25" t="s">
        <v>455</v>
      </c>
      <c r="GY79" s="25" t="s">
        <v>455</v>
      </c>
      <c r="GZ79" s="25" t="s">
        <v>455</v>
      </c>
      <c r="HA79" s="25" t="s">
        <v>455</v>
      </c>
      <c r="HB79" s="25" t="s">
        <v>455</v>
      </c>
      <c r="HC79" s="25" t="s">
        <v>455</v>
      </c>
      <c r="HD79" s="25" t="s">
        <v>455</v>
      </c>
      <c r="HE79" s="25" t="s">
        <v>455</v>
      </c>
      <c r="HF79" s="25" t="s">
        <v>455</v>
      </c>
      <c r="HG79" s="25" t="s">
        <v>455</v>
      </c>
      <c r="HH79" s="25" t="s">
        <v>455</v>
      </c>
      <c r="HI79" s="25"/>
      <c r="HJ79" s="25"/>
      <c r="HK79" s="25"/>
      <c r="HL79" s="25"/>
      <c r="HM79" s="25"/>
      <c r="HN79" s="25"/>
      <c r="HO79" s="25"/>
      <c r="HP79" s="25"/>
      <c r="HQ79" s="25"/>
      <c r="HR79" s="25"/>
      <c r="HS79" s="25"/>
      <c r="HT79" s="25"/>
      <c r="HU79" s="13"/>
      <c r="HV79" s="13"/>
      <c r="HW79" s="32"/>
      <c r="HX79" s="55"/>
      <c r="HY79" s="55"/>
      <c r="HZ79" s="55"/>
      <c r="IA79" s="55"/>
      <c r="IB79" s="55"/>
      <c r="IC79" s="55"/>
      <c r="ID79" s="55"/>
      <c r="IE79" s="55"/>
      <c r="IF79" s="107">
        <v>0</v>
      </c>
      <c r="IG79" s="107"/>
      <c r="IH79" s="250">
        <f t="shared" si="41"/>
        <v>0</v>
      </c>
      <c r="II79" s="55"/>
      <c r="IJ79" s="55"/>
      <c r="IK79" s="55"/>
      <c r="IL79" s="55"/>
      <c r="IM79" s="55"/>
      <c r="IN79" s="55"/>
      <c r="IO79" s="55"/>
      <c r="IP79" s="55"/>
      <c r="IQ79" s="55"/>
      <c r="IR79" s="55"/>
      <c r="IS79" s="55"/>
      <c r="IT79" s="55"/>
      <c r="IU79" s="55"/>
      <c r="IV79" s="55"/>
      <c r="IW79" s="55"/>
      <c r="IX79" s="55"/>
      <c r="IY79" s="55"/>
      <c r="IZ79" s="55"/>
      <c r="JA79" s="55"/>
      <c r="JB79" s="55"/>
      <c r="JC79" s="55"/>
      <c r="JD79" s="55">
        <v>2018</v>
      </c>
    </row>
    <row r="80" spans="1:264" s="5" customFormat="1" ht="24.95" hidden="1" customHeight="1">
      <c r="A80" s="26" t="s">
        <v>56</v>
      </c>
      <c r="B80" s="26" t="s">
        <v>27</v>
      </c>
      <c r="C80" s="13" t="s">
        <v>349</v>
      </c>
      <c r="D80" s="13" t="s">
        <v>380</v>
      </c>
      <c r="E80" s="16" t="s">
        <v>350</v>
      </c>
      <c r="F80" s="13" t="s">
        <v>350</v>
      </c>
      <c r="G80" s="26" t="s">
        <v>351</v>
      </c>
      <c r="H80" s="13" t="s">
        <v>1516</v>
      </c>
      <c r="I80" s="21" t="s">
        <v>417</v>
      </c>
      <c r="J80" s="26">
        <v>5</v>
      </c>
      <c r="K80" s="49" t="s">
        <v>375</v>
      </c>
      <c r="L80" s="26" t="s">
        <v>61</v>
      </c>
      <c r="M80" s="20" t="s">
        <v>62</v>
      </c>
      <c r="N80" s="20" t="s">
        <v>1946</v>
      </c>
      <c r="O80" s="13" t="s">
        <v>3</v>
      </c>
      <c r="P80" s="13" t="s">
        <v>4</v>
      </c>
      <c r="Q80" s="22" t="s">
        <v>1118</v>
      </c>
      <c r="R80" s="26" t="s">
        <v>61</v>
      </c>
      <c r="S80" s="13" t="s">
        <v>1561</v>
      </c>
      <c r="T80" s="13" t="s">
        <v>1387</v>
      </c>
      <c r="U80" s="13" t="s">
        <v>479</v>
      </c>
      <c r="V80" s="13" t="s">
        <v>647</v>
      </c>
      <c r="W80" s="22" t="s">
        <v>1087</v>
      </c>
      <c r="X80" s="22" t="s">
        <v>503</v>
      </c>
      <c r="Y80" s="13" t="s">
        <v>685</v>
      </c>
      <c r="Z80" s="22" t="s">
        <v>503</v>
      </c>
      <c r="AA80" s="41">
        <v>459298.74107142852</v>
      </c>
      <c r="AB80" s="45">
        <v>462099.42</v>
      </c>
      <c r="AC80" s="41">
        <v>459298.74</v>
      </c>
      <c r="AD80" s="41">
        <v>462099.41964285698</v>
      </c>
      <c r="AE80" s="29">
        <v>0</v>
      </c>
      <c r="AF80" s="29">
        <f t="shared" si="17"/>
        <v>462099.41964285698</v>
      </c>
      <c r="AG80" s="25">
        <v>0.12</v>
      </c>
      <c r="AH80" s="29">
        <f t="shared" si="45"/>
        <v>55451.930357142839</v>
      </c>
      <c r="AI80" s="29">
        <f t="shared" si="46"/>
        <v>0</v>
      </c>
      <c r="AJ80" s="29">
        <f t="shared" si="36"/>
        <v>517551.34999999986</v>
      </c>
      <c r="AK80" s="29">
        <v>456728.97000000003</v>
      </c>
      <c r="AL80" s="29">
        <f>AB80-AK80</f>
        <v>5370.4499999999534</v>
      </c>
      <c r="AM80" s="29"/>
      <c r="AN80" s="41"/>
      <c r="AO80" s="41">
        <v>462099.41964285698</v>
      </c>
      <c r="AP80" s="41"/>
      <c r="AQ80" s="41">
        <v>471924.94</v>
      </c>
      <c r="AR80" s="41"/>
      <c r="AS80" s="41"/>
      <c r="AT80" s="41"/>
      <c r="AU80" s="41"/>
      <c r="AV80" s="41"/>
      <c r="AW80" s="41"/>
      <c r="AX80" s="41"/>
      <c r="AY80" s="41"/>
      <c r="AZ80" s="41"/>
      <c r="BA80" s="41"/>
      <c r="BB80" s="41"/>
      <c r="BC80" s="41"/>
      <c r="BD80" s="37"/>
      <c r="BE80" s="37"/>
      <c r="BF80" s="29">
        <f t="shared" si="37"/>
        <v>-9825.5200000000186</v>
      </c>
      <c r="BG80" s="29">
        <f t="shared" si="38"/>
        <v>-9825.5200000000186</v>
      </c>
      <c r="BH80" s="37" t="s">
        <v>594</v>
      </c>
      <c r="BI80" s="29" t="s">
        <v>570</v>
      </c>
      <c r="BJ80" s="29" t="s">
        <v>570</v>
      </c>
      <c r="BK80" s="29" t="s">
        <v>570</v>
      </c>
      <c r="BL80" s="29" t="s">
        <v>570</v>
      </c>
      <c r="BM80" s="29" t="s">
        <v>570</v>
      </c>
      <c r="BN80" s="23">
        <v>42256</v>
      </c>
      <c r="BO80" s="23">
        <v>42265</v>
      </c>
      <c r="BP80" s="23">
        <v>42272</v>
      </c>
      <c r="BQ80" s="23">
        <v>42284</v>
      </c>
      <c r="BR80" s="13" t="s">
        <v>570</v>
      </c>
      <c r="BS80" s="23">
        <v>42292</v>
      </c>
      <c r="BT80" s="23">
        <v>42296</v>
      </c>
      <c r="BU80" s="13" t="s">
        <v>570</v>
      </c>
      <c r="BV80" s="13" t="s">
        <v>570</v>
      </c>
      <c r="BW80" s="224" t="s">
        <v>570</v>
      </c>
      <c r="BX80" s="23">
        <v>42347</v>
      </c>
      <c r="BY80" s="13" t="s">
        <v>570</v>
      </c>
      <c r="BZ80" s="23">
        <v>42388</v>
      </c>
      <c r="CA80" s="23">
        <v>42388</v>
      </c>
      <c r="CB80" s="224" t="s">
        <v>570</v>
      </c>
      <c r="CC80" s="224" t="s">
        <v>570</v>
      </c>
      <c r="CD80" s="224" t="s">
        <v>570</v>
      </c>
      <c r="CE80" s="23"/>
      <c r="CF80" s="127" t="s">
        <v>829</v>
      </c>
      <c r="CG80" s="23"/>
      <c r="CH80" s="23"/>
      <c r="CI80" s="23"/>
      <c r="CJ80" s="23"/>
      <c r="CK80" s="23"/>
      <c r="CL80" s="23"/>
      <c r="CM80" s="23"/>
      <c r="CN80" s="23"/>
      <c r="CO80" s="23"/>
      <c r="CP80" s="23"/>
      <c r="CQ80" s="23"/>
      <c r="CR80" s="127" t="s">
        <v>829</v>
      </c>
      <c r="CS80" s="13" t="s">
        <v>570</v>
      </c>
      <c r="CT80" s="37" t="s">
        <v>452</v>
      </c>
      <c r="CU80" s="25">
        <v>0.05</v>
      </c>
      <c r="CV80" s="23">
        <v>42530</v>
      </c>
      <c r="CW80" s="30">
        <f>AQ80*0.5</f>
        <v>235962.47</v>
      </c>
      <c r="CX80" s="134" t="s">
        <v>1420</v>
      </c>
      <c r="CY80" s="99">
        <v>42825</v>
      </c>
      <c r="CZ80" s="54">
        <f>212366.23-117981.24</f>
        <v>94384.99</v>
      </c>
      <c r="DA80" s="134" t="s">
        <v>1421</v>
      </c>
      <c r="DB80" s="99">
        <v>42884</v>
      </c>
      <c r="DC80" s="54">
        <f>212366.23-117981.23</f>
        <v>94385.000000000015</v>
      </c>
      <c r="DD80" s="13"/>
      <c r="DE80" s="13"/>
      <c r="DF80" s="13"/>
      <c r="DG80" s="13"/>
      <c r="DH80" s="13"/>
      <c r="DI80" s="13"/>
      <c r="DJ80" s="13"/>
      <c r="DK80" s="13"/>
      <c r="DL80" s="13"/>
      <c r="DM80" s="13"/>
      <c r="DN80" s="13"/>
      <c r="DO80" s="13"/>
      <c r="DP80" s="13"/>
      <c r="DQ80" s="13"/>
      <c r="DR80" s="13"/>
      <c r="DS80" s="13"/>
      <c r="DT80" s="13"/>
      <c r="DU80" s="13"/>
      <c r="DV80" s="13"/>
      <c r="DW80" s="13"/>
      <c r="DX80" s="13"/>
      <c r="DY80" s="31">
        <f t="shared" si="40"/>
        <v>424732.46</v>
      </c>
      <c r="DZ80" s="13"/>
      <c r="EA80" s="13"/>
      <c r="EB80" s="13"/>
      <c r="EC80" s="13"/>
      <c r="ED80" s="13"/>
      <c r="EE80" s="13"/>
      <c r="EF80" s="13"/>
      <c r="EG80" s="13">
        <v>270</v>
      </c>
      <c r="EH80" s="13" t="s">
        <v>588</v>
      </c>
      <c r="EI80" s="23">
        <f t="shared" si="42"/>
        <v>42531</v>
      </c>
      <c r="EJ80" s="23">
        <f t="shared" si="43"/>
        <v>42801</v>
      </c>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25">
        <v>0.09</v>
      </c>
      <c r="FO80" s="25" t="s">
        <v>1228</v>
      </c>
      <c r="FP80" s="25" t="s">
        <v>1238</v>
      </c>
      <c r="FQ80" s="25" t="s">
        <v>1239</v>
      </c>
      <c r="FR80" s="25" t="s">
        <v>1239</v>
      </c>
      <c r="FS80" s="25" t="s">
        <v>1240</v>
      </c>
      <c r="FT80" s="25">
        <v>0.22</v>
      </c>
      <c r="FU80" s="25">
        <v>0.36</v>
      </c>
      <c r="FV80" s="25">
        <v>0.73250000000000004</v>
      </c>
      <c r="FW80" s="25">
        <v>0.96499999999999997</v>
      </c>
      <c r="FX80" s="25">
        <v>0.99</v>
      </c>
      <c r="FY80" s="25">
        <v>1</v>
      </c>
      <c r="FZ80" s="25">
        <v>1</v>
      </c>
      <c r="GA80" s="25">
        <v>1</v>
      </c>
      <c r="GB80" s="25">
        <v>1</v>
      </c>
      <c r="GC80" s="25">
        <v>1</v>
      </c>
      <c r="GD80" s="25">
        <v>1</v>
      </c>
      <c r="GE80" s="25">
        <v>1</v>
      </c>
      <c r="GF80" s="25">
        <v>1</v>
      </c>
      <c r="GG80" s="25">
        <v>1</v>
      </c>
      <c r="GH80" s="25">
        <v>1</v>
      </c>
      <c r="GI80" s="25">
        <v>1</v>
      </c>
      <c r="GJ80" s="25">
        <v>1</v>
      </c>
      <c r="GK80" s="25">
        <v>1</v>
      </c>
      <c r="GL80" s="25">
        <v>1</v>
      </c>
      <c r="GM80" s="25">
        <v>1</v>
      </c>
      <c r="GN80" s="25">
        <v>1</v>
      </c>
      <c r="GO80" s="25">
        <v>1</v>
      </c>
      <c r="GP80" s="25">
        <v>1</v>
      </c>
      <c r="GQ80" s="25">
        <v>1</v>
      </c>
      <c r="GR80" s="25">
        <v>1</v>
      </c>
      <c r="GS80" s="25">
        <v>1</v>
      </c>
      <c r="GT80" s="25">
        <v>1</v>
      </c>
      <c r="GU80" s="25">
        <v>1</v>
      </c>
      <c r="GV80" s="25" t="s">
        <v>455</v>
      </c>
      <c r="GW80" s="25" t="s">
        <v>455</v>
      </c>
      <c r="GX80" s="25" t="s">
        <v>455</v>
      </c>
      <c r="GY80" s="25" t="s">
        <v>455</v>
      </c>
      <c r="GZ80" s="25" t="s">
        <v>455</v>
      </c>
      <c r="HA80" s="25" t="s">
        <v>455</v>
      </c>
      <c r="HB80" s="25" t="s">
        <v>455</v>
      </c>
      <c r="HC80" s="25" t="s">
        <v>455</v>
      </c>
      <c r="HD80" s="25" t="s">
        <v>455</v>
      </c>
      <c r="HE80" s="25" t="s">
        <v>455</v>
      </c>
      <c r="HF80" s="25" t="s">
        <v>455</v>
      </c>
      <c r="HG80" s="25" t="s">
        <v>455</v>
      </c>
      <c r="HH80" s="25" t="s">
        <v>455</v>
      </c>
      <c r="HI80" s="25"/>
      <c r="HJ80" s="25"/>
      <c r="HK80" s="25"/>
      <c r="HL80" s="25"/>
      <c r="HM80" s="25"/>
      <c r="HN80" s="25"/>
      <c r="HO80" s="25"/>
      <c r="HP80" s="25"/>
      <c r="HQ80" s="25"/>
      <c r="HR80" s="25"/>
      <c r="HS80" s="25"/>
      <c r="HT80" s="25"/>
      <c r="HU80" s="26"/>
      <c r="HV80" s="26"/>
      <c r="HW80" s="32"/>
      <c r="HX80" s="55"/>
      <c r="HY80" s="55"/>
      <c r="HZ80" s="55"/>
      <c r="IA80" s="55"/>
      <c r="IB80" s="55"/>
      <c r="IC80" s="55"/>
      <c r="ID80" s="55"/>
      <c r="IE80" s="55"/>
      <c r="IF80" s="107">
        <v>462099.42</v>
      </c>
      <c r="IG80" s="107">
        <v>456728.97000000003</v>
      </c>
      <c r="IH80" s="250">
        <f t="shared" si="41"/>
        <v>0</v>
      </c>
      <c r="II80" s="55"/>
      <c r="IJ80" s="55"/>
      <c r="IK80" s="55"/>
      <c r="IL80" s="55"/>
      <c r="IM80" s="55"/>
      <c r="IN80" s="55"/>
      <c r="IO80" s="55"/>
      <c r="IP80" s="55"/>
      <c r="IQ80" s="55"/>
      <c r="IR80" s="55"/>
      <c r="IS80" s="55"/>
      <c r="IT80" s="55"/>
      <c r="IU80" s="55"/>
      <c r="IV80" s="55"/>
      <c r="IW80" s="55"/>
      <c r="IX80" s="55"/>
      <c r="IY80" s="55"/>
      <c r="IZ80" s="55"/>
      <c r="JA80" s="55"/>
      <c r="JB80" s="55"/>
      <c r="JC80" s="55"/>
      <c r="JD80" s="55">
        <v>2017</v>
      </c>
    </row>
    <row r="81" spans="1:265" s="5" customFormat="1" ht="24.95" hidden="1" customHeight="1">
      <c r="A81" s="26" t="s">
        <v>56</v>
      </c>
      <c r="B81" s="26" t="s">
        <v>27</v>
      </c>
      <c r="C81" s="13" t="s">
        <v>349</v>
      </c>
      <c r="D81" s="13" t="s">
        <v>380</v>
      </c>
      <c r="E81" s="16" t="s">
        <v>350</v>
      </c>
      <c r="F81" s="13" t="s">
        <v>350</v>
      </c>
      <c r="G81" s="26" t="s">
        <v>351</v>
      </c>
      <c r="H81" s="13" t="s">
        <v>1516</v>
      </c>
      <c r="I81" s="21" t="s">
        <v>418</v>
      </c>
      <c r="J81" s="26">
        <v>6</v>
      </c>
      <c r="K81" s="49" t="s">
        <v>375</v>
      </c>
      <c r="L81" s="26" t="s">
        <v>61</v>
      </c>
      <c r="M81" s="20" t="s">
        <v>62</v>
      </c>
      <c r="N81" s="20" t="s">
        <v>1947</v>
      </c>
      <c r="O81" s="13" t="s">
        <v>3</v>
      </c>
      <c r="P81" s="13" t="s">
        <v>4</v>
      </c>
      <c r="Q81" s="22" t="s">
        <v>1118</v>
      </c>
      <c r="R81" s="26" t="s">
        <v>61</v>
      </c>
      <c r="S81" s="13" t="s">
        <v>1561</v>
      </c>
      <c r="T81" s="13" t="s">
        <v>1387</v>
      </c>
      <c r="U81" s="13" t="s">
        <v>479</v>
      </c>
      <c r="V81" s="13" t="s">
        <v>647</v>
      </c>
      <c r="W81" s="22" t="s">
        <v>1087</v>
      </c>
      <c r="X81" s="22" t="s">
        <v>503</v>
      </c>
      <c r="Y81" s="13" t="s">
        <v>685</v>
      </c>
      <c r="Z81" s="22" t="s">
        <v>503</v>
      </c>
      <c r="AA81" s="41">
        <v>2800.68</v>
      </c>
      <c r="AB81" s="45">
        <v>0</v>
      </c>
      <c r="AC81" s="41">
        <v>2800.68</v>
      </c>
      <c r="AD81" s="41"/>
      <c r="AE81" s="29">
        <v>0</v>
      </c>
      <c r="AF81" s="29">
        <f t="shared" si="17"/>
        <v>0</v>
      </c>
      <c r="AG81" s="25">
        <v>0.12</v>
      </c>
      <c r="AH81" s="29">
        <f t="shared" si="45"/>
        <v>0</v>
      </c>
      <c r="AI81" s="29">
        <f t="shared" si="46"/>
        <v>0</v>
      </c>
      <c r="AJ81" s="29">
        <f t="shared" si="36"/>
        <v>0</v>
      </c>
      <c r="AK81" s="29"/>
      <c r="AL81" s="29"/>
      <c r="AM81" s="29"/>
      <c r="AN81" s="41"/>
      <c r="AO81" s="41"/>
      <c r="AP81" s="41"/>
      <c r="AQ81" s="41"/>
      <c r="AR81" s="41"/>
      <c r="AS81" s="41"/>
      <c r="AT81" s="41"/>
      <c r="AU81" s="41"/>
      <c r="AV81" s="41"/>
      <c r="AW81" s="41"/>
      <c r="AX81" s="41"/>
      <c r="AY81" s="41"/>
      <c r="AZ81" s="41"/>
      <c r="BA81" s="41"/>
      <c r="BB81" s="41"/>
      <c r="BC81" s="41"/>
      <c r="BD81" s="37"/>
      <c r="BE81" s="37"/>
      <c r="BF81" s="29">
        <f t="shared" si="37"/>
        <v>0</v>
      </c>
      <c r="BG81" s="29">
        <f t="shared" si="38"/>
        <v>0</v>
      </c>
      <c r="BH81" s="37" t="s">
        <v>594</v>
      </c>
      <c r="BI81" s="29" t="s">
        <v>570</v>
      </c>
      <c r="BJ81" s="29" t="s">
        <v>570</v>
      </c>
      <c r="BK81" s="29" t="s">
        <v>570</v>
      </c>
      <c r="BL81" s="29" t="s">
        <v>570</v>
      </c>
      <c r="BM81" s="29" t="s">
        <v>570</v>
      </c>
      <c r="BN81" s="23">
        <v>42256</v>
      </c>
      <c r="BO81" s="23">
        <v>42265</v>
      </c>
      <c r="BP81" s="23">
        <v>42272</v>
      </c>
      <c r="BQ81" s="23">
        <v>42284</v>
      </c>
      <c r="BR81" s="13" t="s">
        <v>570</v>
      </c>
      <c r="BS81" s="23">
        <v>42292</v>
      </c>
      <c r="BT81" s="23">
        <v>42296</v>
      </c>
      <c r="BU81" s="13" t="s">
        <v>570</v>
      </c>
      <c r="BV81" s="13" t="s">
        <v>570</v>
      </c>
      <c r="BW81" s="224" t="s">
        <v>570</v>
      </c>
      <c r="BX81" s="23">
        <v>42347</v>
      </c>
      <c r="BY81" s="13" t="s">
        <v>570</v>
      </c>
      <c r="BZ81" s="23">
        <v>42388</v>
      </c>
      <c r="CA81" s="23">
        <v>42388</v>
      </c>
      <c r="CB81" s="224" t="s">
        <v>570</v>
      </c>
      <c r="CC81" s="224" t="s">
        <v>570</v>
      </c>
      <c r="CD81" s="224" t="s">
        <v>570</v>
      </c>
      <c r="CE81" s="23"/>
      <c r="CF81" s="127" t="s">
        <v>829</v>
      </c>
      <c r="CG81" s="23"/>
      <c r="CH81" s="23"/>
      <c r="CI81" s="23"/>
      <c r="CJ81" s="23"/>
      <c r="CK81" s="23"/>
      <c r="CL81" s="23"/>
      <c r="CM81" s="23"/>
      <c r="CN81" s="23"/>
      <c r="CO81" s="23"/>
      <c r="CP81" s="23"/>
      <c r="CQ81" s="23"/>
      <c r="CR81" s="127" t="s">
        <v>829</v>
      </c>
      <c r="CS81" s="13" t="s">
        <v>570</v>
      </c>
      <c r="CT81" s="37" t="s">
        <v>452</v>
      </c>
      <c r="CU81" s="25">
        <v>0.05</v>
      </c>
      <c r="CV81" s="23">
        <v>42530</v>
      </c>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31">
        <f t="shared" si="40"/>
        <v>0</v>
      </c>
      <c r="DZ81" s="13"/>
      <c r="EA81" s="13"/>
      <c r="EB81" s="13"/>
      <c r="EC81" s="13"/>
      <c r="ED81" s="13"/>
      <c r="EE81" s="13"/>
      <c r="EF81" s="13"/>
      <c r="EG81" s="13">
        <v>270</v>
      </c>
      <c r="EH81" s="13" t="s">
        <v>588</v>
      </c>
      <c r="EI81" s="23">
        <f t="shared" si="42"/>
        <v>42531</v>
      </c>
      <c r="EJ81" s="23">
        <f t="shared" si="43"/>
        <v>42801</v>
      </c>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25">
        <v>0.09</v>
      </c>
      <c r="FO81" s="25" t="s">
        <v>1228</v>
      </c>
      <c r="FP81" s="25" t="s">
        <v>1238</v>
      </c>
      <c r="FQ81" s="25" t="s">
        <v>1239</v>
      </c>
      <c r="FR81" s="25" t="s">
        <v>1239</v>
      </c>
      <c r="FS81" s="25" t="s">
        <v>1240</v>
      </c>
      <c r="FT81" s="25">
        <v>0.22</v>
      </c>
      <c r="FU81" s="25">
        <v>0.36</v>
      </c>
      <c r="FV81" s="25">
        <v>0.73250000000000004</v>
      </c>
      <c r="FW81" s="25">
        <v>0.96499999999999997</v>
      </c>
      <c r="FX81" s="25">
        <v>0.99</v>
      </c>
      <c r="FY81" s="25">
        <v>1</v>
      </c>
      <c r="FZ81" s="25">
        <v>1</v>
      </c>
      <c r="GA81" s="25">
        <v>1</v>
      </c>
      <c r="GB81" s="25">
        <v>1</v>
      </c>
      <c r="GC81" s="25">
        <v>1</v>
      </c>
      <c r="GD81" s="25">
        <v>1</v>
      </c>
      <c r="GE81" s="25">
        <v>1</v>
      </c>
      <c r="GF81" s="25">
        <v>1</v>
      </c>
      <c r="GG81" s="25">
        <v>1</v>
      </c>
      <c r="GH81" s="25">
        <v>1</v>
      </c>
      <c r="GI81" s="25">
        <v>1</v>
      </c>
      <c r="GJ81" s="25">
        <v>1</v>
      </c>
      <c r="GK81" s="25">
        <v>1</v>
      </c>
      <c r="GL81" s="25">
        <v>1</v>
      </c>
      <c r="GM81" s="25">
        <v>1</v>
      </c>
      <c r="GN81" s="25">
        <v>1</v>
      </c>
      <c r="GO81" s="25">
        <v>1</v>
      </c>
      <c r="GP81" s="25">
        <v>1</v>
      </c>
      <c r="GQ81" s="25">
        <v>1</v>
      </c>
      <c r="GR81" s="25">
        <v>1</v>
      </c>
      <c r="GS81" s="25">
        <v>1</v>
      </c>
      <c r="GT81" s="25">
        <v>1</v>
      </c>
      <c r="GU81" s="25">
        <v>1</v>
      </c>
      <c r="GV81" s="25" t="s">
        <v>455</v>
      </c>
      <c r="GW81" s="25" t="s">
        <v>455</v>
      </c>
      <c r="GX81" s="25" t="s">
        <v>455</v>
      </c>
      <c r="GY81" s="25" t="s">
        <v>455</v>
      </c>
      <c r="GZ81" s="25" t="s">
        <v>455</v>
      </c>
      <c r="HA81" s="25" t="s">
        <v>455</v>
      </c>
      <c r="HB81" s="25" t="s">
        <v>455</v>
      </c>
      <c r="HC81" s="25" t="s">
        <v>455</v>
      </c>
      <c r="HD81" s="25" t="s">
        <v>455</v>
      </c>
      <c r="HE81" s="25" t="s">
        <v>455</v>
      </c>
      <c r="HF81" s="25" t="s">
        <v>455</v>
      </c>
      <c r="HG81" s="25" t="s">
        <v>455</v>
      </c>
      <c r="HH81" s="25" t="s">
        <v>455</v>
      </c>
      <c r="HI81" s="25"/>
      <c r="HJ81" s="25"/>
      <c r="HK81" s="25"/>
      <c r="HL81" s="25"/>
      <c r="HM81" s="25"/>
      <c r="HN81" s="25"/>
      <c r="HO81" s="25"/>
      <c r="HP81" s="25"/>
      <c r="HQ81" s="25"/>
      <c r="HR81" s="25"/>
      <c r="HS81" s="25"/>
      <c r="HT81" s="25"/>
      <c r="HU81" s="26"/>
      <c r="HV81" s="26"/>
      <c r="HW81" s="32"/>
      <c r="HX81" s="55"/>
      <c r="HY81" s="55"/>
      <c r="HZ81" s="55"/>
      <c r="IA81" s="55"/>
      <c r="IB81" s="55"/>
      <c r="IC81" s="55"/>
      <c r="ID81" s="55"/>
      <c r="IE81" s="55"/>
      <c r="IF81" s="107">
        <v>0</v>
      </c>
      <c r="IG81" s="107"/>
      <c r="IH81" s="250">
        <f t="shared" si="41"/>
        <v>0</v>
      </c>
      <c r="II81" s="55"/>
      <c r="IJ81" s="55"/>
      <c r="IK81" s="55"/>
      <c r="IL81" s="55"/>
      <c r="IM81" s="55"/>
      <c r="IN81" s="55"/>
      <c r="IO81" s="55"/>
      <c r="IP81" s="55"/>
      <c r="IQ81" s="55"/>
      <c r="IR81" s="55"/>
      <c r="IS81" s="55"/>
      <c r="IT81" s="55"/>
      <c r="IU81" s="55"/>
      <c r="IV81" s="55"/>
      <c r="IW81" s="55"/>
      <c r="IX81" s="55"/>
      <c r="IY81" s="55"/>
      <c r="IZ81" s="55"/>
      <c r="JA81" s="55"/>
      <c r="JB81" s="55"/>
      <c r="JC81" s="55"/>
      <c r="JD81" s="55">
        <v>2017</v>
      </c>
    </row>
    <row r="82" spans="1:265" s="5" customFormat="1" ht="24.95" hidden="1" customHeight="1">
      <c r="A82" s="13" t="s">
        <v>56</v>
      </c>
      <c r="B82" s="26" t="s">
        <v>27</v>
      </c>
      <c r="C82" s="13" t="s">
        <v>349</v>
      </c>
      <c r="D82" s="13" t="s">
        <v>380</v>
      </c>
      <c r="E82" s="16" t="s">
        <v>350</v>
      </c>
      <c r="F82" s="13" t="s">
        <v>350</v>
      </c>
      <c r="G82" s="26" t="s">
        <v>351</v>
      </c>
      <c r="H82" s="13" t="s">
        <v>1516</v>
      </c>
      <c r="I82" s="21" t="s">
        <v>63</v>
      </c>
      <c r="J82" s="26">
        <v>7</v>
      </c>
      <c r="K82" s="49" t="s">
        <v>375</v>
      </c>
      <c r="L82" s="26" t="s">
        <v>997</v>
      </c>
      <c r="M82" s="20" t="s">
        <v>63</v>
      </c>
      <c r="N82" s="20"/>
      <c r="O82" s="13" t="s">
        <v>3</v>
      </c>
      <c r="P82" s="13" t="s">
        <v>4</v>
      </c>
      <c r="Q82" s="22" t="s">
        <v>1118</v>
      </c>
      <c r="R82" s="26" t="s">
        <v>997</v>
      </c>
      <c r="S82" s="13" t="s">
        <v>1561</v>
      </c>
      <c r="T82" s="13" t="s">
        <v>1387</v>
      </c>
      <c r="U82" s="13" t="s">
        <v>479</v>
      </c>
      <c r="V82" s="24" t="s">
        <v>647</v>
      </c>
      <c r="W82" s="13"/>
      <c r="X82" s="13"/>
      <c r="Y82" s="13"/>
      <c r="Z82" s="13"/>
      <c r="AA82" s="41"/>
      <c r="AB82" s="45">
        <v>234111.16</v>
      </c>
      <c r="AC82" s="29">
        <v>0</v>
      </c>
      <c r="AD82" s="41">
        <v>234111.17</v>
      </c>
      <c r="AE82" s="29">
        <v>0</v>
      </c>
      <c r="AF82" s="29">
        <f t="shared" ref="AF82:AF131" si="47">AD82+AE82</f>
        <v>234111.17</v>
      </c>
      <c r="AG82" s="25">
        <v>0.12</v>
      </c>
      <c r="AH82" s="29">
        <f t="shared" si="45"/>
        <v>28093.340400000001</v>
      </c>
      <c r="AI82" s="29">
        <f t="shared" si="46"/>
        <v>0</v>
      </c>
      <c r="AJ82" s="29">
        <f t="shared" si="36"/>
        <v>262204.51040000003</v>
      </c>
      <c r="AK82" s="29">
        <v>202753.07</v>
      </c>
      <c r="AL82" s="29">
        <f>AB82-AK82</f>
        <v>31358.089999999997</v>
      </c>
      <c r="AM82" s="29"/>
      <c r="AN82" s="41"/>
      <c r="AO82" s="41">
        <v>234111.17</v>
      </c>
      <c r="AP82" s="41"/>
      <c r="AQ82" s="41">
        <v>222252.78</v>
      </c>
      <c r="AR82" s="25">
        <v>0.12</v>
      </c>
      <c r="AS82" s="41">
        <f>AQ82*0.12</f>
        <v>26670.333599999998</v>
      </c>
      <c r="AT82" s="41">
        <f>AQ82*1.12</f>
        <v>248923.11360000001</v>
      </c>
      <c r="AU82" s="32"/>
      <c r="AV82" s="55"/>
      <c r="AW82" s="55"/>
      <c r="AX82" s="55"/>
      <c r="AY82" s="55"/>
      <c r="AZ82" s="55"/>
      <c r="BA82" s="55"/>
      <c r="BB82" s="55"/>
      <c r="BC82" s="55"/>
      <c r="BD82" s="55"/>
      <c r="BE82" s="55"/>
      <c r="BF82" s="55"/>
      <c r="BG82" s="29">
        <f t="shared" si="38"/>
        <v>0</v>
      </c>
      <c r="BH82" s="37" t="s">
        <v>594</v>
      </c>
      <c r="BI82" s="29" t="s">
        <v>570</v>
      </c>
      <c r="BJ82" s="29" t="s">
        <v>570</v>
      </c>
      <c r="BK82" s="29" t="s">
        <v>570</v>
      </c>
      <c r="BL82" s="29" t="s">
        <v>570</v>
      </c>
      <c r="BM82" s="29" t="s">
        <v>570</v>
      </c>
      <c r="BN82" s="23">
        <v>42905</v>
      </c>
      <c r="BO82" s="23">
        <v>42920</v>
      </c>
      <c r="BP82" s="23">
        <v>42927</v>
      </c>
      <c r="BQ82" s="23">
        <v>42934</v>
      </c>
      <c r="BR82" s="13" t="s">
        <v>570</v>
      </c>
      <c r="BS82" s="13" t="s">
        <v>570</v>
      </c>
      <c r="BT82" s="23">
        <v>42949</v>
      </c>
      <c r="BU82" s="13" t="s">
        <v>570</v>
      </c>
      <c r="BV82" s="13" t="s">
        <v>570</v>
      </c>
      <c r="BW82" s="224" t="s">
        <v>570</v>
      </c>
      <c r="BX82" s="23">
        <v>43007</v>
      </c>
      <c r="BY82" s="13" t="s">
        <v>570</v>
      </c>
      <c r="BZ82" s="23" t="s">
        <v>1607</v>
      </c>
      <c r="CA82" s="23" t="s">
        <v>1607</v>
      </c>
      <c r="CB82" s="224" t="s">
        <v>570</v>
      </c>
      <c r="CC82" s="224" t="s">
        <v>570</v>
      </c>
      <c r="CD82" s="224" t="s">
        <v>570</v>
      </c>
      <c r="CE82" s="55"/>
      <c r="CF82" s="55"/>
      <c r="CG82" s="55"/>
      <c r="CH82" s="55"/>
      <c r="CI82" s="55"/>
      <c r="CJ82" s="55"/>
      <c r="CK82" s="55"/>
      <c r="CL82" s="55"/>
      <c r="CM82" s="55"/>
      <c r="CN82" s="55"/>
      <c r="CO82" s="55"/>
      <c r="CP82" s="55"/>
      <c r="CQ82" s="55"/>
      <c r="CR82" s="55"/>
      <c r="CS82" s="55"/>
      <c r="CT82" s="37" t="s">
        <v>570</v>
      </c>
      <c r="CU82" s="37" t="s">
        <v>570</v>
      </c>
      <c r="CV82" s="23"/>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31">
        <f t="shared" si="40"/>
        <v>0</v>
      </c>
      <c r="DZ82" s="55"/>
      <c r="EA82" s="55"/>
      <c r="EB82" s="55"/>
      <c r="EC82" s="55"/>
      <c r="ED82" s="55"/>
      <c r="EE82" s="55"/>
      <c r="EF82" s="55"/>
      <c r="EG82" s="13">
        <v>270</v>
      </c>
      <c r="EH82" s="13" t="s">
        <v>588</v>
      </c>
      <c r="EI82" s="23"/>
      <c r="EJ82" s="23"/>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25">
        <v>0</v>
      </c>
      <c r="FW82" s="25">
        <v>0</v>
      </c>
      <c r="FX82" s="25">
        <v>0</v>
      </c>
      <c r="FY82" s="25">
        <v>0</v>
      </c>
      <c r="FZ82" s="25">
        <v>0</v>
      </c>
      <c r="GA82" s="25">
        <v>0</v>
      </c>
      <c r="GB82" s="25">
        <v>0</v>
      </c>
      <c r="GC82" s="25">
        <v>0</v>
      </c>
      <c r="GD82" s="25">
        <v>0.27</v>
      </c>
      <c r="GE82" s="25">
        <v>0.27</v>
      </c>
      <c r="GF82" s="25">
        <v>0.39</v>
      </c>
      <c r="GG82" s="25">
        <v>0.39</v>
      </c>
      <c r="GH82" s="25">
        <v>1</v>
      </c>
      <c r="GI82" s="25">
        <v>1</v>
      </c>
      <c r="GJ82" s="25">
        <v>1</v>
      </c>
      <c r="GK82" s="25">
        <v>1</v>
      </c>
      <c r="GL82" s="25">
        <v>1</v>
      </c>
      <c r="GM82" s="25">
        <v>1</v>
      </c>
      <c r="GN82" s="25">
        <v>1</v>
      </c>
      <c r="GO82" s="25">
        <v>1</v>
      </c>
      <c r="GP82" s="25">
        <v>1</v>
      </c>
      <c r="GQ82" s="25">
        <v>1</v>
      </c>
      <c r="GR82" s="25">
        <v>1</v>
      </c>
      <c r="GS82" s="25">
        <v>1</v>
      </c>
      <c r="GT82" s="25">
        <v>1</v>
      </c>
      <c r="GU82" s="25">
        <v>1</v>
      </c>
      <c r="GV82" s="25" t="s">
        <v>1588</v>
      </c>
      <c r="GW82" s="25" t="s">
        <v>1588</v>
      </c>
      <c r="GX82" s="25" t="s">
        <v>1588</v>
      </c>
      <c r="GY82" s="25" t="s">
        <v>1588</v>
      </c>
      <c r="GZ82" s="25" t="s">
        <v>455</v>
      </c>
      <c r="HA82" s="25" t="s">
        <v>455</v>
      </c>
      <c r="HB82" s="25" t="s">
        <v>455</v>
      </c>
      <c r="HC82" s="25" t="s">
        <v>1588</v>
      </c>
      <c r="HD82" s="25" t="s">
        <v>455</v>
      </c>
      <c r="HE82" s="25" t="s">
        <v>455</v>
      </c>
      <c r="HF82" s="25" t="s">
        <v>455</v>
      </c>
      <c r="HG82" s="25" t="s">
        <v>455</v>
      </c>
      <c r="HH82" s="25" t="s">
        <v>455</v>
      </c>
      <c r="HI82" s="25" t="s">
        <v>1637</v>
      </c>
      <c r="HJ82" s="25"/>
      <c r="HK82" s="25"/>
      <c r="HL82" s="25" t="s">
        <v>1701</v>
      </c>
      <c r="HM82" s="25" t="s">
        <v>1782</v>
      </c>
      <c r="HN82" s="25" t="s">
        <v>1783</v>
      </c>
      <c r="HO82" s="25" t="s">
        <v>1911</v>
      </c>
      <c r="HP82" s="25"/>
      <c r="HQ82" s="25"/>
      <c r="HR82" s="25"/>
      <c r="HS82" s="25"/>
      <c r="HT82" s="25"/>
      <c r="HU82" s="13" t="s">
        <v>1050</v>
      </c>
      <c r="HV82" s="13"/>
      <c r="HW82" s="13" t="s">
        <v>1202</v>
      </c>
      <c r="HX82" s="55"/>
      <c r="HY82" s="55">
        <v>3</v>
      </c>
      <c r="HZ82" s="55"/>
      <c r="IA82" s="55"/>
      <c r="IB82" s="55"/>
      <c r="IC82" s="55"/>
      <c r="ID82" s="55"/>
      <c r="IE82" s="55"/>
      <c r="IF82" s="107">
        <v>234111.16</v>
      </c>
      <c r="IG82" s="107">
        <v>191643.31</v>
      </c>
      <c r="IH82" s="250">
        <f t="shared" si="41"/>
        <v>11109.760000000009</v>
      </c>
      <c r="II82" s="55"/>
      <c r="IJ82" s="55"/>
      <c r="IK82" s="55"/>
      <c r="IL82" s="55"/>
      <c r="IM82" s="55"/>
      <c r="IN82" s="55"/>
      <c r="IO82" s="55"/>
      <c r="IP82" s="55"/>
      <c r="IQ82" s="55"/>
      <c r="IR82" s="55"/>
      <c r="IS82" s="55"/>
      <c r="IT82" s="55"/>
      <c r="IU82" s="55"/>
      <c r="IV82" s="55"/>
      <c r="IW82" s="55"/>
      <c r="IX82" s="55"/>
      <c r="IY82" s="55"/>
      <c r="IZ82" s="55"/>
      <c r="JA82" s="55"/>
      <c r="JB82" s="55"/>
      <c r="JC82" s="55"/>
      <c r="JD82" s="55">
        <v>2018</v>
      </c>
    </row>
    <row r="83" spans="1:265" s="5" customFormat="1" ht="24.95" hidden="1" customHeight="1">
      <c r="A83" s="26" t="s">
        <v>56</v>
      </c>
      <c r="B83" s="26" t="s">
        <v>27</v>
      </c>
      <c r="C83" s="13" t="s">
        <v>349</v>
      </c>
      <c r="D83" s="13" t="s">
        <v>380</v>
      </c>
      <c r="E83" s="16" t="s">
        <v>360</v>
      </c>
      <c r="F83" s="13" t="s">
        <v>360</v>
      </c>
      <c r="G83" s="26" t="s">
        <v>354</v>
      </c>
      <c r="H83" s="13" t="s">
        <v>1516</v>
      </c>
      <c r="I83" s="21" t="s">
        <v>419</v>
      </c>
      <c r="J83" s="26">
        <v>8</v>
      </c>
      <c r="K83" s="49" t="s">
        <v>375</v>
      </c>
      <c r="L83" s="26" t="s">
        <v>412</v>
      </c>
      <c r="M83" s="20" t="s">
        <v>64</v>
      </c>
      <c r="N83" s="20" t="s">
        <v>1948</v>
      </c>
      <c r="O83" s="13" t="s">
        <v>3</v>
      </c>
      <c r="P83" s="13" t="s">
        <v>4</v>
      </c>
      <c r="Q83" s="22" t="s">
        <v>1118</v>
      </c>
      <c r="R83" s="26" t="s">
        <v>412</v>
      </c>
      <c r="S83" s="13" t="s">
        <v>698</v>
      </c>
      <c r="T83" s="13" t="s">
        <v>1387</v>
      </c>
      <c r="U83" s="13" t="s">
        <v>479</v>
      </c>
      <c r="V83" s="13" t="s">
        <v>699</v>
      </c>
      <c r="W83" s="22" t="s">
        <v>1088</v>
      </c>
      <c r="X83" s="22" t="s">
        <v>503</v>
      </c>
      <c r="Y83" s="13" t="s">
        <v>1089</v>
      </c>
      <c r="Z83" s="22" t="s">
        <v>503</v>
      </c>
      <c r="AA83" s="41">
        <v>31084.399999999994</v>
      </c>
      <c r="AB83" s="45">
        <v>84822.57</v>
      </c>
      <c r="AC83" s="41">
        <v>31084.399999999994</v>
      </c>
      <c r="AD83" s="41">
        <v>84822.571428571406</v>
      </c>
      <c r="AE83" s="29">
        <v>0</v>
      </c>
      <c r="AF83" s="29">
        <f t="shared" si="47"/>
        <v>84822.571428571406</v>
      </c>
      <c r="AG83" s="25">
        <v>0.12</v>
      </c>
      <c r="AH83" s="29">
        <f t="shared" si="45"/>
        <v>10178.708571428568</v>
      </c>
      <c r="AI83" s="29">
        <f t="shared" si="46"/>
        <v>0</v>
      </c>
      <c r="AJ83" s="29">
        <f t="shared" si="36"/>
        <v>95001.279999999984</v>
      </c>
      <c r="AK83" s="29">
        <v>82368.800000000003</v>
      </c>
      <c r="AL83" s="29">
        <f>AB83-AK83</f>
        <v>2453.7700000000041</v>
      </c>
      <c r="AM83" s="29"/>
      <c r="AN83" s="41"/>
      <c r="AO83" s="41">
        <v>84822.571428571406</v>
      </c>
      <c r="AP83" s="41"/>
      <c r="AQ83" s="41">
        <v>82368.800000000003</v>
      </c>
      <c r="AR83" s="25">
        <v>0.14000000000000001</v>
      </c>
      <c r="AS83" s="25"/>
      <c r="AT83" s="41">
        <f>+AQ83*1.14</f>
        <v>93900.432000000001</v>
      </c>
      <c r="AU83" s="41"/>
      <c r="AV83" s="41"/>
      <c r="AW83" s="41"/>
      <c r="AX83" s="41"/>
      <c r="AY83" s="41"/>
      <c r="AZ83" s="41"/>
      <c r="BA83" s="41"/>
      <c r="BB83" s="41"/>
      <c r="BC83" s="41"/>
      <c r="BD83" s="37"/>
      <c r="BE83" s="37"/>
      <c r="BF83" s="29">
        <f>AB83-AQ83</f>
        <v>2453.7700000000041</v>
      </c>
      <c r="BG83" s="29">
        <f t="shared" si="38"/>
        <v>2453.7700000000041</v>
      </c>
      <c r="BH83" s="37" t="s">
        <v>594</v>
      </c>
      <c r="BI83" s="29" t="s">
        <v>570</v>
      </c>
      <c r="BJ83" s="29" t="s">
        <v>570</v>
      </c>
      <c r="BK83" s="29" t="s">
        <v>570</v>
      </c>
      <c r="BL83" s="29" t="s">
        <v>570</v>
      </c>
      <c r="BM83" s="29" t="s">
        <v>570</v>
      </c>
      <c r="BN83" s="23">
        <v>42601</v>
      </c>
      <c r="BO83" s="23">
        <v>42612</v>
      </c>
      <c r="BP83" s="23">
        <v>42618</v>
      </c>
      <c r="BQ83" s="23">
        <v>42629</v>
      </c>
      <c r="BR83" s="13" t="s">
        <v>570</v>
      </c>
      <c r="BS83" s="23">
        <v>42636</v>
      </c>
      <c r="BT83" s="23">
        <v>42639</v>
      </c>
      <c r="BU83" s="13" t="s">
        <v>570</v>
      </c>
      <c r="BV83" s="13" t="s">
        <v>570</v>
      </c>
      <c r="BW83" s="224" t="s">
        <v>570</v>
      </c>
      <c r="BX83" s="23">
        <v>42664</v>
      </c>
      <c r="BY83" s="13" t="s">
        <v>570</v>
      </c>
      <c r="BZ83" s="23">
        <v>42699</v>
      </c>
      <c r="CA83" s="23">
        <v>42699</v>
      </c>
      <c r="CB83" s="224" t="s">
        <v>570</v>
      </c>
      <c r="CC83" s="224" t="s">
        <v>570</v>
      </c>
      <c r="CD83" s="224" t="s">
        <v>570</v>
      </c>
      <c r="CE83" s="23"/>
      <c r="CF83" s="127" t="s">
        <v>829</v>
      </c>
      <c r="CG83" s="23"/>
      <c r="CH83" s="23"/>
      <c r="CI83" s="23"/>
      <c r="CJ83" s="23"/>
      <c r="CK83" s="23"/>
      <c r="CL83" s="23"/>
      <c r="CM83" s="23"/>
      <c r="CN83" s="23"/>
      <c r="CO83" s="23"/>
      <c r="CP83" s="23"/>
      <c r="CQ83" s="23"/>
      <c r="CR83" s="127" t="s">
        <v>829</v>
      </c>
      <c r="CS83" s="13" t="s">
        <v>570</v>
      </c>
      <c r="CT83" s="37" t="s">
        <v>570</v>
      </c>
      <c r="CU83" s="37" t="s">
        <v>570</v>
      </c>
      <c r="CV83" s="23">
        <v>42710</v>
      </c>
      <c r="CW83" s="30">
        <v>41184.400000000001</v>
      </c>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31">
        <f t="shared" si="40"/>
        <v>41184.400000000001</v>
      </c>
      <c r="DZ83" s="13"/>
      <c r="EA83" s="13"/>
      <c r="EB83" s="13"/>
      <c r="EC83" s="13"/>
      <c r="ED83" s="13"/>
      <c r="EE83" s="13"/>
      <c r="EF83" s="13"/>
      <c r="EG83" s="13">
        <v>240</v>
      </c>
      <c r="EH83" s="13" t="s">
        <v>588</v>
      </c>
      <c r="EI83" s="23">
        <f>CV83+1</f>
        <v>42711</v>
      </c>
      <c r="EJ83" s="23">
        <f>EI83+EG83</f>
        <v>42951</v>
      </c>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25">
        <v>0</v>
      </c>
      <c r="FV83" s="25">
        <v>0.11</v>
      </c>
      <c r="FW83" s="25">
        <v>0.18</v>
      </c>
      <c r="FX83" s="25">
        <v>0.48</v>
      </c>
      <c r="FY83" s="25">
        <v>0.48</v>
      </c>
      <c r="FZ83" s="25">
        <v>1</v>
      </c>
      <c r="GA83" s="25">
        <v>1</v>
      </c>
      <c r="GB83" s="25">
        <v>1</v>
      </c>
      <c r="GC83" s="25">
        <v>1</v>
      </c>
      <c r="GD83" s="25">
        <v>1</v>
      </c>
      <c r="GE83" s="25">
        <v>1</v>
      </c>
      <c r="GF83" s="25">
        <v>1</v>
      </c>
      <c r="GG83" s="25">
        <v>1</v>
      </c>
      <c r="GH83" s="25">
        <v>1</v>
      </c>
      <c r="GI83" s="25">
        <v>1</v>
      </c>
      <c r="GJ83" s="25">
        <v>1</v>
      </c>
      <c r="GK83" s="25">
        <v>1</v>
      </c>
      <c r="GL83" s="25">
        <v>1</v>
      </c>
      <c r="GM83" s="25">
        <v>1</v>
      </c>
      <c r="GN83" s="25">
        <v>1</v>
      </c>
      <c r="GO83" s="25">
        <v>1</v>
      </c>
      <c r="GP83" s="25">
        <v>1</v>
      </c>
      <c r="GQ83" s="25">
        <v>1</v>
      </c>
      <c r="GR83" s="25">
        <v>1</v>
      </c>
      <c r="GS83" s="25">
        <v>1</v>
      </c>
      <c r="GT83" s="25">
        <v>1</v>
      </c>
      <c r="GU83" s="25">
        <v>1</v>
      </c>
      <c r="GV83" s="25" t="s">
        <v>455</v>
      </c>
      <c r="GW83" s="25" t="s">
        <v>455</v>
      </c>
      <c r="GX83" s="25" t="s">
        <v>455</v>
      </c>
      <c r="GY83" s="25" t="s">
        <v>455</v>
      </c>
      <c r="GZ83" s="25" t="s">
        <v>455</v>
      </c>
      <c r="HA83" s="25" t="s">
        <v>455</v>
      </c>
      <c r="HB83" s="25" t="s">
        <v>455</v>
      </c>
      <c r="HC83" s="25" t="s">
        <v>455</v>
      </c>
      <c r="HD83" s="25" t="s">
        <v>455</v>
      </c>
      <c r="HE83" s="25" t="s">
        <v>455</v>
      </c>
      <c r="HF83" s="25" t="s">
        <v>455</v>
      </c>
      <c r="HG83" s="25" t="s">
        <v>455</v>
      </c>
      <c r="HH83" s="25" t="s">
        <v>455</v>
      </c>
      <c r="HI83" s="25"/>
      <c r="HJ83" s="25"/>
      <c r="HK83" s="25"/>
      <c r="HL83" s="25"/>
      <c r="HM83" s="25"/>
      <c r="HN83" s="25"/>
      <c r="HO83" s="25"/>
      <c r="HP83" s="25"/>
      <c r="HQ83" s="25"/>
      <c r="HR83" s="25"/>
      <c r="HS83" s="25"/>
      <c r="HT83" s="25"/>
      <c r="HU83" s="13"/>
      <c r="HV83" s="13"/>
      <c r="HW83" s="32"/>
      <c r="HX83" s="55"/>
      <c r="HY83" s="55"/>
      <c r="HZ83" s="55"/>
      <c r="IA83" s="55"/>
      <c r="IB83" s="55"/>
      <c r="IC83" s="55"/>
      <c r="ID83" s="55"/>
      <c r="IE83" s="55"/>
      <c r="IF83" s="107">
        <v>84822.57</v>
      </c>
      <c r="IG83" s="107">
        <v>82368.800000000003</v>
      </c>
      <c r="IH83" s="250">
        <f t="shared" si="41"/>
        <v>0</v>
      </c>
      <c r="II83" s="55"/>
      <c r="IJ83" s="55"/>
      <c r="IK83" s="55"/>
      <c r="IL83" s="55"/>
      <c r="IM83" s="55"/>
      <c r="IN83" s="55"/>
      <c r="IO83" s="55"/>
      <c r="IP83" s="55"/>
      <c r="IQ83" s="55"/>
      <c r="IR83" s="55"/>
      <c r="IS83" s="55"/>
      <c r="IT83" s="55"/>
      <c r="IU83" s="55"/>
      <c r="IV83" s="55"/>
      <c r="IW83" s="55"/>
      <c r="IX83" s="55"/>
      <c r="IY83" s="55"/>
      <c r="IZ83" s="55"/>
      <c r="JA83" s="55"/>
      <c r="JB83" s="55"/>
      <c r="JC83" s="55"/>
      <c r="JD83" s="55">
        <v>2017</v>
      </c>
    </row>
    <row r="84" spans="1:265" s="5" customFormat="1" ht="24.95" hidden="1" customHeight="1">
      <c r="A84" s="26" t="s">
        <v>56</v>
      </c>
      <c r="B84" s="26" t="s">
        <v>27</v>
      </c>
      <c r="C84" s="13" t="s">
        <v>349</v>
      </c>
      <c r="D84" s="13" t="s">
        <v>380</v>
      </c>
      <c r="E84" s="16" t="s">
        <v>360</v>
      </c>
      <c r="F84" s="13" t="s">
        <v>360</v>
      </c>
      <c r="G84" s="26" t="s">
        <v>354</v>
      </c>
      <c r="H84" s="13" t="s">
        <v>1516</v>
      </c>
      <c r="I84" s="21" t="s">
        <v>420</v>
      </c>
      <c r="J84" s="26">
        <v>9</v>
      </c>
      <c r="K84" s="49" t="s">
        <v>375</v>
      </c>
      <c r="L84" s="26" t="s">
        <v>412</v>
      </c>
      <c r="M84" s="20" t="s">
        <v>64</v>
      </c>
      <c r="N84" s="20" t="s">
        <v>1949</v>
      </c>
      <c r="O84" s="13" t="s">
        <v>3</v>
      </c>
      <c r="P84" s="13" t="s">
        <v>4</v>
      </c>
      <c r="Q84" s="22" t="s">
        <v>1118</v>
      </c>
      <c r="R84" s="26" t="s">
        <v>412</v>
      </c>
      <c r="S84" s="13" t="s">
        <v>698</v>
      </c>
      <c r="T84" s="13" t="s">
        <v>1387</v>
      </c>
      <c r="U84" s="13" t="s">
        <v>479</v>
      </c>
      <c r="V84" s="13" t="s">
        <v>699</v>
      </c>
      <c r="W84" s="22" t="s">
        <v>1088</v>
      </c>
      <c r="X84" s="22" t="s">
        <v>503</v>
      </c>
      <c r="Y84" s="13" t="s">
        <v>1089</v>
      </c>
      <c r="Z84" s="22" t="s">
        <v>503</v>
      </c>
      <c r="AA84" s="41">
        <v>27101.639999999996</v>
      </c>
      <c r="AB84" s="45">
        <v>0</v>
      </c>
      <c r="AC84" s="41">
        <v>27101.639999999996</v>
      </c>
      <c r="AD84" s="41"/>
      <c r="AE84" s="29">
        <v>0</v>
      </c>
      <c r="AF84" s="29">
        <f t="shared" si="47"/>
        <v>0</v>
      </c>
      <c r="AG84" s="25">
        <v>0.12</v>
      </c>
      <c r="AH84" s="29">
        <f t="shared" si="45"/>
        <v>0</v>
      </c>
      <c r="AI84" s="29">
        <f t="shared" si="46"/>
        <v>0</v>
      </c>
      <c r="AJ84" s="29">
        <f t="shared" si="36"/>
        <v>0</v>
      </c>
      <c r="AK84" s="29"/>
      <c r="AL84" s="29"/>
      <c r="AM84" s="29"/>
      <c r="AN84" s="41"/>
      <c r="AO84" s="41"/>
      <c r="AP84" s="41"/>
      <c r="AQ84" s="41"/>
      <c r="AR84" s="41"/>
      <c r="AS84" s="41"/>
      <c r="AT84" s="41"/>
      <c r="AU84" s="41"/>
      <c r="AV84" s="41"/>
      <c r="AW84" s="41"/>
      <c r="AX84" s="41"/>
      <c r="AY84" s="41"/>
      <c r="AZ84" s="41"/>
      <c r="BA84" s="41"/>
      <c r="BB84" s="41"/>
      <c r="BC84" s="41"/>
      <c r="BD84" s="37"/>
      <c r="BE84" s="37"/>
      <c r="BF84" s="29">
        <f>AB84-AQ84</f>
        <v>0</v>
      </c>
      <c r="BG84" s="29">
        <f t="shared" si="38"/>
        <v>0</v>
      </c>
      <c r="BH84" s="37" t="s">
        <v>594</v>
      </c>
      <c r="BI84" s="29" t="s">
        <v>570</v>
      </c>
      <c r="BJ84" s="29" t="s">
        <v>570</v>
      </c>
      <c r="BK84" s="29" t="s">
        <v>570</v>
      </c>
      <c r="BL84" s="29" t="s">
        <v>570</v>
      </c>
      <c r="BM84" s="29" t="s">
        <v>570</v>
      </c>
      <c r="BN84" s="23">
        <v>42601</v>
      </c>
      <c r="BO84" s="23">
        <v>42612</v>
      </c>
      <c r="BP84" s="23">
        <v>42618</v>
      </c>
      <c r="BQ84" s="23">
        <v>42629</v>
      </c>
      <c r="BR84" s="13" t="s">
        <v>570</v>
      </c>
      <c r="BS84" s="23">
        <v>42636</v>
      </c>
      <c r="BT84" s="23">
        <v>42639</v>
      </c>
      <c r="BU84" s="13" t="s">
        <v>570</v>
      </c>
      <c r="BV84" s="13" t="s">
        <v>570</v>
      </c>
      <c r="BW84" s="224" t="s">
        <v>570</v>
      </c>
      <c r="BX84" s="23">
        <v>42664</v>
      </c>
      <c r="BY84" s="13" t="s">
        <v>570</v>
      </c>
      <c r="BZ84" s="23">
        <v>42699</v>
      </c>
      <c r="CA84" s="23">
        <v>42699</v>
      </c>
      <c r="CB84" s="224" t="s">
        <v>570</v>
      </c>
      <c r="CC84" s="224" t="s">
        <v>570</v>
      </c>
      <c r="CD84" s="224" t="s">
        <v>570</v>
      </c>
      <c r="CE84" s="23"/>
      <c r="CF84" s="127" t="s">
        <v>829</v>
      </c>
      <c r="CG84" s="23"/>
      <c r="CH84" s="23"/>
      <c r="CI84" s="23"/>
      <c r="CJ84" s="23"/>
      <c r="CK84" s="23"/>
      <c r="CL84" s="23"/>
      <c r="CM84" s="23"/>
      <c r="CN84" s="23"/>
      <c r="CO84" s="23"/>
      <c r="CP84" s="23"/>
      <c r="CQ84" s="23"/>
      <c r="CR84" s="127" t="s">
        <v>829</v>
      </c>
      <c r="CS84" s="13" t="s">
        <v>570</v>
      </c>
      <c r="CT84" s="37" t="s">
        <v>570</v>
      </c>
      <c r="CU84" s="37" t="s">
        <v>570</v>
      </c>
      <c r="CV84" s="23">
        <v>42710</v>
      </c>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31">
        <f t="shared" si="40"/>
        <v>0</v>
      </c>
      <c r="DZ84" s="13"/>
      <c r="EA84" s="13"/>
      <c r="EB84" s="13"/>
      <c r="EC84" s="13"/>
      <c r="ED84" s="13"/>
      <c r="EE84" s="13"/>
      <c r="EF84" s="13"/>
      <c r="EG84" s="13">
        <v>240</v>
      </c>
      <c r="EH84" s="13" t="s">
        <v>588</v>
      </c>
      <c r="EI84" s="23">
        <f>CV84+1</f>
        <v>42711</v>
      </c>
      <c r="EJ84" s="23">
        <f>EI84+EG84</f>
        <v>42951</v>
      </c>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25">
        <v>0</v>
      </c>
      <c r="FV84" s="25">
        <v>0.11</v>
      </c>
      <c r="FW84" s="25">
        <v>0.18</v>
      </c>
      <c r="FX84" s="25">
        <v>0.48</v>
      </c>
      <c r="FY84" s="25">
        <v>0.48</v>
      </c>
      <c r="FZ84" s="25">
        <v>1</v>
      </c>
      <c r="GA84" s="25">
        <v>1</v>
      </c>
      <c r="GB84" s="25">
        <v>1</v>
      </c>
      <c r="GC84" s="25">
        <v>1</v>
      </c>
      <c r="GD84" s="25">
        <v>1</v>
      </c>
      <c r="GE84" s="25">
        <v>1</v>
      </c>
      <c r="GF84" s="25">
        <v>1</v>
      </c>
      <c r="GG84" s="25">
        <v>1</v>
      </c>
      <c r="GH84" s="25">
        <v>1</v>
      </c>
      <c r="GI84" s="25">
        <v>1</v>
      </c>
      <c r="GJ84" s="25">
        <v>1</v>
      </c>
      <c r="GK84" s="25">
        <v>1</v>
      </c>
      <c r="GL84" s="25">
        <v>1</v>
      </c>
      <c r="GM84" s="25">
        <v>1</v>
      </c>
      <c r="GN84" s="25">
        <v>1</v>
      </c>
      <c r="GO84" s="25">
        <v>1</v>
      </c>
      <c r="GP84" s="25">
        <v>1</v>
      </c>
      <c r="GQ84" s="25">
        <v>1</v>
      </c>
      <c r="GR84" s="25">
        <v>1</v>
      </c>
      <c r="GS84" s="25">
        <v>1</v>
      </c>
      <c r="GT84" s="25">
        <v>1</v>
      </c>
      <c r="GU84" s="25">
        <v>1</v>
      </c>
      <c r="GV84" s="25" t="s">
        <v>455</v>
      </c>
      <c r="GW84" s="25" t="s">
        <v>455</v>
      </c>
      <c r="GX84" s="25" t="s">
        <v>455</v>
      </c>
      <c r="GY84" s="25" t="s">
        <v>455</v>
      </c>
      <c r="GZ84" s="25" t="s">
        <v>455</v>
      </c>
      <c r="HA84" s="25" t="s">
        <v>455</v>
      </c>
      <c r="HB84" s="25" t="s">
        <v>455</v>
      </c>
      <c r="HC84" s="25" t="s">
        <v>455</v>
      </c>
      <c r="HD84" s="25" t="s">
        <v>455</v>
      </c>
      <c r="HE84" s="25" t="s">
        <v>455</v>
      </c>
      <c r="HF84" s="25" t="s">
        <v>455</v>
      </c>
      <c r="HG84" s="25" t="s">
        <v>455</v>
      </c>
      <c r="HH84" s="25" t="s">
        <v>455</v>
      </c>
      <c r="HI84" s="25"/>
      <c r="HJ84" s="25"/>
      <c r="HK84" s="25"/>
      <c r="HL84" s="25"/>
      <c r="HM84" s="25"/>
      <c r="HN84" s="25"/>
      <c r="HO84" s="25"/>
      <c r="HP84" s="25"/>
      <c r="HQ84" s="25"/>
      <c r="HR84" s="25"/>
      <c r="HS84" s="25"/>
      <c r="HT84" s="25"/>
      <c r="HU84" s="13"/>
      <c r="HV84" s="13"/>
      <c r="HW84" s="32"/>
      <c r="HX84" s="55"/>
      <c r="HY84" s="55"/>
      <c r="HZ84" s="55"/>
      <c r="IA84" s="55"/>
      <c r="IB84" s="55"/>
      <c r="IC84" s="55"/>
      <c r="ID84" s="55"/>
      <c r="IE84" s="55"/>
      <c r="IF84" s="107">
        <v>0</v>
      </c>
      <c r="IG84" s="107"/>
      <c r="IH84" s="250">
        <f t="shared" si="41"/>
        <v>0</v>
      </c>
      <c r="II84" s="55"/>
      <c r="IJ84" s="55"/>
      <c r="IK84" s="55"/>
      <c r="IL84" s="55"/>
      <c r="IM84" s="55"/>
      <c r="IN84" s="55"/>
      <c r="IO84" s="55"/>
      <c r="IP84" s="55"/>
      <c r="IQ84" s="55"/>
      <c r="IR84" s="55"/>
      <c r="IS84" s="55"/>
      <c r="IT84" s="55"/>
      <c r="IU84" s="55"/>
      <c r="IV84" s="55"/>
      <c r="IW84" s="55"/>
      <c r="IX84" s="55"/>
      <c r="IY84" s="55"/>
      <c r="IZ84" s="55"/>
      <c r="JA84" s="55"/>
      <c r="JB84" s="55"/>
      <c r="JC84" s="55"/>
      <c r="JD84" s="55">
        <v>2017</v>
      </c>
    </row>
    <row r="85" spans="1:265" s="5" customFormat="1" ht="24.95" hidden="1" customHeight="1">
      <c r="A85" s="26" t="s">
        <v>56</v>
      </c>
      <c r="B85" s="26" t="s">
        <v>27</v>
      </c>
      <c r="C85" s="13" t="s">
        <v>349</v>
      </c>
      <c r="D85" s="13" t="s">
        <v>380</v>
      </c>
      <c r="E85" s="16" t="s">
        <v>360</v>
      </c>
      <c r="F85" s="13" t="s">
        <v>360</v>
      </c>
      <c r="G85" s="26" t="s">
        <v>354</v>
      </c>
      <c r="H85" s="13" t="s">
        <v>1516</v>
      </c>
      <c r="I85" s="21" t="s">
        <v>421</v>
      </c>
      <c r="J85" s="26">
        <v>10</v>
      </c>
      <c r="K85" s="49" t="s">
        <v>375</v>
      </c>
      <c r="L85" s="26" t="s">
        <v>412</v>
      </c>
      <c r="M85" s="20" t="s">
        <v>64</v>
      </c>
      <c r="N85" s="20" t="s">
        <v>1950</v>
      </c>
      <c r="O85" s="13" t="s">
        <v>3</v>
      </c>
      <c r="P85" s="13" t="s">
        <v>4</v>
      </c>
      <c r="Q85" s="22" t="s">
        <v>1118</v>
      </c>
      <c r="R85" s="26" t="s">
        <v>412</v>
      </c>
      <c r="S85" s="13" t="s">
        <v>698</v>
      </c>
      <c r="T85" s="13" t="s">
        <v>1387</v>
      </c>
      <c r="U85" s="13" t="s">
        <v>479</v>
      </c>
      <c r="V85" s="13" t="s">
        <v>699</v>
      </c>
      <c r="W85" s="22" t="s">
        <v>1088</v>
      </c>
      <c r="X85" s="22" t="s">
        <v>503</v>
      </c>
      <c r="Y85" s="13" t="s">
        <v>1089</v>
      </c>
      <c r="Z85" s="22" t="s">
        <v>503</v>
      </c>
      <c r="AA85" s="41">
        <v>26636.529999999995</v>
      </c>
      <c r="AB85" s="45">
        <v>0</v>
      </c>
      <c r="AC85" s="41">
        <v>26636.529999999995</v>
      </c>
      <c r="AD85" s="41"/>
      <c r="AE85" s="29">
        <v>0</v>
      </c>
      <c r="AF85" s="29">
        <f t="shared" si="47"/>
        <v>0</v>
      </c>
      <c r="AG85" s="25">
        <v>0.12</v>
      </c>
      <c r="AH85" s="29">
        <f t="shared" si="45"/>
        <v>0</v>
      </c>
      <c r="AI85" s="29">
        <f t="shared" si="46"/>
        <v>0</v>
      </c>
      <c r="AJ85" s="29">
        <f t="shared" si="36"/>
        <v>0</v>
      </c>
      <c r="AK85" s="29"/>
      <c r="AL85" s="29"/>
      <c r="AM85" s="29"/>
      <c r="AN85" s="41"/>
      <c r="AO85" s="41"/>
      <c r="AP85" s="41"/>
      <c r="AQ85" s="41"/>
      <c r="AR85" s="41"/>
      <c r="AS85" s="41"/>
      <c r="AT85" s="41"/>
      <c r="AU85" s="41"/>
      <c r="AV85" s="41"/>
      <c r="AW85" s="41"/>
      <c r="AX85" s="41"/>
      <c r="AY85" s="41"/>
      <c r="AZ85" s="41"/>
      <c r="BA85" s="41"/>
      <c r="BB85" s="41"/>
      <c r="BC85" s="41"/>
      <c r="BD85" s="37"/>
      <c r="BE85" s="37"/>
      <c r="BF85" s="29">
        <f>AB85-AQ85</f>
        <v>0</v>
      </c>
      <c r="BG85" s="29">
        <f t="shared" ref="BG85:BG111" si="48">BF85-AW85-AZ85-BC85-BE85</f>
        <v>0</v>
      </c>
      <c r="BH85" s="37" t="s">
        <v>594</v>
      </c>
      <c r="BI85" s="29" t="s">
        <v>570</v>
      </c>
      <c r="BJ85" s="29" t="s">
        <v>570</v>
      </c>
      <c r="BK85" s="29" t="s">
        <v>570</v>
      </c>
      <c r="BL85" s="29" t="s">
        <v>570</v>
      </c>
      <c r="BM85" s="29" t="s">
        <v>570</v>
      </c>
      <c r="BN85" s="23">
        <v>42601</v>
      </c>
      <c r="BO85" s="23">
        <v>42612</v>
      </c>
      <c r="BP85" s="23">
        <v>42618</v>
      </c>
      <c r="BQ85" s="23">
        <v>42629</v>
      </c>
      <c r="BR85" s="13" t="s">
        <v>570</v>
      </c>
      <c r="BS85" s="23">
        <v>42636</v>
      </c>
      <c r="BT85" s="23">
        <v>42639</v>
      </c>
      <c r="BU85" s="13" t="s">
        <v>570</v>
      </c>
      <c r="BV85" s="13" t="s">
        <v>570</v>
      </c>
      <c r="BW85" s="224" t="s">
        <v>570</v>
      </c>
      <c r="BX85" s="23">
        <v>42664</v>
      </c>
      <c r="BY85" s="13" t="s">
        <v>570</v>
      </c>
      <c r="BZ85" s="23">
        <v>42699</v>
      </c>
      <c r="CA85" s="23">
        <v>42699</v>
      </c>
      <c r="CB85" s="224" t="s">
        <v>570</v>
      </c>
      <c r="CC85" s="224" t="s">
        <v>570</v>
      </c>
      <c r="CD85" s="224" t="s">
        <v>570</v>
      </c>
      <c r="CE85" s="23"/>
      <c r="CF85" s="127" t="s">
        <v>829</v>
      </c>
      <c r="CG85" s="23"/>
      <c r="CH85" s="23"/>
      <c r="CI85" s="23"/>
      <c r="CJ85" s="23"/>
      <c r="CK85" s="23"/>
      <c r="CL85" s="23"/>
      <c r="CM85" s="23"/>
      <c r="CN85" s="23"/>
      <c r="CO85" s="23"/>
      <c r="CP85" s="23"/>
      <c r="CQ85" s="23"/>
      <c r="CR85" s="127" t="s">
        <v>829</v>
      </c>
      <c r="CS85" s="13" t="s">
        <v>570</v>
      </c>
      <c r="CT85" s="37" t="s">
        <v>570</v>
      </c>
      <c r="CU85" s="37" t="s">
        <v>570</v>
      </c>
      <c r="CV85" s="23">
        <v>42710</v>
      </c>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31">
        <f t="shared" ref="DY85:DY111" si="49">CW85+CZ85+DC85+DF85+DI85+DL85+DO85+DR85+DU85+DX85</f>
        <v>0</v>
      </c>
      <c r="DZ85" s="13"/>
      <c r="EA85" s="13"/>
      <c r="EB85" s="13"/>
      <c r="EC85" s="13"/>
      <c r="ED85" s="13"/>
      <c r="EE85" s="13"/>
      <c r="EF85" s="13"/>
      <c r="EG85" s="13">
        <v>240</v>
      </c>
      <c r="EH85" s="13" t="s">
        <v>588</v>
      </c>
      <c r="EI85" s="23">
        <f>CV85+1</f>
        <v>42711</v>
      </c>
      <c r="EJ85" s="23">
        <f>EI85+EG85</f>
        <v>42951</v>
      </c>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25">
        <v>0</v>
      </c>
      <c r="FV85" s="25">
        <v>0.11</v>
      </c>
      <c r="FW85" s="25">
        <v>0.18</v>
      </c>
      <c r="FX85" s="25">
        <v>0.48</v>
      </c>
      <c r="FY85" s="25">
        <v>0.48</v>
      </c>
      <c r="FZ85" s="25">
        <v>1</v>
      </c>
      <c r="GA85" s="25">
        <v>1</v>
      </c>
      <c r="GB85" s="25">
        <v>1</v>
      </c>
      <c r="GC85" s="25">
        <v>1</v>
      </c>
      <c r="GD85" s="25">
        <v>1</v>
      </c>
      <c r="GE85" s="25">
        <v>1</v>
      </c>
      <c r="GF85" s="25">
        <v>1</v>
      </c>
      <c r="GG85" s="25">
        <v>1</v>
      </c>
      <c r="GH85" s="25">
        <v>1</v>
      </c>
      <c r="GI85" s="25">
        <v>1</v>
      </c>
      <c r="GJ85" s="25">
        <v>1</v>
      </c>
      <c r="GK85" s="25">
        <v>1</v>
      </c>
      <c r="GL85" s="25">
        <v>1</v>
      </c>
      <c r="GM85" s="25">
        <v>1</v>
      </c>
      <c r="GN85" s="25">
        <v>1</v>
      </c>
      <c r="GO85" s="25">
        <v>1</v>
      </c>
      <c r="GP85" s="25">
        <v>1</v>
      </c>
      <c r="GQ85" s="25">
        <v>1</v>
      </c>
      <c r="GR85" s="25">
        <v>1</v>
      </c>
      <c r="GS85" s="25">
        <v>1</v>
      </c>
      <c r="GT85" s="25">
        <v>1</v>
      </c>
      <c r="GU85" s="25">
        <v>1</v>
      </c>
      <c r="GV85" s="25" t="s">
        <v>455</v>
      </c>
      <c r="GW85" s="25" t="s">
        <v>455</v>
      </c>
      <c r="GX85" s="25" t="s">
        <v>455</v>
      </c>
      <c r="GY85" s="25" t="s">
        <v>455</v>
      </c>
      <c r="GZ85" s="25" t="s">
        <v>455</v>
      </c>
      <c r="HA85" s="25" t="s">
        <v>455</v>
      </c>
      <c r="HB85" s="25" t="s">
        <v>455</v>
      </c>
      <c r="HC85" s="25" t="s">
        <v>455</v>
      </c>
      <c r="HD85" s="25" t="s">
        <v>455</v>
      </c>
      <c r="HE85" s="25" t="s">
        <v>455</v>
      </c>
      <c r="HF85" s="25" t="s">
        <v>455</v>
      </c>
      <c r="HG85" s="25" t="s">
        <v>455</v>
      </c>
      <c r="HH85" s="25" t="s">
        <v>455</v>
      </c>
      <c r="HI85" s="25"/>
      <c r="HJ85" s="25"/>
      <c r="HK85" s="25"/>
      <c r="HL85" s="25"/>
      <c r="HM85" s="25"/>
      <c r="HN85" s="25"/>
      <c r="HO85" s="25"/>
      <c r="HP85" s="25"/>
      <c r="HQ85" s="25"/>
      <c r="HR85" s="25"/>
      <c r="HS85" s="25"/>
      <c r="HT85" s="25"/>
      <c r="HU85" s="13"/>
      <c r="HV85" s="13"/>
      <c r="HW85" s="32"/>
      <c r="HX85" s="55"/>
      <c r="HY85" s="55"/>
      <c r="HZ85" s="55"/>
      <c r="IA85" s="55"/>
      <c r="IB85" s="55"/>
      <c r="IC85" s="55"/>
      <c r="ID85" s="55"/>
      <c r="IE85" s="55"/>
      <c r="IF85" s="107">
        <v>0</v>
      </c>
      <c r="IG85" s="107"/>
      <c r="IH85" s="250">
        <f t="shared" si="41"/>
        <v>0</v>
      </c>
      <c r="II85" s="55"/>
      <c r="IJ85" s="55"/>
      <c r="IK85" s="55"/>
      <c r="IL85" s="55"/>
      <c r="IM85" s="55"/>
      <c r="IN85" s="55"/>
      <c r="IO85" s="55"/>
      <c r="IP85" s="55"/>
      <c r="IQ85" s="55"/>
      <c r="IR85" s="55"/>
      <c r="IS85" s="55"/>
      <c r="IT85" s="55"/>
      <c r="IU85" s="55"/>
      <c r="IV85" s="55"/>
      <c r="IW85" s="55"/>
      <c r="IX85" s="55"/>
      <c r="IY85" s="55"/>
      <c r="IZ85" s="55"/>
      <c r="JA85" s="55"/>
      <c r="JB85" s="55"/>
      <c r="JC85" s="55"/>
      <c r="JD85" s="55">
        <v>2017</v>
      </c>
    </row>
    <row r="86" spans="1:265" s="5" customFormat="1" ht="24.95" hidden="1" customHeight="1">
      <c r="A86" s="26" t="s">
        <v>56</v>
      </c>
      <c r="B86" s="26" t="s">
        <v>27</v>
      </c>
      <c r="C86" s="13" t="s">
        <v>349</v>
      </c>
      <c r="D86" s="13" t="s">
        <v>380</v>
      </c>
      <c r="E86" s="16" t="s">
        <v>360</v>
      </c>
      <c r="F86" s="13" t="s">
        <v>360</v>
      </c>
      <c r="G86" s="26" t="s">
        <v>354</v>
      </c>
      <c r="H86" s="13" t="s">
        <v>1516</v>
      </c>
      <c r="I86" s="21" t="s">
        <v>65</v>
      </c>
      <c r="J86" s="26">
        <v>11</v>
      </c>
      <c r="K86" s="49" t="s">
        <v>375</v>
      </c>
      <c r="L86" s="26" t="s">
        <v>996</v>
      </c>
      <c r="M86" s="20" t="s">
        <v>65</v>
      </c>
      <c r="N86" s="20"/>
      <c r="O86" s="13" t="s">
        <v>3</v>
      </c>
      <c r="P86" s="13" t="s">
        <v>4</v>
      </c>
      <c r="Q86" s="22" t="s">
        <v>1118</v>
      </c>
      <c r="R86" s="26" t="s">
        <v>996</v>
      </c>
      <c r="S86" s="13" t="s">
        <v>700</v>
      </c>
      <c r="T86" s="13" t="s">
        <v>1387</v>
      </c>
      <c r="U86" s="13" t="s">
        <v>479</v>
      </c>
      <c r="V86" s="13" t="s">
        <v>701</v>
      </c>
      <c r="W86" s="22" t="s">
        <v>1089</v>
      </c>
      <c r="X86" s="22" t="s">
        <v>503</v>
      </c>
      <c r="Y86" s="13" t="s">
        <v>1088</v>
      </c>
      <c r="Z86" s="22" t="s">
        <v>503</v>
      </c>
      <c r="AA86" s="41"/>
      <c r="AB86" s="45">
        <v>103907.52</v>
      </c>
      <c r="AC86" s="29">
        <v>0</v>
      </c>
      <c r="AD86" s="41">
        <v>103907.51785714284</v>
      </c>
      <c r="AE86" s="29">
        <v>0</v>
      </c>
      <c r="AF86" s="29">
        <f t="shared" si="47"/>
        <v>103907.51785714284</v>
      </c>
      <c r="AG86" s="25">
        <v>0.12</v>
      </c>
      <c r="AH86" s="29">
        <f t="shared" si="45"/>
        <v>12468.90214285714</v>
      </c>
      <c r="AI86" s="29">
        <f t="shared" si="46"/>
        <v>0</v>
      </c>
      <c r="AJ86" s="29">
        <f t="shared" si="36"/>
        <v>116376.42</v>
      </c>
      <c r="AK86" s="29">
        <v>101051.07</v>
      </c>
      <c r="AL86" s="29">
        <f>AB86-AK86</f>
        <v>2856.4499999999971</v>
      </c>
      <c r="AM86" s="29"/>
      <c r="AN86" s="41"/>
      <c r="AO86" s="41">
        <v>103907.51785714284</v>
      </c>
      <c r="AP86" s="41"/>
      <c r="AQ86" s="41">
        <v>101301.7</v>
      </c>
      <c r="AR86" s="25">
        <v>0.14000000000000001</v>
      </c>
      <c r="AS86" s="25"/>
      <c r="AT86" s="41">
        <f>+AQ86*1.14</f>
        <v>115483.93799999998</v>
      </c>
      <c r="AU86" s="41"/>
      <c r="AV86" s="41"/>
      <c r="AW86" s="41"/>
      <c r="AX86" s="41"/>
      <c r="AY86" s="41"/>
      <c r="AZ86" s="41"/>
      <c r="BA86" s="41"/>
      <c r="BB86" s="41"/>
      <c r="BC86" s="41"/>
      <c r="BD86" s="37"/>
      <c r="BE86" s="37"/>
      <c r="BF86" s="29">
        <f>AB86-AQ86</f>
        <v>2605.820000000007</v>
      </c>
      <c r="BG86" s="29">
        <f t="shared" si="48"/>
        <v>2605.820000000007</v>
      </c>
      <c r="BH86" s="37" t="s">
        <v>594</v>
      </c>
      <c r="BI86" s="29" t="s">
        <v>570</v>
      </c>
      <c r="BJ86" s="29" t="s">
        <v>570</v>
      </c>
      <c r="BK86" s="29" t="s">
        <v>570</v>
      </c>
      <c r="BL86" s="29" t="s">
        <v>570</v>
      </c>
      <c r="BM86" s="29" t="s">
        <v>570</v>
      </c>
      <c r="BN86" s="23">
        <v>42601</v>
      </c>
      <c r="BO86" s="23">
        <v>42612</v>
      </c>
      <c r="BP86" s="23">
        <v>42615</v>
      </c>
      <c r="BQ86" s="23">
        <v>42632</v>
      </c>
      <c r="BR86" s="13" t="s">
        <v>570</v>
      </c>
      <c r="BS86" s="23">
        <v>42639</v>
      </c>
      <c r="BT86" s="23">
        <v>42642</v>
      </c>
      <c r="BU86" s="13" t="s">
        <v>570</v>
      </c>
      <c r="BV86" s="13" t="s">
        <v>570</v>
      </c>
      <c r="BW86" s="224" t="s">
        <v>570</v>
      </c>
      <c r="BX86" s="23">
        <v>42664</v>
      </c>
      <c r="BY86" s="13" t="s">
        <v>570</v>
      </c>
      <c r="BZ86" s="23">
        <v>42689</v>
      </c>
      <c r="CA86" s="23">
        <v>42689</v>
      </c>
      <c r="CB86" s="224" t="s">
        <v>570</v>
      </c>
      <c r="CC86" s="224" t="s">
        <v>570</v>
      </c>
      <c r="CD86" s="224" t="s">
        <v>570</v>
      </c>
      <c r="CE86" s="23"/>
      <c r="CF86" s="127" t="s">
        <v>829</v>
      </c>
      <c r="CG86" s="23"/>
      <c r="CH86" s="23"/>
      <c r="CI86" s="23"/>
      <c r="CJ86" s="23"/>
      <c r="CK86" s="23"/>
      <c r="CL86" s="23"/>
      <c r="CM86" s="23"/>
      <c r="CN86" s="23"/>
      <c r="CO86" s="23"/>
      <c r="CP86" s="23"/>
      <c r="CQ86" s="23"/>
      <c r="CR86" s="127" t="s">
        <v>829</v>
      </c>
      <c r="CS86" s="13" t="s">
        <v>570</v>
      </c>
      <c r="CT86" s="37" t="s">
        <v>570</v>
      </c>
      <c r="CU86" s="37" t="s">
        <v>570</v>
      </c>
      <c r="CV86" s="23">
        <v>42709</v>
      </c>
      <c r="CW86" s="30">
        <f>AQ86*0.5</f>
        <v>50650.85</v>
      </c>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31">
        <f t="shared" si="49"/>
        <v>50650.85</v>
      </c>
      <c r="DZ86" s="13"/>
      <c r="EA86" s="13"/>
      <c r="EB86" s="13"/>
      <c r="EC86" s="13"/>
      <c r="ED86" s="13"/>
      <c r="EE86" s="13"/>
      <c r="EF86" s="13"/>
      <c r="EG86" s="13">
        <v>270</v>
      </c>
      <c r="EH86" s="13" t="s">
        <v>588</v>
      </c>
      <c r="EI86" s="23">
        <f>CV86+1</f>
        <v>42710</v>
      </c>
      <c r="EJ86" s="23">
        <f>EI86+EG86</f>
        <v>42980</v>
      </c>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25">
        <v>0</v>
      </c>
      <c r="FV86" s="25">
        <v>0.01</v>
      </c>
      <c r="FW86" s="25">
        <v>0.08</v>
      </c>
      <c r="FX86" s="25">
        <v>0.65</v>
      </c>
      <c r="FY86" s="25">
        <v>0.65</v>
      </c>
      <c r="FZ86" s="25">
        <v>0.95</v>
      </c>
      <c r="GA86" s="25">
        <v>0.95</v>
      </c>
      <c r="GB86" s="25">
        <v>0.95</v>
      </c>
      <c r="GC86" s="25">
        <v>1</v>
      </c>
      <c r="GD86" s="25">
        <v>1</v>
      </c>
      <c r="GE86" s="25">
        <v>1</v>
      </c>
      <c r="GF86" s="25">
        <v>1</v>
      </c>
      <c r="GG86" s="25">
        <v>1</v>
      </c>
      <c r="GH86" s="25">
        <v>1</v>
      </c>
      <c r="GI86" s="25">
        <v>1</v>
      </c>
      <c r="GJ86" s="25">
        <v>1</v>
      </c>
      <c r="GK86" s="25">
        <v>1</v>
      </c>
      <c r="GL86" s="25">
        <v>1</v>
      </c>
      <c r="GM86" s="25">
        <v>1</v>
      </c>
      <c r="GN86" s="25">
        <v>1</v>
      </c>
      <c r="GO86" s="25">
        <v>1</v>
      </c>
      <c r="GP86" s="25">
        <v>1</v>
      </c>
      <c r="GQ86" s="25">
        <v>1</v>
      </c>
      <c r="GR86" s="25">
        <v>1</v>
      </c>
      <c r="GS86" s="25">
        <v>1</v>
      </c>
      <c r="GT86" s="25">
        <v>1</v>
      </c>
      <c r="GU86" s="25">
        <v>1</v>
      </c>
      <c r="GV86" s="25" t="s">
        <v>452</v>
      </c>
      <c r="GW86" s="25" t="s">
        <v>452</v>
      </c>
      <c r="GX86" s="25" t="s">
        <v>452</v>
      </c>
      <c r="GY86" s="25" t="s">
        <v>452</v>
      </c>
      <c r="GZ86" s="25" t="s">
        <v>452</v>
      </c>
      <c r="HA86" s="25" t="s">
        <v>452</v>
      </c>
      <c r="HB86" s="25" t="s">
        <v>452</v>
      </c>
      <c r="HC86" s="25" t="s">
        <v>452</v>
      </c>
      <c r="HD86" s="25" t="s">
        <v>452</v>
      </c>
      <c r="HE86" s="25" t="s">
        <v>452</v>
      </c>
      <c r="HF86" s="25" t="s">
        <v>452</v>
      </c>
      <c r="HG86" s="25" t="s">
        <v>452</v>
      </c>
      <c r="HH86" s="25" t="s">
        <v>452</v>
      </c>
      <c r="HI86" s="25"/>
      <c r="HJ86" s="25"/>
      <c r="HK86" s="25"/>
      <c r="HL86" s="25"/>
      <c r="HM86" s="25"/>
      <c r="HN86" s="25"/>
      <c r="HO86" s="25"/>
      <c r="HP86" s="25"/>
      <c r="HQ86" s="25"/>
      <c r="HR86" s="25"/>
      <c r="HS86" s="25"/>
      <c r="HT86" s="25"/>
      <c r="HU86" s="13"/>
      <c r="HV86" s="13"/>
      <c r="HW86" s="32"/>
      <c r="HX86" s="55"/>
      <c r="HY86" s="55"/>
      <c r="HZ86" s="55"/>
      <c r="IA86" s="55"/>
      <c r="IB86" s="55"/>
      <c r="IC86" s="55"/>
      <c r="ID86" s="55"/>
      <c r="IE86" s="55"/>
      <c r="IF86" s="107">
        <v>103907.52</v>
      </c>
      <c r="IG86" s="107">
        <v>101051.07</v>
      </c>
      <c r="IH86" s="250">
        <f t="shared" si="41"/>
        <v>0</v>
      </c>
      <c r="II86" s="55"/>
      <c r="IJ86" s="55"/>
      <c r="IK86" s="55"/>
      <c r="IL86" s="55"/>
      <c r="IM86" s="55"/>
      <c r="IN86" s="55"/>
      <c r="IO86" s="55"/>
      <c r="IP86" s="55"/>
      <c r="IQ86" s="55"/>
      <c r="IR86" s="55"/>
      <c r="IS86" s="55"/>
      <c r="IT86" s="55"/>
      <c r="IU86" s="55"/>
      <c r="IV86" s="55"/>
      <c r="IW86" s="55"/>
      <c r="IX86" s="55"/>
      <c r="IY86" s="55"/>
      <c r="IZ86" s="55"/>
      <c r="JA86" s="55"/>
      <c r="JB86" s="55"/>
      <c r="JC86" s="55"/>
      <c r="JD86" s="55">
        <v>2017</v>
      </c>
    </row>
    <row r="87" spans="1:265" s="5" customFormat="1" ht="36" hidden="1" customHeight="1">
      <c r="A87" s="26" t="s">
        <v>56</v>
      </c>
      <c r="B87" s="26" t="s">
        <v>27</v>
      </c>
      <c r="C87" s="13" t="s">
        <v>349</v>
      </c>
      <c r="D87" s="13" t="s">
        <v>380</v>
      </c>
      <c r="E87" s="13" t="s">
        <v>360</v>
      </c>
      <c r="F87" s="13" t="s">
        <v>360</v>
      </c>
      <c r="G87" s="26" t="s">
        <v>354</v>
      </c>
      <c r="H87" s="13" t="s">
        <v>1516</v>
      </c>
      <c r="I87" s="21" t="s">
        <v>66</v>
      </c>
      <c r="J87" s="26">
        <v>12</v>
      </c>
      <c r="K87" s="49" t="s">
        <v>375</v>
      </c>
      <c r="L87" s="26" t="s">
        <v>998</v>
      </c>
      <c r="M87" s="20" t="s">
        <v>66</v>
      </c>
      <c r="N87" s="20"/>
      <c r="O87" s="13" t="s">
        <v>3</v>
      </c>
      <c r="P87" s="13" t="s">
        <v>4</v>
      </c>
      <c r="Q87" s="22" t="s">
        <v>364</v>
      </c>
      <c r="R87" s="26" t="s">
        <v>998</v>
      </c>
      <c r="S87" s="22" t="s">
        <v>1562</v>
      </c>
      <c r="T87" s="22" t="s">
        <v>1387</v>
      </c>
      <c r="U87" s="13" t="s">
        <v>479</v>
      </c>
      <c r="V87" s="24" t="s">
        <v>1564</v>
      </c>
      <c r="W87" s="13"/>
      <c r="X87" s="13"/>
      <c r="Y87" s="13"/>
      <c r="Z87" s="13"/>
      <c r="AA87" s="41"/>
      <c r="AB87" s="45">
        <v>238167.19</v>
      </c>
      <c r="AC87" s="29">
        <v>0</v>
      </c>
      <c r="AD87" s="41">
        <v>179272.02</v>
      </c>
      <c r="AE87" s="29">
        <v>0</v>
      </c>
      <c r="AF87" s="29">
        <f t="shared" si="47"/>
        <v>179272.02</v>
      </c>
      <c r="AG87" s="25">
        <v>0.12</v>
      </c>
      <c r="AH87" s="29">
        <f t="shared" si="45"/>
        <v>21512.642399999997</v>
      </c>
      <c r="AI87" s="29">
        <f t="shared" si="46"/>
        <v>0</v>
      </c>
      <c r="AJ87" s="29">
        <f t="shared" si="36"/>
        <v>200784.6624</v>
      </c>
      <c r="AK87" s="29"/>
      <c r="AL87" s="29"/>
      <c r="AM87" s="29">
        <f>AB87-AQ87</f>
        <v>62111.390000000014</v>
      </c>
      <c r="AN87" s="41"/>
      <c r="AO87" s="41">
        <v>179272.02</v>
      </c>
      <c r="AP87" s="41"/>
      <c r="AQ87" s="41">
        <v>176055.8</v>
      </c>
      <c r="AR87" s="25">
        <v>0.12</v>
      </c>
      <c r="AS87" s="41">
        <f>AQ87*0.12</f>
        <v>21126.695999999996</v>
      </c>
      <c r="AT87" s="41">
        <f>AQ87*1.12</f>
        <v>197182.49600000001</v>
      </c>
      <c r="AU87" s="41"/>
      <c r="AV87" s="41"/>
      <c r="AW87" s="41"/>
      <c r="AX87" s="41"/>
      <c r="AY87" s="41"/>
      <c r="AZ87" s="41"/>
      <c r="BA87" s="41"/>
      <c r="BB87" s="41"/>
      <c r="BC87" s="41"/>
      <c r="BD87" s="37"/>
      <c r="BE87" s="37"/>
      <c r="BF87" s="37"/>
      <c r="BG87" s="29">
        <f t="shared" si="48"/>
        <v>0</v>
      </c>
      <c r="BH87" s="37" t="s">
        <v>594</v>
      </c>
      <c r="BI87" s="29" t="s">
        <v>570</v>
      </c>
      <c r="BJ87" s="29" t="s">
        <v>570</v>
      </c>
      <c r="BK87" s="29" t="s">
        <v>570</v>
      </c>
      <c r="BL87" s="29" t="s">
        <v>570</v>
      </c>
      <c r="BM87" s="29" t="s">
        <v>570</v>
      </c>
      <c r="BN87" s="23">
        <v>42905</v>
      </c>
      <c r="BO87" s="23">
        <v>42920</v>
      </c>
      <c r="BP87" s="23">
        <v>42927</v>
      </c>
      <c r="BQ87" s="23">
        <v>42934</v>
      </c>
      <c r="BR87" s="13" t="s">
        <v>570</v>
      </c>
      <c r="BS87" s="23"/>
      <c r="BT87" s="23">
        <v>42949</v>
      </c>
      <c r="BU87" s="13" t="s">
        <v>570</v>
      </c>
      <c r="BV87" s="13" t="s">
        <v>570</v>
      </c>
      <c r="BW87" s="224" t="s">
        <v>570</v>
      </c>
      <c r="BX87" s="23">
        <v>43007</v>
      </c>
      <c r="BY87" s="13" t="s">
        <v>570</v>
      </c>
      <c r="BZ87" s="23">
        <v>43073</v>
      </c>
      <c r="CA87" s="23">
        <v>43073</v>
      </c>
      <c r="CB87" s="224" t="s">
        <v>570</v>
      </c>
      <c r="CC87" s="224" t="s">
        <v>570</v>
      </c>
      <c r="CD87" s="224" t="s">
        <v>570</v>
      </c>
      <c r="CE87" s="13"/>
      <c r="CF87" s="13"/>
      <c r="CG87" s="13"/>
      <c r="CH87" s="13"/>
      <c r="CI87" s="13"/>
      <c r="CJ87" s="13"/>
      <c r="CK87" s="13"/>
      <c r="CL87" s="13"/>
      <c r="CM87" s="13"/>
      <c r="CN87" s="13"/>
      <c r="CO87" s="13"/>
      <c r="CP87" s="13"/>
      <c r="CQ87" s="13"/>
      <c r="CR87" s="13"/>
      <c r="CS87" s="13"/>
      <c r="CT87" s="37" t="s">
        <v>570</v>
      </c>
      <c r="CU87" s="37" t="s">
        <v>570</v>
      </c>
      <c r="CV87" s="2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31">
        <f t="shared" si="49"/>
        <v>0</v>
      </c>
      <c r="DZ87" s="13"/>
      <c r="EA87" s="13"/>
      <c r="EB87" s="13"/>
      <c r="EC87" s="13"/>
      <c r="ED87" s="13"/>
      <c r="EE87" s="13"/>
      <c r="EF87" s="13"/>
      <c r="EG87" s="13">
        <v>270</v>
      </c>
      <c r="EH87" s="13" t="s">
        <v>588</v>
      </c>
      <c r="EI87" s="23"/>
      <c r="EJ87" s="2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25">
        <v>0</v>
      </c>
      <c r="FW87" s="25">
        <v>0</v>
      </c>
      <c r="FX87" s="25">
        <v>0</v>
      </c>
      <c r="FY87" s="25">
        <v>0</v>
      </c>
      <c r="FZ87" s="25">
        <v>0</v>
      </c>
      <c r="GA87" s="25">
        <v>0</v>
      </c>
      <c r="GB87" s="25">
        <v>0</v>
      </c>
      <c r="GC87" s="25">
        <v>0</v>
      </c>
      <c r="GD87" s="25">
        <v>0.05</v>
      </c>
      <c r="GE87" s="25">
        <v>0.05</v>
      </c>
      <c r="GF87" s="25">
        <v>0.05</v>
      </c>
      <c r="GG87" s="25">
        <v>0.05</v>
      </c>
      <c r="GH87" s="25">
        <v>0.2</v>
      </c>
      <c r="GI87" s="25">
        <v>0.2</v>
      </c>
      <c r="GJ87" s="25">
        <v>0.2</v>
      </c>
      <c r="GK87" s="25">
        <v>0.2</v>
      </c>
      <c r="GL87" s="25">
        <v>0.2</v>
      </c>
      <c r="GM87" s="25">
        <v>0.2</v>
      </c>
      <c r="GN87" s="25">
        <v>0.44</v>
      </c>
      <c r="GO87" s="25">
        <v>0.44</v>
      </c>
      <c r="GP87" s="25">
        <v>0.7</v>
      </c>
      <c r="GQ87" s="25">
        <v>0.7</v>
      </c>
      <c r="GR87" s="25">
        <v>0.7</v>
      </c>
      <c r="GS87" s="25">
        <v>0.7</v>
      </c>
      <c r="GT87" s="25">
        <v>1</v>
      </c>
      <c r="GU87" s="25">
        <v>1</v>
      </c>
      <c r="GV87" s="25" t="s">
        <v>1588</v>
      </c>
      <c r="GW87" s="25" t="s">
        <v>1588</v>
      </c>
      <c r="GX87" s="25" t="s">
        <v>1588</v>
      </c>
      <c r="GY87" s="25" t="s">
        <v>1588</v>
      </c>
      <c r="GZ87" s="25" t="s">
        <v>1588</v>
      </c>
      <c r="HA87" s="25" t="s">
        <v>1588</v>
      </c>
      <c r="HB87" s="25" t="s">
        <v>1588</v>
      </c>
      <c r="HC87" s="25" t="s">
        <v>1588</v>
      </c>
      <c r="HD87" s="25" t="s">
        <v>1588</v>
      </c>
      <c r="HE87" s="25" t="s">
        <v>1588</v>
      </c>
      <c r="HF87" s="25" t="s">
        <v>1588</v>
      </c>
      <c r="HG87" s="25" t="s">
        <v>1588</v>
      </c>
      <c r="HH87" s="25" t="s">
        <v>1588</v>
      </c>
      <c r="HI87" s="25" t="s">
        <v>1636</v>
      </c>
      <c r="HJ87" s="25"/>
      <c r="HK87" s="25"/>
      <c r="HL87" s="25" t="s">
        <v>1702</v>
      </c>
      <c r="HM87" s="25" t="s">
        <v>1745</v>
      </c>
      <c r="HN87" s="25" t="s">
        <v>1789</v>
      </c>
      <c r="HO87" s="25" t="s">
        <v>1905</v>
      </c>
      <c r="HP87" s="25"/>
      <c r="HQ87" s="25" t="s">
        <v>2061</v>
      </c>
      <c r="HR87" s="25" t="s">
        <v>2061</v>
      </c>
      <c r="HS87" s="25" t="s">
        <v>2066</v>
      </c>
      <c r="HT87" s="25" t="s">
        <v>2066</v>
      </c>
      <c r="HU87" s="13" t="s">
        <v>1049</v>
      </c>
      <c r="HV87" s="13"/>
      <c r="HW87" s="13" t="s">
        <v>1202</v>
      </c>
      <c r="HX87" s="55"/>
      <c r="HY87" s="55">
        <v>4</v>
      </c>
      <c r="HZ87" s="55"/>
      <c r="IA87" s="55"/>
      <c r="IB87" s="55"/>
      <c r="IC87" s="55"/>
      <c r="ID87" s="55"/>
      <c r="IE87" s="55"/>
      <c r="IF87" s="107">
        <v>238167.19</v>
      </c>
      <c r="IG87" s="107"/>
      <c r="IH87" s="250">
        <f t="shared" si="41"/>
        <v>0</v>
      </c>
      <c r="II87" s="55"/>
      <c r="IJ87" s="55"/>
      <c r="IK87" s="55"/>
      <c r="IL87" s="55"/>
      <c r="IM87" s="55"/>
      <c r="IN87" s="55"/>
      <c r="IO87" s="55"/>
      <c r="IP87" s="55"/>
      <c r="IQ87" s="55"/>
      <c r="IR87" s="55"/>
      <c r="IS87" s="55"/>
      <c r="IT87" s="55"/>
      <c r="IU87" s="55"/>
      <c r="IV87" s="55"/>
      <c r="IW87" s="55"/>
      <c r="IX87" s="55"/>
      <c r="IY87" s="55"/>
      <c r="IZ87" s="55"/>
      <c r="JA87" s="55"/>
      <c r="JB87" s="55"/>
      <c r="JC87" s="55"/>
      <c r="JD87" s="55">
        <v>2019</v>
      </c>
      <c r="JE87" s="5" t="s">
        <v>2010</v>
      </c>
    </row>
    <row r="88" spans="1:265" s="5" customFormat="1" ht="81.75" hidden="1" customHeight="1">
      <c r="A88" s="26" t="s">
        <v>67</v>
      </c>
      <c r="B88" s="26" t="s">
        <v>27</v>
      </c>
      <c r="C88" s="13" t="s">
        <v>349</v>
      </c>
      <c r="D88" s="13" t="s">
        <v>382</v>
      </c>
      <c r="E88" s="16" t="s">
        <v>350</v>
      </c>
      <c r="F88" s="13" t="s">
        <v>350</v>
      </c>
      <c r="G88" s="26" t="s">
        <v>351</v>
      </c>
      <c r="H88" s="13" t="s">
        <v>1516</v>
      </c>
      <c r="I88" s="21" t="s">
        <v>69</v>
      </c>
      <c r="J88" s="26">
        <v>1</v>
      </c>
      <c r="K88" s="49" t="s">
        <v>375</v>
      </c>
      <c r="L88" s="26" t="s">
        <v>68</v>
      </c>
      <c r="M88" s="21" t="s">
        <v>69</v>
      </c>
      <c r="N88" s="21"/>
      <c r="O88" s="13" t="s">
        <v>14</v>
      </c>
      <c r="P88" s="13" t="s">
        <v>15</v>
      </c>
      <c r="Q88" s="22" t="s">
        <v>364</v>
      </c>
      <c r="R88" s="26" t="s">
        <v>68</v>
      </c>
      <c r="S88" s="13" t="s">
        <v>654</v>
      </c>
      <c r="T88" s="13" t="s">
        <v>1387</v>
      </c>
      <c r="U88" s="13" t="s">
        <v>479</v>
      </c>
      <c r="V88" s="13" t="s">
        <v>655</v>
      </c>
      <c r="W88" s="22" t="s">
        <v>503</v>
      </c>
      <c r="X88" s="22" t="s">
        <v>503</v>
      </c>
      <c r="Y88" s="13" t="s">
        <v>819</v>
      </c>
      <c r="Z88" s="13" t="s">
        <v>820</v>
      </c>
      <c r="AA88" s="41"/>
      <c r="AB88" s="45">
        <f>3852478.4+231148.7-29172</f>
        <v>4054455.1</v>
      </c>
      <c r="AC88" s="29">
        <v>0</v>
      </c>
      <c r="AD88" s="41">
        <v>3575420.12</v>
      </c>
      <c r="AE88" s="29">
        <v>0</v>
      </c>
      <c r="AF88" s="29">
        <f t="shared" si="47"/>
        <v>3575420.12</v>
      </c>
      <c r="AG88" s="25">
        <v>0.12</v>
      </c>
      <c r="AH88" s="29">
        <f t="shared" si="45"/>
        <v>429050.41440000001</v>
      </c>
      <c r="AI88" s="29">
        <f t="shared" si="46"/>
        <v>0</v>
      </c>
      <c r="AJ88" s="29">
        <f t="shared" si="36"/>
        <v>4004470.5344000007</v>
      </c>
      <c r="AK88" s="29"/>
      <c r="AL88" s="29"/>
      <c r="AM88" s="29"/>
      <c r="AN88" s="41"/>
      <c r="AO88" s="41">
        <v>3575420.12</v>
      </c>
      <c r="AP88" s="41"/>
      <c r="AQ88" s="41">
        <v>3137571.03</v>
      </c>
      <c r="AR88" s="25">
        <v>0.14000000000000001</v>
      </c>
      <c r="AS88" s="25"/>
      <c r="AT88" s="41">
        <f>+AQ88*1.14</f>
        <v>3576830.9741999996</v>
      </c>
      <c r="AU88" s="41"/>
      <c r="AV88" s="41"/>
      <c r="AW88" s="41"/>
      <c r="AX88" s="41"/>
      <c r="AY88" s="41"/>
      <c r="AZ88" s="41"/>
      <c r="BA88" s="41"/>
      <c r="BB88" s="41"/>
      <c r="BC88" s="41"/>
      <c r="BD88" s="37"/>
      <c r="BE88" s="37"/>
      <c r="BF88" s="29">
        <f t="shared" ref="BF88:BF103" si="50">AB88-AQ88</f>
        <v>916884.0700000003</v>
      </c>
      <c r="BG88" s="29">
        <f t="shared" si="48"/>
        <v>916884.0700000003</v>
      </c>
      <c r="BH88" s="37" t="s">
        <v>596</v>
      </c>
      <c r="BI88" s="23">
        <v>42538</v>
      </c>
      <c r="BJ88" s="23">
        <v>42538</v>
      </c>
      <c r="BK88" s="29" t="s">
        <v>570</v>
      </c>
      <c r="BL88" s="29" t="s">
        <v>570</v>
      </c>
      <c r="BM88" s="29" t="s">
        <v>570</v>
      </c>
      <c r="BN88" s="23">
        <v>42538</v>
      </c>
      <c r="BO88" s="23">
        <v>42573</v>
      </c>
      <c r="BP88" s="23">
        <v>42580</v>
      </c>
      <c r="BQ88" s="23">
        <v>42587</v>
      </c>
      <c r="BR88" s="23" t="s">
        <v>570</v>
      </c>
      <c r="BS88" s="13" t="s">
        <v>503</v>
      </c>
      <c r="BT88" s="13" t="s">
        <v>503</v>
      </c>
      <c r="BU88" s="13" t="s">
        <v>570</v>
      </c>
      <c r="BV88" s="13" t="s">
        <v>570</v>
      </c>
      <c r="BW88" s="23">
        <v>42660</v>
      </c>
      <c r="BX88" s="23">
        <v>42661</v>
      </c>
      <c r="BY88" s="23" t="s">
        <v>570</v>
      </c>
      <c r="BZ88" s="23">
        <v>42662</v>
      </c>
      <c r="CA88" s="23">
        <v>42671</v>
      </c>
      <c r="CB88" s="23">
        <v>42395</v>
      </c>
      <c r="CC88" s="23" t="s">
        <v>1529</v>
      </c>
      <c r="CD88" s="23" t="s">
        <v>1532</v>
      </c>
      <c r="CE88" s="23"/>
      <c r="CF88" s="23"/>
      <c r="CG88" s="23"/>
      <c r="CH88" s="23"/>
      <c r="CI88" s="23"/>
      <c r="CJ88" s="23"/>
      <c r="CK88" s="23"/>
      <c r="CL88" s="23"/>
      <c r="CM88" s="23"/>
      <c r="CN88" s="23"/>
      <c r="CO88" s="23"/>
      <c r="CP88" s="23"/>
      <c r="CQ88" s="23"/>
      <c r="CR88" s="23"/>
      <c r="CS88" s="23"/>
      <c r="CT88" s="37" t="s">
        <v>570</v>
      </c>
      <c r="CU88" s="37" t="s">
        <v>570</v>
      </c>
      <c r="CV88" s="23">
        <v>42688</v>
      </c>
      <c r="CW88" s="30">
        <v>1568785.62</v>
      </c>
      <c r="CX88" s="51"/>
      <c r="CY88" s="13"/>
      <c r="CZ88" s="13"/>
      <c r="DA88" s="51"/>
      <c r="DB88" s="13"/>
      <c r="DC88" s="13"/>
      <c r="DD88" s="51"/>
      <c r="DE88" s="13"/>
      <c r="DF88" s="13"/>
      <c r="DG88" s="13"/>
      <c r="DH88" s="13"/>
      <c r="DI88" s="13"/>
      <c r="DJ88" s="13"/>
      <c r="DK88" s="13"/>
      <c r="DL88" s="13"/>
      <c r="DM88" s="13"/>
      <c r="DN88" s="13"/>
      <c r="DO88" s="13"/>
      <c r="DP88" s="13"/>
      <c r="DQ88" s="13"/>
      <c r="DR88" s="13"/>
      <c r="DS88" s="13"/>
      <c r="DT88" s="13"/>
      <c r="DU88" s="13"/>
      <c r="DV88" s="13"/>
      <c r="DW88" s="13"/>
      <c r="DX88" s="13"/>
      <c r="DY88" s="31">
        <f t="shared" si="49"/>
        <v>1568785.62</v>
      </c>
      <c r="DZ88" s="13"/>
      <c r="EA88" s="13"/>
      <c r="EB88" s="13"/>
      <c r="EC88" s="13"/>
      <c r="ED88" s="13"/>
      <c r="EE88" s="13"/>
      <c r="EF88" s="13"/>
      <c r="EG88" s="13">
        <v>306</v>
      </c>
      <c r="EH88" s="13" t="s">
        <v>588</v>
      </c>
      <c r="EI88" s="23">
        <f>CV88+1</f>
        <v>42689</v>
      </c>
      <c r="EJ88" s="23">
        <f>EI88+EG88</f>
        <v>42995</v>
      </c>
      <c r="EK88" s="13"/>
      <c r="EL88" s="13"/>
      <c r="EM88" s="13"/>
      <c r="EN88" s="13">
        <v>1</v>
      </c>
      <c r="EO88" s="23">
        <v>42702</v>
      </c>
      <c r="EP88" s="23">
        <v>42759</v>
      </c>
      <c r="EQ88" s="56">
        <f>EP88-EO88</f>
        <v>57</v>
      </c>
      <c r="ER88" s="13">
        <v>2</v>
      </c>
      <c r="ES88" s="23">
        <v>42784</v>
      </c>
      <c r="ET88" s="23">
        <v>42828</v>
      </c>
      <c r="EU88" s="56">
        <f>ET88-ES88</f>
        <v>44</v>
      </c>
      <c r="EV88" s="13">
        <v>3</v>
      </c>
      <c r="EW88" s="23">
        <v>42962</v>
      </c>
      <c r="EX88" s="23">
        <v>43001</v>
      </c>
      <c r="EY88" s="56">
        <f>EX88-EW88</f>
        <v>39</v>
      </c>
      <c r="EZ88" s="24">
        <v>4</v>
      </c>
      <c r="FA88" s="23">
        <v>43064</v>
      </c>
      <c r="FB88" s="23">
        <v>43180</v>
      </c>
      <c r="FC88" s="56">
        <f>FB88-FA88</f>
        <v>116</v>
      </c>
      <c r="FD88" s="24">
        <f>EQ88+EU88+EY88+FC88</f>
        <v>256</v>
      </c>
      <c r="FE88" s="13"/>
      <c r="FF88" s="13"/>
      <c r="FG88" s="13"/>
      <c r="FH88" s="13"/>
      <c r="FI88" s="13"/>
      <c r="FJ88" s="13"/>
      <c r="FK88" s="13"/>
      <c r="FL88" s="13"/>
      <c r="FM88" s="13"/>
      <c r="FN88" s="13"/>
      <c r="FO88" s="13"/>
      <c r="FP88" s="13"/>
      <c r="FQ88" s="13"/>
      <c r="FR88" s="13"/>
      <c r="FS88" s="25">
        <v>0.02</v>
      </c>
      <c r="FT88" s="13"/>
      <c r="FU88" s="25">
        <v>0.02</v>
      </c>
      <c r="FV88" s="25">
        <v>0.08</v>
      </c>
      <c r="FW88" s="25">
        <v>0.08</v>
      </c>
      <c r="FX88" s="25">
        <v>0.12</v>
      </c>
      <c r="FY88" s="25">
        <v>0.17</v>
      </c>
      <c r="FZ88" s="25">
        <v>0.28999999999999998</v>
      </c>
      <c r="GA88" s="25">
        <v>0.13</v>
      </c>
      <c r="GB88" s="25">
        <v>0.13</v>
      </c>
      <c r="GC88" s="25">
        <v>0.13</v>
      </c>
      <c r="GD88" s="157">
        <v>0.51300000000000001</v>
      </c>
      <c r="GE88" s="157">
        <v>0.51300000000000001</v>
      </c>
      <c r="GF88" s="157">
        <v>0.57999999999999996</v>
      </c>
      <c r="GG88" s="157">
        <v>0.61399999999999999</v>
      </c>
      <c r="GH88" s="157">
        <v>0.6431</v>
      </c>
      <c r="GI88" s="157">
        <v>0.71</v>
      </c>
      <c r="GJ88" s="157">
        <v>0.73</v>
      </c>
      <c r="GK88" s="157">
        <v>0.73</v>
      </c>
      <c r="GL88" s="157">
        <v>0.73</v>
      </c>
      <c r="GM88" s="157">
        <v>0.75</v>
      </c>
      <c r="GN88" s="157">
        <v>0.76</v>
      </c>
      <c r="GO88" s="157">
        <v>0.77</v>
      </c>
      <c r="GP88" s="157">
        <v>0.77</v>
      </c>
      <c r="GQ88" s="157">
        <v>0.84</v>
      </c>
      <c r="GR88" s="157">
        <v>0.84009999999999996</v>
      </c>
      <c r="GS88" s="157">
        <v>0.84009999999999996</v>
      </c>
      <c r="GT88" s="157">
        <v>0.85099999999999998</v>
      </c>
      <c r="GU88" s="157">
        <v>0.85099999999999998</v>
      </c>
      <c r="GV88" s="25" t="s">
        <v>1588</v>
      </c>
      <c r="GW88" s="25" t="s">
        <v>1588</v>
      </c>
      <c r="GX88" s="25" t="s">
        <v>1588</v>
      </c>
      <c r="GY88" s="25" t="s">
        <v>1588</v>
      </c>
      <c r="GZ88" s="25" t="s">
        <v>1588</v>
      </c>
      <c r="HA88" s="25" t="s">
        <v>1588</v>
      </c>
      <c r="HB88" s="25" t="s">
        <v>1588</v>
      </c>
      <c r="HC88" s="25" t="s">
        <v>1588</v>
      </c>
      <c r="HD88" s="25" t="s">
        <v>1588</v>
      </c>
      <c r="HE88" s="25" t="s">
        <v>1588</v>
      </c>
      <c r="HF88" s="25" t="s">
        <v>1588</v>
      </c>
      <c r="HG88" s="25" t="s">
        <v>1588</v>
      </c>
      <c r="HH88" s="25" t="s">
        <v>1588</v>
      </c>
      <c r="HI88" s="161" t="s">
        <v>1633</v>
      </c>
      <c r="HJ88" s="25" t="s">
        <v>1679</v>
      </c>
      <c r="HK88" s="25" t="s">
        <v>1690</v>
      </c>
      <c r="HL88" s="25" t="s">
        <v>1695</v>
      </c>
      <c r="HM88" s="25" t="s">
        <v>1733</v>
      </c>
      <c r="HN88" s="25" t="s">
        <v>1772</v>
      </c>
      <c r="HO88" s="25"/>
      <c r="HP88" s="25"/>
      <c r="HQ88" s="25" t="s">
        <v>2050</v>
      </c>
      <c r="HR88" s="25" t="s">
        <v>2062</v>
      </c>
      <c r="HS88" s="25" t="s">
        <v>2067</v>
      </c>
      <c r="HT88" s="25" t="s">
        <v>2067</v>
      </c>
      <c r="HU88" s="13"/>
      <c r="HV88" s="13"/>
      <c r="HW88" s="32"/>
      <c r="HX88" s="55"/>
      <c r="HY88" s="55"/>
      <c r="HZ88" s="55"/>
      <c r="IA88" s="55"/>
      <c r="IB88" s="55"/>
      <c r="IC88" s="55"/>
      <c r="ID88" s="55"/>
      <c r="IE88" s="55"/>
      <c r="IF88" s="107">
        <v>4054455.1</v>
      </c>
      <c r="IG88" s="107"/>
      <c r="IH88" s="250">
        <f t="shared" si="41"/>
        <v>0</v>
      </c>
      <c r="II88" s="55"/>
      <c r="IJ88" s="55"/>
      <c r="IK88" s="55"/>
      <c r="IL88" s="55"/>
      <c r="IM88" s="55"/>
      <c r="IN88" s="55"/>
      <c r="IO88" s="55"/>
      <c r="IP88" s="55"/>
      <c r="IQ88" s="55"/>
      <c r="IR88" s="55"/>
      <c r="IS88" s="55"/>
      <c r="IT88" s="55"/>
      <c r="IU88" s="55"/>
      <c r="IV88" s="55"/>
      <c r="IW88" s="55"/>
      <c r="IX88" s="55"/>
      <c r="IY88" s="55"/>
      <c r="IZ88" s="55"/>
      <c r="JA88" s="55"/>
      <c r="JB88" s="55"/>
      <c r="JC88" s="55"/>
      <c r="JD88" s="55">
        <v>2019</v>
      </c>
      <c r="JE88" s="5" t="s">
        <v>2007</v>
      </c>
    </row>
    <row r="89" spans="1:265" s="5" customFormat="1" ht="24.95" hidden="1" customHeight="1">
      <c r="A89" s="26" t="s">
        <v>70</v>
      </c>
      <c r="B89" s="26" t="s">
        <v>27</v>
      </c>
      <c r="C89" s="13" t="s">
        <v>349</v>
      </c>
      <c r="D89" s="13" t="s">
        <v>380</v>
      </c>
      <c r="E89" s="16" t="s">
        <v>350</v>
      </c>
      <c r="F89" s="13" t="s">
        <v>350</v>
      </c>
      <c r="G89" s="26" t="s">
        <v>351</v>
      </c>
      <c r="H89" s="13" t="s">
        <v>1517</v>
      </c>
      <c r="I89" s="15" t="s">
        <v>855</v>
      </c>
      <c r="J89" s="26">
        <v>1</v>
      </c>
      <c r="K89" s="49" t="s">
        <v>375</v>
      </c>
      <c r="L89" s="26" t="s">
        <v>71</v>
      </c>
      <c r="M89" s="20" t="s">
        <v>72</v>
      </c>
      <c r="N89" s="20"/>
      <c r="O89" s="13" t="s">
        <v>3</v>
      </c>
      <c r="P89" s="13" t="s">
        <v>4</v>
      </c>
      <c r="Q89" s="22" t="s">
        <v>1118</v>
      </c>
      <c r="R89" s="26" t="s">
        <v>71</v>
      </c>
      <c r="S89" s="13" t="s">
        <v>398</v>
      </c>
      <c r="T89" s="13" t="s">
        <v>1387</v>
      </c>
      <c r="U89" s="13" t="s">
        <v>477</v>
      </c>
      <c r="V89" s="24">
        <v>1302573876001</v>
      </c>
      <c r="W89" s="13" t="s">
        <v>745</v>
      </c>
      <c r="X89" s="13" t="s">
        <v>933</v>
      </c>
      <c r="Y89" s="13" t="s">
        <v>931</v>
      </c>
      <c r="Z89" s="13" t="s">
        <v>932</v>
      </c>
      <c r="AA89" s="41"/>
      <c r="AB89" s="45">
        <v>225810.56</v>
      </c>
      <c r="AC89" s="29">
        <v>0</v>
      </c>
      <c r="AD89" s="41">
        <v>204351.84</v>
      </c>
      <c r="AE89" s="29">
        <v>0</v>
      </c>
      <c r="AF89" s="29">
        <f t="shared" si="47"/>
        <v>204351.84</v>
      </c>
      <c r="AG89" s="25">
        <v>0.12</v>
      </c>
      <c r="AH89" s="29">
        <f t="shared" si="45"/>
        <v>24522.220799999999</v>
      </c>
      <c r="AI89" s="29">
        <f t="shared" si="46"/>
        <v>0</v>
      </c>
      <c r="AJ89" s="29">
        <f t="shared" si="36"/>
        <v>228874.06080000001</v>
      </c>
      <c r="AK89" s="29">
        <v>198035.85</v>
      </c>
      <c r="AL89" s="29">
        <f>AB89-AK89</f>
        <v>27774.709999999992</v>
      </c>
      <c r="AM89" s="29"/>
      <c r="AN89" s="41"/>
      <c r="AO89" s="41">
        <v>204351.84</v>
      </c>
      <c r="AP89" s="41"/>
      <c r="AQ89" s="41">
        <v>202821.81</v>
      </c>
      <c r="AR89" s="41"/>
      <c r="AS89" s="41"/>
      <c r="AT89" s="41"/>
      <c r="AU89" s="41"/>
      <c r="AV89" s="41"/>
      <c r="AW89" s="41"/>
      <c r="AX89" s="41"/>
      <c r="AY89" s="41"/>
      <c r="AZ89" s="41"/>
      <c r="BA89" s="41"/>
      <c r="BB89" s="41"/>
      <c r="BC89" s="41"/>
      <c r="BD89" s="37"/>
      <c r="BE89" s="37"/>
      <c r="BF89" s="29">
        <f t="shared" si="50"/>
        <v>22988.75</v>
      </c>
      <c r="BG89" s="29">
        <f t="shared" si="48"/>
        <v>22988.75</v>
      </c>
      <c r="BH89" s="37" t="s">
        <v>594</v>
      </c>
      <c r="BI89" s="29" t="s">
        <v>570</v>
      </c>
      <c r="BJ89" s="29" t="s">
        <v>570</v>
      </c>
      <c r="BK89" s="29" t="s">
        <v>570</v>
      </c>
      <c r="BL89" s="29" t="s">
        <v>570</v>
      </c>
      <c r="BM89" s="29" t="s">
        <v>570</v>
      </c>
      <c r="BN89" s="23">
        <v>42312</v>
      </c>
      <c r="BO89" s="23">
        <v>42326</v>
      </c>
      <c r="BP89" s="23">
        <v>42328</v>
      </c>
      <c r="BQ89" s="23">
        <v>42333</v>
      </c>
      <c r="BR89" s="13" t="s">
        <v>570</v>
      </c>
      <c r="BS89" s="57">
        <v>42342</v>
      </c>
      <c r="BT89" s="23">
        <v>42347</v>
      </c>
      <c r="BU89" s="13" t="s">
        <v>570</v>
      </c>
      <c r="BV89" s="13" t="s">
        <v>570</v>
      </c>
      <c r="BW89" s="224" t="s">
        <v>570</v>
      </c>
      <c r="BX89" s="23">
        <v>42342</v>
      </c>
      <c r="BY89" s="13" t="s">
        <v>570</v>
      </c>
      <c r="BZ89" s="23">
        <v>42347</v>
      </c>
      <c r="CA89" s="23">
        <v>42390</v>
      </c>
      <c r="CB89" s="224" t="s">
        <v>570</v>
      </c>
      <c r="CC89" s="224" t="s">
        <v>570</v>
      </c>
      <c r="CD89" s="224" t="s">
        <v>570</v>
      </c>
      <c r="CE89" s="23"/>
      <c r="CF89" s="127" t="s">
        <v>829</v>
      </c>
      <c r="CG89" s="23"/>
      <c r="CH89" s="23"/>
      <c r="CI89" s="23"/>
      <c r="CJ89" s="23"/>
      <c r="CK89" s="23"/>
      <c r="CL89" s="23"/>
      <c r="CM89" s="23"/>
      <c r="CN89" s="23"/>
      <c r="CO89" s="23"/>
      <c r="CP89" s="23"/>
      <c r="CQ89" s="23"/>
      <c r="CR89" s="127" t="s">
        <v>829</v>
      </c>
      <c r="CS89" s="13" t="s">
        <v>570</v>
      </c>
      <c r="CT89" s="37" t="s">
        <v>452</v>
      </c>
      <c r="CU89" s="25">
        <v>0.05</v>
      </c>
      <c r="CV89" s="23">
        <v>42625</v>
      </c>
      <c r="CW89" s="30">
        <f t="shared" ref="CW89:CW97" si="51">AQ89*0.5</f>
        <v>101410.905</v>
      </c>
      <c r="CX89" s="30"/>
      <c r="CY89" s="23">
        <v>42713</v>
      </c>
      <c r="CZ89" s="37">
        <v>47827.35</v>
      </c>
      <c r="DA89" s="13"/>
      <c r="DB89" s="23">
        <v>42731</v>
      </c>
      <c r="DC89" s="37">
        <v>48797.59</v>
      </c>
      <c r="DD89" s="13"/>
      <c r="DE89" s="13"/>
      <c r="DF89" s="13"/>
      <c r="DG89" s="13"/>
      <c r="DH89" s="13"/>
      <c r="DI89" s="13"/>
      <c r="DJ89" s="13"/>
      <c r="DK89" s="13"/>
      <c r="DL89" s="13"/>
      <c r="DM89" s="13"/>
      <c r="DN89" s="13"/>
      <c r="DO89" s="13"/>
      <c r="DP89" s="13"/>
      <c r="DQ89" s="13"/>
      <c r="DR89" s="13"/>
      <c r="DS89" s="13"/>
      <c r="DT89" s="13"/>
      <c r="DU89" s="13"/>
      <c r="DV89" s="13"/>
      <c r="DW89" s="13"/>
      <c r="DX89" s="13"/>
      <c r="DY89" s="31">
        <f t="shared" si="49"/>
        <v>198035.845</v>
      </c>
      <c r="DZ89" s="37">
        <v>53583.56</v>
      </c>
      <c r="EA89" s="13"/>
      <c r="EB89" s="13"/>
      <c r="EC89" s="13"/>
      <c r="ED89" s="13"/>
      <c r="EE89" s="30">
        <f>DY89+DZ89+EA89+EB89+EC89+ED89</f>
        <v>251619.405</v>
      </c>
      <c r="EF89" s="30">
        <f>AQ89-EE89</f>
        <v>-48797.595000000001</v>
      </c>
      <c r="EG89" s="13">
        <v>120</v>
      </c>
      <c r="EH89" s="13" t="s">
        <v>588</v>
      </c>
      <c r="EI89" s="23">
        <f t="shared" ref="EI89:EI103" si="52">CV89+1</f>
        <v>42626</v>
      </c>
      <c r="EJ89" s="23">
        <f t="shared" ref="EJ89:EJ103" si="53">EI89+EG89</f>
        <v>42746</v>
      </c>
      <c r="EK89" s="13"/>
      <c r="EL89" s="13"/>
      <c r="EM89" s="13"/>
      <c r="EN89" s="13"/>
      <c r="EO89" s="13"/>
      <c r="EP89" s="13"/>
      <c r="EQ89" s="13"/>
      <c r="ER89" s="13"/>
      <c r="ES89" s="13"/>
      <c r="ET89" s="13"/>
      <c r="EU89" s="13"/>
      <c r="EV89" s="13"/>
      <c r="EW89" s="13"/>
      <c r="EX89" s="13"/>
      <c r="EY89" s="13"/>
      <c r="EZ89" s="13"/>
      <c r="FA89" s="13"/>
      <c r="FB89" s="13"/>
      <c r="FC89" s="13"/>
      <c r="FD89" s="13"/>
      <c r="FE89" s="13"/>
      <c r="FF89" s="13" t="s">
        <v>503</v>
      </c>
      <c r="FG89" s="13"/>
      <c r="FH89" s="25"/>
      <c r="FI89" s="25"/>
      <c r="FJ89" s="25"/>
      <c r="FK89" s="25"/>
      <c r="FL89" s="25"/>
      <c r="FM89" s="25"/>
      <c r="FN89" s="25"/>
      <c r="FO89" s="25"/>
      <c r="FP89" s="25"/>
      <c r="FQ89" s="25"/>
      <c r="FR89" s="25"/>
      <c r="FS89" s="25">
        <v>1</v>
      </c>
      <c r="FT89" s="25">
        <v>1</v>
      </c>
      <c r="FU89" s="25">
        <v>1</v>
      </c>
      <c r="FV89" s="25">
        <v>1</v>
      </c>
      <c r="FW89" s="25">
        <v>1</v>
      </c>
      <c r="FX89" s="25">
        <v>1</v>
      </c>
      <c r="FY89" s="25">
        <v>1</v>
      </c>
      <c r="FZ89" s="25">
        <v>1</v>
      </c>
      <c r="GA89" s="25">
        <v>1</v>
      </c>
      <c r="GB89" s="25">
        <v>1</v>
      </c>
      <c r="GC89" s="25">
        <v>1</v>
      </c>
      <c r="GD89" s="25">
        <v>1</v>
      </c>
      <c r="GE89" s="25">
        <v>1</v>
      </c>
      <c r="GF89" s="25">
        <v>1</v>
      </c>
      <c r="GG89" s="25">
        <v>1</v>
      </c>
      <c r="GH89" s="25">
        <v>1</v>
      </c>
      <c r="GI89" s="25">
        <v>1</v>
      </c>
      <c r="GJ89" s="25">
        <v>1</v>
      </c>
      <c r="GK89" s="25">
        <v>1</v>
      </c>
      <c r="GL89" s="25">
        <v>1</v>
      </c>
      <c r="GM89" s="25">
        <v>1</v>
      </c>
      <c r="GN89" s="25">
        <v>1</v>
      </c>
      <c r="GO89" s="25">
        <v>1</v>
      </c>
      <c r="GP89" s="25">
        <v>1</v>
      </c>
      <c r="GQ89" s="25">
        <v>1</v>
      </c>
      <c r="GR89" s="25">
        <v>1</v>
      </c>
      <c r="GS89" s="25">
        <v>1</v>
      </c>
      <c r="GT89" s="25">
        <v>1</v>
      </c>
      <c r="GU89" s="25">
        <v>1</v>
      </c>
      <c r="GV89" s="25" t="s">
        <v>455</v>
      </c>
      <c r="GW89" s="25" t="s">
        <v>455</v>
      </c>
      <c r="GX89" s="25" t="s">
        <v>455</v>
      </c>
      <c r="GY89" s="25" t="s">
        <v>455</v>
      </c>
      <c r="GZ89" s="25" t="s">
        <v>455</v>
      </c>
      <c r="HA89" s="25" t="s">
        <v>455</v>
      </c>
      <c r="HB89" s="25" t="s">
        <v>455</v>
      </c>
      <c r="HC89" s="25" t="s">
        <v>455</v>
      </c>
      <c r="HD89" s="25" t="s">
        <v>455</v>
      </c>
      <c r="HE89" s="25" t="s">
        <v>455</v>
      </c>
      <c r="HF89" s="25" t="s">
        <v>455</v>
      </c>
      <c r="HG89" s="25" t="s">
        <v>455</v>
      </c>
      <c r="HH89" s="25" t="s">
        <v>455</v>
      </c>
      <c r="HI89" s="25"/>
      <c r="HJ89" s="25"/>
      <c r="HK89" s="25"/>
      <c r="HL89" s="25"/>
      <c r="HM89" s="25"/>
      <c r="HN89" s="25"/>
      <c r="HO89" s="25"/>
      <c r="HP89" s="25"/>
      <c r="HQ89" s="25"/>
      <c r="HR89" s="25"/>
      <c r="HS89" s="25"/>
      <c r="HT89" s="25"/>
      <c r="HU89" s="13" t="s">
        <v>856</v>
      </c>
      <c r="HV89" s="13"/>
      <c r="HW89" s="32"/>
      <c r="HX89" s="55"/>
      <c r="HY89" s="55"/>
      <c r="HZ89" s="55"/>
      <c r="IA89" s="55"/>
      <c r="IB89" s="55"/>
      <c r="IC89" s="55"/>
      <c r="ID89" s="55"/>
      <c r="IE89" s="55"/>
      <c r="IF89" s="107">
        <v>225810.56</v>
      </c>
      <c r="IG89" s="107">
        <v>198035.85</v>
      </c>
      <c r="IH89" s="250">
        <f t="shared" si="41"/>
        <v>0</v>
      </c>
      <c r="II89" s="55"/>
      <c r="IJ89" s="55"/>
      <c r="IK89" s="55"/>
      <c r="IL89" s="55"/>
      <c r="IM89" s="55"/>
      <c r="IN89" s="55"/>
      <c r="IO89" s="55"/>
      <c r="IP89" s="55"/>
      <c r="IQ89" s="55"/>
      <c r="IR89" s="55"/>
      <c r="IS89" s="55"/>
      <c r="IT89" s="55"/>
      <c r="IU89" s="55"/>
      <c r="IV89" s="55"/>
      <c r="IW89" s="55"/>
      <c r="IX89" s="55"/>
      <c r="IY89" s="55"/>
      <c r="IZ89" s="55"/>
      <c r="JA89" s="55"/>
      <c r="JB89" s="55"/>
      <c r="JC89" s="55"/>
      <c r="JD89" s="55">
        <v>2016</v>
      </c>
    </row>
    <row r="90" spans="1:265" s="5" customFormat="1" ht="24.95" hidden="1" customHeight="1">
      <c r="A90" s="26" t="s">
        <v>70</v>
      </c>
      <c r="B90" s="26" t="s">
        <v>27</v>
      </c>
      <c r="C90" s="13" t="s">
        <v>349</v>
      </c>
      <c r="D90" s="13" t="s">
        <v>380</v>
      </c>
      <c r="E90" s="16" t="s">
        <v>350</v>
      </c>
      <c r="F90" s="13" t="s">
        <v>350</v>
      </c>
      <c r="G90" s="26" t="s">
        <v>354</v>
      </c>
      <c r="H90" s="13" t="s">
        <v>1517</v>
      </c>
      <c r="I90" s="20" t="s">
        <v>74</v>
      </c>
      <c r="J90" s="26">
        <v>2</v>
      </c>
      <c r="K90" s="49" t="s">
        <v>375</v>
      </c>
      <c r="L90" s="26" t="s">
        <v>73</v>
      </c>
      <c r="M90" s="20" t="s">
        <v>74</v>
      </c>
      <c r="N90" s="20"/>
      <c r="O90" s="13" t="s">
        <v>3</v>
      </c>
      <c r="P90" s="13" t="s">
        <v>4</v>
      </c>
      <c r="Q90" s="22" t="s">
        <v>1118</v>
      </c>
      <c r="R90" s="26" t="s">
        <v>73</v>
      </c>
      <c r="S90" s="13" t="s">
        <v>399</v>
      </c>
      <c r="T90" s="13" t="s">
        <v>1387</v>
      </c>
      <c r="U90" s="13" t="s">
        <v>479</v>
      </c>
      <c r="V90" s="13" t="s">
        <v>705</v>
      </c>
      <c r="W90" s="13" t="s">
        <v>936</v>
      </c>
      <c r="X90" s="13" t="s">
        <v>947</v>
      </c>
      <c r="Y90" s="13" t="s">
        <v>934</v>
      </c>
      <c r="Z90" s="13" t="s">
        <v>935</v>
      </c>
      <c r="AA90" s="41"/>
      <c r="AB90" s="45">
        <v>424702.6</v>
      </c>
      <c r="AC90" s="29">
        <v>0</v>
      </c>
      <c r="AD90" s="41">
        <v>446161.32</v>
      </c>
      <c r="AE90" s="29">
        <v>0</v>
      </c>
      <c r="AF90" s="29">
        <f t="shared" si="47"/>
        <v>446161.32</v>
      </c>
      <c r="AG90" s="25">
        <v>0.12</v>
      </c>
      <c r="AH90" s="29">
        <f t="shared" si="45"/>
        <v>53539.358399999997</v>
      </c>
      <c r="AI90" s="29">
        <f t="shared" si="46"/>
        <v>0</v>
      </c>
      <c r="AJ90" s="29">
        <f t="shared" si="36"/>
        <v>499700.67840000003</v>
      </c>
      <c r="AK90" s="29">
        <v>398200</v>
      </c>
      <c r="AL90" s="29">
        <f>AB90-AK90</f>
        <v>26502.599999999977</v>
      </c>
      <c r="AM90" s="29"/>
      <c r="AN90" s="41"/>
      <c r="AO90" s="41">
        <v>446161.32</v>
      </c>
      <c r="AP90" s="41"/>
      <c r="AQ90" s="41">
        <v>398200</v>
      </c>
      <c r="AR90" s="41"/>
      <c r="AS90" s="41"/>
      <c r="AT90" s="41"/>
      <c r="AU90" s="41"/>
      <c r="AV90" s="41"/>
      <c r="AW90" s="41"/>
      <c r="AX90" s="41"/>
      <c r="AY90" s="41"/>
      <c r="AZ90" s="41"/>
      <c r="BA90" s="41"/>
      <c r="BB90" s="41"/>
      <c r="BC90" s="41"/>
      <c r="BD90" s="37"/>
      <c r="BE90" s="37"/>
      <c r="BF90" s="29">
        <f t="shared" si="50"/>
        <v>26502.599999999977</v>
      </c>
      <c r="BG90" s="29">
        <f t="shared" si="48"/>
        <v>26502.599999999977</v>
      </c>
      <c r="BH90" s="37" t="s">
        <v>594</v>
      </c>
      <c r="BI90" s="29" t="s">
        <v>570</v>
      </c>
      <c r="BJ90" s="29" t="s">
        <v>570</v>
      </c>
      <c r="BK90" s="29" t="s">
        <v>570</v>
      </c>
      <c r="BL90" s="29" t="s">
        <v>570</v>
      </c>
      <c r="BM90" s="29" t="s">
        <v>570</v>
      </c>
      <c r="BN90" s="23">
        <v>42256</v>
      </c>
      <c r="BO90" s="23">
        <v>42275</v>
      </c>
      <c r="BP90" s="23">
        <v>42282</v>
      </c>
      <c r="BQ90" s="23">
        <v>42289</v>
      </c>
      <c r="BR90" s="13" t="s">
        <v>570</v>
      </c>
      <c r="BS90" s="23">
        <v>42296</v>
      </c>
      <c r="BT90" s="23">
        <v>42300</v>
      </c>
      <c r="BU90" s="13" t="s">
        <v>570</v>
      </c>
      <c r="BV90" s="13" t="s">
        <v>570</v>
      </c>
      <c r="BW90" s="224" t="s">
        <v>570</v>
      </c>
      <c r="BX90" s="23">
        <v>42305</v>
      </c>
      <c r="BY90" s="13" t="s">
        <v>570</v>
      </c>
      <c r="BZ90" s="23">
        <v>42305</v>
      </c>
      <c r="CA90" s="23">
        <v>42320</v>
      </c>
      <c r="CB90" s="224" t="s">
        <v>570</v>
      </c>
      <c r="CC90" s="224" t="s">
        <v>570</v>
      </c>
      <c r="CD90" s="224" t="s">
        <v>570</v>
      </c>
      <c r="CE90" s="23"/>
      <c r="CF90" s="127" t="s">
        <v>829</v>
      </c>
      <c r="CG90" s="23"/>
      <c r="CH90" s="23"/>
      <c r="CI90" s="23"/>
      <c r="CJ90" s="23"/>
      <c r="CK90" s="23"/>
      <c r="CL90" s="23"/>
      <c r="CM90" s="23"/>
      <c r="CN90" s="23"/>
      <c r="CO90" s="23"/>
      <c r="CP90" s="23"/>
      <c r="CQ90" s="23"/>
      <c r="CR90" s="127" t="s">
        <v>829</v>
      </c>
      <c r="CS90" s="13" t="s">
        <v>570</v>
      </c>
      <c r="CT90" s="37" t="s">
        <v>452</v>
      </c>
      <c r="CU90" s="25">
        <v>0.05</v>
      </c>
      <c r="CV90" s="23">
        <v>42719</v>
      </c>
      <c r="CW90" s="30">
        <f t="shared" si="51"/>
        <v>199100</v>
      </c>
      <c r="CX90" s="23"/>
      <c r="CY90" s="23">
        <v>42675</v>
      </c>
      <c r="CZ90" s="37">
        <v>119460</v>
      </c>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31">
        <f t="shared" si="49"/>
        <v>318560</v>
      </c>
      <c r="DZ90" s="13"/>
      <c r="EA90" s="13"/>
      <c r="EB90" s="13"/>
      <c r="EC90" s="13"/>
      <c r="ED90" s="13"/>
      <c r="EE90" s="13"/>
      <c r="EF90" s="13"/>
      <c r="EG90" s="13">
        <v>180</v>
      </c>
      <c r="EH90" s="13" t="s">
        <v>588</v>
      </c>
      <c r="EI90" s="23">
        <f t="shared" si="52"/>
        <v>42720</v>
      </c>
      <c r="EJ90" s="23">
        <f t="shared" si="53"/>
        <v>42900</v>
      </c>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25"/>
      <c r="FI90" s="25"/>
      <c r="FJ90" s="25"/>
      <c r="FK90" s="25"/>
      <c r="FL90" s="25"/>
      <c r="FM90" s="25"/>
      <c r="FN90" s="25"/>
      <c r="FO90" s="25">
        <v>0.74</v>
      </c>
      <c r="FP90" s="25">
        <v>0.74</v>
      </c>
      <c r="FQ90" s="25">
        <v>0.74</v>
      </c>
      <c r="FR90" s="25">
        <v>0.74</v>
      </c>
      <c r="FS90" s="25">
        <v>0.74</v>
      </c>
      <c r="FT90" s="25">
        <v>0.74</v>
      </c>
      <c r="FU90" s="25">
        <v>0.78</v>
      </c>
      <c r="FV90" s="25">
        <v>0.81</v>
      </c>
      <c r="FW90" s="25">
        <v>1</v>
      </c>
      <c r="FX90" s="25">
        <v>1</v>
      </c>
      <c r="FY90" s="25">
        <v>1</v>
      </c>
      <c r="FZ90" s="25">
        <v>1</v>
      </c>
      <c r="GA90" s="25">
        <v>1</v>
      </c>
      <c r="GB90" s="25">
        <v>1</v>
      </c>
      <c r="GC90" s="25">
        <v>1</v>
      </c>
      <c r="GD90" s="25">
        <v>1</v>
      </c>
      <c r="GE90" s="25">
        <v>1</v>
      </c>
      <c r="GF90" s="25">
        <v>1</v>
      </c>
      <c r="GG90" s="25">
        <v>1</v>
      </c>
      <c r="GH90" s="25">
        <v>1</v>
      </c>
      <c r="GI90" s="25">
        <v>1</v>
      </c>
      <c r="GJ90" s="25">
        <v>1</v>
      </c>
      <c r="GK90" s="25">
        <v>1</v>
      </c>
      <c r="GL90" s="25">
        <v>1</v>
      </c>
      <c r="GM90" s="25">
        <v>1</v>
      </c>
      <c r="GN90" s="25">
        <v>1</v>
      </c>
      <c r="GO90" s="25">
        <v>1</v>
      </c>
      <c r="GP90" s="25">
        <v>1</v>
      </c>
      <c r="GQ90" s="25">
        <v>1</v>
      </c>
      <c r="GR90" s="25">
        <v>1</v>
      </c>
      <c r="GS90" s="25">
        <v>1</v>
      </c>
      <c r="GT90" s="25">
        <v>1</v>
      </c>
      <c r="GU90" s="25">
        <v>1</v>
      </c>
      <c r="GV90" s="25" t="s">
        <v>455</v>
      </c>
      <c r="GW90" s="25" t="s">
        <v>455</v>
      </c>
      <c r="GX90" s="25" t="s">
        <v>455</v>
      </c>
      <c r="GY90" s="25" t="s">
        <v>455</v>
      </c>
      <c r="GZ90" s="25" t="s">
        <v>455</v>
      </c>
      <c r="HA90" s="25" t="s">
        <v>455</v>
      </c>
      <c r="HB90" s="25" t="s">
        <v>455</v>
      </c>
      <c r="HC90" s="25" t="s">
        <v>455</v>
      </c>
      <c r="HD90" s="25" t="s">
        <v>455</v>
      </c>
      <c r="HE90" s="25" t="s">
        <v>455</v>
      </c>
      <c r="HF90" s="25" t="s">
        <v>455</v>
      </c>
      <c r="HG90" s="25" t="s">
        <v>455</v>
      </c>
      <c r="HH90" s="25" t="s">
        <v>455</v>
      </c>
      <c r="HI90" s="25"/>
      <c r="HJ90" s="25"/>
      <c r="HK90" s="25"/>
      <c r="HL90" s="25"/>
      <c r="HM90" s="25"/>
      <c r="HN90" s="25"/>
      <c r="HO90" s="25"/>
      <c r="HP90" s="25"/>
      <c r="HQ90" s="25"/>
      <c r="HR90" s="25"/>
      <c r="HS90" s="25"/>
      <c r="HT90" s="25"/>
      <c r="HU90" s="13"/>
      <c r="HV90" s="13"/>
      <c r="HW90" s="32"/>
      <c r="HX90" s="55"/>
      <c r="HY90" s="55"/>
      <c r="HZ90" s="55"/>
      <c r="IA90" s="55"/>
      <c r="IB90" s="55"/>
      <c r="IC90" s="55"/>
      <c r="ID90" s="55"/>
      <c r="IE90" s="55"/>
      <c r="IF90" s="107">
        <v>424702.6</v>
      </c>
      <c r="IG90" s="107">
        <v>398200</v>
      </c>
      <c r="IH90" s="250">
        <f t="shared" si="41"/>
        <v>0</v>
      </c>
      <c r="II90" s="55"/>
      <c r="IJ90" s="55"/>
      <c r="IK90" s="55"/>
      <c r="IL90" s="55"/>
      <c r="IM90" s="55"/>
      <c r="IN90" s="55"/>
      <c r="IO90" s="55"/>
      <c r="IP90" s="55"/>
      <c r="IQ90" s="55"/>
      <c r="IR90" s="55"/>
      <c r="IS90" s="55"/>
      <c r="IT90" s="55"/>
      <c r="IU90" s="55"/>
      <c r="IV90" s="55"/>
      <c r="IW90" s="55"/>
      <c r="IX90" s="55"/>
      <c r="IY90" s="55"/>
      <c r="IZ90" s="55"/>
      <c r="JA90" s="55"/>
      <c r="JB90" s="55"/>
      <c r="JC90" s="55"/>
      <c r="JD90" s="55">
        <v>2017</v>
      </c>
    </row>
    <row r="91" spans="1:265" s="5" customFormat="1" ht="24.95" hidden="1" customHeight="1">
      <c r="A91" s="26" t="s">
        <v>70</v>
      </c>
      <c r="B91" s="26" t="s">
        <v>27</v>
      </c>
      <c r="C91" s="13" t="s">
        <v>349</v>
      </c>
      <c r="D91" s="13" t="s">
        <v>380</v>
      </c>
      <c r="E91" s="16" t="s">
        <v>350</v>
      </c>
      <c r="F91" s="13" t="s">
        <v>350</v>
      </c>
      <c r="G91" s="26" t="s">
        <v>354</v>
      </c>
      <c r="H91" s="13" t="s">
        <v>1517</v>
      </c>
      <c r="I91" s="15" t="s">
        <v>859</v>
      </c>
      <c r="J91" s="26">
        <v>3</v>
      </c>
      <c r="K91" s="49" t="s">
        <v>375</v>
      </c>
      <c r="L91" s="26" t="s">
        <v>857</v>
      </c>
      <c r="M91" s="20" t="s">
        <v>75</v>
      </c>
      <c r="N91" s="20" t="s">
        <v>1951</v>
      </c>
      <c r="O91" s="13" t="s">
        <v>3</v>
      </c>
      <c r="P91" s="13" t="s">
        <v>4</v>
      </c>
      <c r="Q91" s="22" t="s">
        <v>1118</v>
      </c>
      <c r="R91" s="26" t="s">
        <v>857</v>
      </c>
      <c r="S91" s="13" t="s">
        <v>400</v>
      </c>
      <c r="T91" s="13" t="s">
        <v>1387</v>
      </c>
      <c r="U91" s="13" t="s">
        <v>479</v>
      </c>
      <c r="V91" s="24">
        <v>1291755751001</v>
      </c>
      <c r="W91" s="13" t="s">
        <v>936</v>
      </c>
      <c r="X91" s="13" t="s">
        <v>947</v>
      </c>
      <c r="Y91" s="13" t="s">
        <v>937</v>
      </c>
      <c r="Z91" s="13" t="s">
        <v>938</v>
      </c>
      <c r="AA91" s="49">
        <v>327841.56403608399</v>
      </c>
      <c r="AB91" s="45">
        <v>402359.22</v>
      </c>
      <c r="AC91" s="29">
        <v>0</v>
      </c>
      <c r="AD91" s="41">
        <v>402359.21</v>
      </c>
      <c r="AE91" s="29">
        <v>0</v>
      </c>
      <c r="AF91" s="29">
        <f t="shared" si="47"/>
        <v>402359.21</v>
      </c>
      <c r="AG91" s="25">
        <v>0.12</v>
      </c>
      <c r="AH91" s="29">
        <f t="shared" si="45"/>
        <v>48283.105199999998</v>
      </c>
      <c r="AI91" s="29">
        <f t="shared" si="46"/>
        <v>0</v>
      </c>
      <c r="AJ91" s="29">
        <f t="shared" si="36"/>
        <v>450642.31520000007</v>
      </c>
      <c r="AK91" s="29">
        <v>292486.69</v>
      </c>
      <c r="AL91" s="29">
        <f>AB91-AK91</f>
        <v>109872.52999999997</v>
      </c>
      <c r="AM91" s="29"/>
      <c r="AN91" s="41"/>
      <c r="AO91" s="41">
        <v>402359.22321428568</v>
      </c>
      <c r="AP91" s="41"/>
      <c r="AQ91" s="41">
        <v>392587.03</v>
      </c>
      <c r="AR91" s="41"/>
      <c r="AS91" s="41"/>
      <c r="AT91" s="41"/>
      <c r="AU91" s="41"/>
      <c r="AV91" s="41"/>
      <c r="AW91" s="41"/>
      <c r="AX91" s="41"/>
      <c r="AY91" s="41"/>
      <c r="AZ91" s="41"/>
      <c r="BA91" s="41"/>
      <c r="BB91" s="41"/>
      <c r="BC91" s="41"/>
      <c r="BD91" s="37"/>
      <c r="BE91" s="37"/>
      <c r="BF91" s="29">
        <f t="shared" si="50"/>
        <v>9772.1899999999441</v>
      </c>
      <c r="BG91" s="29">
        <f t="shared" si="48"/>
        <v>9772.1899999999441</v>
      </c>
      <c r="BH91" s="37" t="s">
        <v>594</v>
      </c>
      <c r="BI91" s="29" t="s">
        <v>570</v>
      </c>
      <c r="BJ91" s="29" t="s">
        <v>570</v>
      </c>
      <c r="BK91" s="29" t="s">
        <v>570</v>
      </c>
      <c r="BL91" s="29" t="s">
        <v>570</v>
      </c>
      <c r="BM91" s="29" t="s">
        <v>570</v>
      </c>
      <c r="BN91" s="23">
        <v>42254</v>
      </c>
      <c r="BO91" s="23">
        <v>42270</v>
      </c>
      <c r="BP91" s="23">
        <v>42277</v>
      </c>
      <c r="BQ91" s="23">
        <v>42284</v>
      </c>
      <c r="BR91" s="13" t="s">
        <v>570</v>
      </c>
      <c r="BS91" s="23">
        <v>42291</v>
      </c>
      <c r="BT91" s="23">
        <v>42293</v>
      </c>
      <c r="BU91" s="13" t="s">
        <v>570</v>
      </c>
      <c r="BV91" s="13" t="s">
        <v>570</v>
      </c>
      <c r="BW91" s="224" t="s">
        <v>570</v>
      </c>
      <c r="BX91" s="23">
        <v>42293</v>
      </c>
      <c r="BY91" s="13" t="s">
        <v>570</v>
      </c>
      <c r="BZ91" s="23">
        <v>42293</v>
      </c>
      <c r="CA91" s="23">
        <v>42324</v>
      </c>
      <c r="CB91" s="224" t="s">
        <v>570</v>
      </c>
      <c r="CC91" s="224" t="s">
        <v>570</v>
      </c>
      <c r="CD91" s="224" t="s">
        <v>570</v>
      </c>
      <c r="CE91" s="23"/>
      <c r="CF91" s="127" t="s">
        <v>829</v>
      </c>
      <c r="CG91" s="23"/>
      <c r="CH91" s="23"/>
      <c r="CI91" s="23"/>
      <c r="CJ91" s="23"/>
      <c r="CK91" s="23"/>
      <c r="CL91" s="23"/>
      <c r="CM91" s="23"/>
      <c r="CN91" s="23"/>
      <c r="CO91" s="23"/>
      <c r="CP91" s="23"/>
      <c r="CQ91" s="23"/>
      <c r="CR91" s="127" t="s">
        <v>829</v>
      </c>
      <c r="CS91" s="13" t="s">
        <v>570</v>
      </c>
      <c r="CT91" s="37" t="s">
        <v>452</v>
      </c>
      <c r="CU91" s="25">
        <v>0.05</v>
      </c>
      <c r="CV91" s="23">
        <v>42418</v>
      </c>
      <c r="CW91" s="30">
        <f t="shared" si="51"/>
        <v>196293.51500000001</v>
      </c>
      <c r="CX91" s="30"/>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31">
        <f t="shared" si="49"/>
        <v>196293.51500000001</v>
      </c>
      <c r="DZ91" s="13"/>
      <c r="EA91" s="13"/>
      <c r="EB91" s="13"/>
      <c r="EC91" s="13"/>
      <c r="ED91" s="13"/>
      <c r="EE91" s="13"/>
      <c r="EF91" s="13"/>
      <c r="EG91" s="13">
        <v>120</v>
      </c>
      <c r="EH91" s="13" t="s">
        <v>588</v>
      </c>
      <c r="EI91" s="23">
        <f t="shared" si="52"/>
        <v>42419</v>
      </c>
      <c r="EJ91" s="23">
        <f t="shared" si="53"/>
        <v>42539</v>
      </c>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25"/>
      <c r="FI91" s="25"/>
      <c r="FJ91" s="25">
        <v>0.26</v>
      </c>
      <c r="FK91" s="25">
        <v>0.37</v>
      </c>
      <c r="FL91" s="25">
        <v>0.37</v>
      </c>
      <c r="FM91" s="25">
        <v>0.37</v>
      </c>
      <c r="FN91" s="25">
        <v>0.37</v>
      </c>
      <c r="FO91" s="25">
        <v>0.37</v>
      </c>
      <c r="FP91" s="25">
        <v>0.76</v>
      </c>
      <c r="FQ91" s="25">
        <v>0.8</v>
      </c>
      <c r="FR91" s="25">
        <v>0.8</v>
      </c>
      <c r="FS91" s="25">
        <v>0.88</v>
      </c>
      <c r="FT91" s="25">
        <v>1</v>
      </c>
      <c r="FU91" s="25">
        <v>1</v>
      </c>
      <c r="FV91" s="25">
        <v>1</v>
      </c>
      <c r="FW91" s="25">
        <v>1</v>
      </c>
      <c r="FX91" s="25">
        <v>1</v>
      </c>
      <c r="FY91" s="25">
        <v>1</v>
      </c>
      <c r="FZ91" s="25">
        <v>1</v>
      </c>
      <c r="GA91" s="25">
        <v>1</v>
      </c>
      <c r="GB91" s="25">
        <v>1</v>
      </c>
      <c r="GC91" s="25">
        <v>1</v>
      </c>
      <c r="GD91" s="25">
        <v>1</v>
      </c>
      <c r="GE91" s="25">
        <v>1</v>
      </c>
      <c r="GF91" s="25">
        <v>1</v>
      </c>
      <c r="GG91" s="25">
        <v>1</v>
      </c>
      <c r="GH91" s="25">
        <v>1</v>
      </c>
      <c r="GI91" s="25">
        <v>1</v>
      </c>
      <c r="GJ91" s="25">
        <v>1</v>
      </c>
      <c r="GK91" s="25">
        <v>1</v>
      </c>
      <c r="GL91" s="25">
        <v>1</v>
      </c>
      <c r="GM91" s="25">
        <v>1</v>
      </c>
      <c r="GN91" s="25">
        <v>1</v>
      </c>
      <c r="GO91" s="25">
        <v>1</v>
      </c>
      <c r="GP91" s="25">
        <v>1</v>
      </c>
      <c r="GQ91" s="25">
        <v>1</v>
      </c>
      <c r="GR91" s="25">
        <v>1</v>
      </c>
      <c r="GS91" s="25">
        <v>1</v>
      </c>
      <c r="GT91" s="25">
        <v>1</v>
      </c>
      <c r="GU91" s="25">
        <v>1</v>
      </c>
      <c r="GV91" s="25" t="s">
        <v>1588</v>
      </c>
      <c r="GW91" s="25" t="s">
        <v>1588</v>
      </c>
      <c r="GX91" s="25" t="s">
        <v>1588</v>
      </c>
      <c r="GY91" s="25" t="s">
        <v>1588</v>
      </c>
      <c r="GZ91" s="25" t="s">
        <v>1588</v>
      </c>
      <c r="HA91" s="25" t="s">
        <v>1588</v>
      </c>
      <c r="HB91" s="25" t="s">
        <v>1588</v>
      </c>
      <c r="HC91" s="25" t="s">
        <v>455</v>
      </c>
      <c r="HD91" s="25" t="s">
        <v>455</v>
      </c>
      <c r="HE91" s="25" t="s">
        <v>455</v>
      </c>
      <c r="HF91" s="25" t="s">
        <v>455</v>
      </c>
      <c r="HG91" s="25" t="s">
        <v>455</v>
      </c>
      <c r="HH91" s="25" t="s">
        <v>455</v>
      </c>
      <c r="HI91" s="25"/>
      <c r="HJ91" s="25"/>
      <c r="HK91" s="25"/>
      <c r="HL91" s="25"/>
      <c r="HM91" s="25" t="s">
        <v>1737</v>
      </c>
      <c r="HN91" s="25"/>
      <c r="HO91" s="25" t="s">
        <v>1891</v>
      </c>
      <c r="HP91" s="25"/>
      <c r="HQ91" s="25"/>
      <c r="HR91" s="25"/>
      <c r="HS91" s="25"/>
      <c r="HT91" s="25"/>
      <c r="HU91" s="13" t="s">
        <v>858</v>
      </c>
      <c r="HV91" s="13"/>
      <c r="HW91" s="32"/>
      <c r="HX91" s="55"/>
      <c r="HY91" s="55"/>
      <c r="HZ91" s="55"/>
      <c r="IA91" s="55"/>
      <c r="IB91" s="55"/>
      <c r="IC91" s="55"/>
      <c r="ID91" s="55"/>
      <c r="IE91" s="55"/>
      <c r="IF91" s="107">
        <v>402359.22</v>
      </c>
      <c r="IG91" s="107"/>
      <c r="IH91" s="250">
        <f t="shared" si="41"/>
        <v>292486.69</v>
      </c>
      <c r="II91" s="55"/>
      <c r="IJ91" s="55"/>
      <c r="IK91" s="55"/>
      <c r="IL91" s="55"/>
      <c r="IM91" s="55"/>
      <c r="IN91" s="55"/>
      <c r="IO91" s="55"/>
      <c r="IP91" s="55"/>
      <c r="IQ91" s="55"/>
      <c r="IR91" s="55"/>
      <c r="IS91" s="55"/>
      <c r="IT91" s="55"/>
      <c r="IU91" s="55"/>
      <c r="IV91" s="55"/>
      <c r="IW91" s="55"/>
      <c r="IX91" s="55"/>
      <c r="IY91" s="55"/>
      <c r="IZ91" s="55"/>
      <c r="JA91" s="55"/>
      <c r="JB91" s="55"/>
      <c r="JC91" s="55"/>
      <c r="JD91" s="55">
        <v>2016</v>
      </c>
    </row>
    <row r="92" spans="1:265" s="5" customFormat="1" ht="24.95" hidden="1" customHeight="1">
      <c r="A92" s="26" t="s">
        <v>70</v>
      </c>
      <c r="B92" s="26" t="s">
        <v>27</v>
      </c>
      <c r="C92" s="13" t="s">
        <v>349</v>
      </c>
      <c r="D92" s="13" t="s">
        <v>380</v>
      </c>
      <c r="E92" s="16" t="s">
        <v>350</v>
      </c>
      <c r="F92" s="13" t="s">
        <v>350</v>
      </c>
      <c r="G92" s="26" t="s">
        <v>354</v>
      </c>
      <c r="H92" s="13" t="s">
        <v>1517</v>
      </c>
      <c r="I92" s="15" t="s">
        <v>860</v>
      </c>
      <c r="J92" s="26">
        <v>4</v>
      </c>
      <c r="K92" s="49" t="s">
        <v>375</v>
      </c>
      <c r="L92" s="26" t="s">
        <v>857</v>
      </c>
      <c r="M92" s="20" t="s">
        <v>75</v>
      </c>
      <c r="N92" s="20" t="s">
        <v>1952</v>
      </c>
      <c r="O92" s="13" t="s">
        <v>3</v>
      </c>
      <c r="P92" s="13" t="s">
        <v>4</v>
      </c>
      <c r="Q92" s="22" t="s">
        <v>1118</v>
      </c>
      <c r="R92" s="26" t="s">
        <v>857</v>
      </c>
      <c r="S92" s="13" t="s">
        <v>400</v>
      </c>
      <c r="T92" s="13" t="s">
        <v>1387</v>
      </c>
      <c r="U92" s="13" t="s">
        <v>479</v>
      </c>
      <c r="V92" s="24">
        <v>1291755751001</v>
      </c>
      <c r="W92" s="13" t="s">
        <v>936</v>
      </c>
      <c r="X92" s="13" t="s">
        <v>947</v>
      </c>
      <c r="Y92" s="13" t="s">
        <v>937</v>
      </c>
      <c r="Z92" s="13" t="s">
        <v>938</v>
      </c>
      <c r="AA92" s="49">
        <v>48148.900800000003</v>
      </c>
      <c r="AB92" s="45">
        <v>0</v>
      </c>
      <c r="AC92" s="29">
        <v>0</v>
      </c>
      <c r="AD92" s="41"/>
      <c r="AE92" s="29">
        <v>0</v>
      </c>
      <c r="AF92" s="29">
        <f t="shared" si="47"/>
        <v>0</v>
      </c>
      <c r="AG92" s="25">
        <v>0.12</v>
      </c>
      <c r="AH92" s="29">
        <f t="shared" si="45"/>
        <v>0</v>
      </c>
      <c r="AI92" s="29">
        <f t="shared" si="46"/>
        <v>0</v>
      </c>
      <c r="AJ92" s="29">
        <f t="shared" si="36"/>
        <v>0</v>
      </c>
      <c r="AK92" s="29"/>
      <c r="AL92" s="29"/>
      <c r="AM92" s="29"/>
      <c r="AN92" s="41"/>
      <c r="AO92" s="41"/>
      <c r="AP92" s="41"/>
      <c r="AQ92" s="41"/>
      <c r="AR92" s="41"/>
      <c r="AS92" s="41"/>
      <c r="AT92" s="41"/>
      <c r="AU92" s="41"/>
      <c r="AV92" s="41"/>
      <c r="AW92" s="41"/>
      <c r="AX92" s="41"/>
      <c r="AY92" s="41"/>
      <c r="AZ92" s="41"/>
      <c r="BA92" s="41"/>
      <c r="BB92" s="41"/>
      <c r="BC92" s="41"/>
      <c r="BD92" s="37"/>
      <c r="BE92" s="37"/>
      <c r="BF92" s="29">
        <f t="shared" si="50"/>
        <v>0</v>
      </c>
      <c r="BG92" s="29">
        <f t="shared" si="48"/>
        <v>0</v>
      </c>
      <c r="BH92" s="37" t="s">
        <v>594</v>
      </c>
      <c r="BI92" s="29" t="s">
        <v>570</v>
      </c>
      <c r="BJ92" s="29" t="s">
        <v>570</v>
      </c>
      <c r="BK92" s="29" t="s">
        <v>570</v>
      </c>
      <c r="BL92" s="29" t="s">
        <v>570</v>
      </c>
      <c r="BM92" s="29" t="s">
        <v>570</v>
      </c>
      <c r="BN92" s="23">
        <v>42254</v>
      </c>
      <c r="BO92" s="23">
        <v>42270</v>
      </c>
      <c r="BP92" s="23">
        <v>42277</v>
      </c>
      <c r="BQ92" s="23">
        <v>42284</v>
      </c>
      <c r="BR92" s="13" t="s">
        <v>570</v>
      </c>
      <c r="BS92" s="23">
        <v>42291</v>
      </c>
      <c r="BT92" s="23">
        <v>42293</v>
      </c>
      <c r="BU92" s="13" t="s">
        <v>570</v>
      </c>
      <c r="BV92" s="13" t="s">
        <v>570</v>
      </c>
      <c r="BW92" s="224" t="s">
        <v>570</v>
      </c>
      <c r="BX92" s="23">
        <v>42293</v>
      </c>
      <c r="BY92" s="13" t="s">
        <v>570</v>
      </c>
      <c r="BZ92" s="23">
        <v>42293</v>
      </c>
      <c r="CA92" s="23">
        <v>42324</v>
      </c>
      <c r="CB92" s="224" t="s">
        <v>570</v>
      </c>
      <c r="CC92" s="224" t="s">
        <v>570</v>
      </c>
      <c r="CD92" s="224" t="s">
        <v>570</v>
      </c>
      <c r="CE92" s="23"/>
      <c r="CF92" s="127" t="s">
        <v>829</v>
      </c>
      <c r="CG92" s="23"/>
      <c r="CH92" s="23"/>
      <c r="CI92" s="23"/>
      <c r="CJ92" s="23"/>
      <c r="CK92" s="23"/>
      <c r="CL92" s="23"/>
      <c r="CM92" s="23"/>
      <c r="CN92" s="23"/>
      <c r="CO92" s="23"/>
      <c r="CP92" s="23"/>
      <c r="CQ92" s="23"/>
      <c r="CR92" s="127" t="s">
        <v>829</v>
      </c>
      <c r="CS92" s="13" t="s">
        <v>570</v>
      </c>
      <c r="CT92" s="37" t="s">
        <v>452</v>
      </c>
      <c r="CU92" s="25">
        <v>0.05</v>
      </c>
      <c r="CV92" s="23">
        <v>42418</v>
      </c>
      <c r="CW92" s="30">
        <f t="shared" si="51"/>
        <v>0</v>
      </c>
      <c r="CX92" s="30"/>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31">
        <f t="shared" si="49"/>
        <v>0</v>
      </c>
      <c r="DZ92" s="13"/>
      <c r="EA92" s="13"/>
      <c r="EB92" s="13"/>
      <c r="EC92" s="13"/>
      <c r="ED92" s="13"/>
      <c r="EE92" s="13"/>
      <c r="EF92" s="13"/>
      <c r="EG92" s="13">
        <v>120</v>
      </c>
      <c r="EH92" s="13" t="s">
        <v>588</v>
      </c>
      <c r="EI92" s="23">
        <f t="shared" si="52"/>
        <v>42419</v>
      </c>
      <c r="EJ92" s="23">
        <f t="shared" si="53"/>
        <v>42539</v>
      </c>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25"/>
      <c r="FI92" s="25"/>
      <c r="FJ92" s="25">
        <v>0.26</v>
      </c>
      <c r="FK92" s="25">
        <v>0.37</v>
      </c>
      <c r="FL92" s="25">
        <v>0.37</v>
      </c>
      <c r="FM92" s="25">
        <v>0.37</v>
      </c>
      <c r="FN92" s="25">
        <v>0.37</v>
      </c>
      <c r="FO92" s="25">
        <v>0.37</v>
      </c>
      <c r="FP92" s="25">
        <v>0.76</v>
      </c>
      <c r="FQ92" s="25">
        <v>0.8</v>
      </c>
      <c r="FR92" s="25">
        <v>0.8</v>
      </c>
      <c r="FS92" s="25">
        <v>0.88</v>
      </c>
      <c r="FT92" s="25">
        <v>1</v>
      </c>
      <c r="FU92" s="25">
        <v>1</v>
      </c>
      <c r="FV92" s="25">
        <v>1</v>
      </c>
      <c r="FW92" s="25">
        <v>1</v>
      </c>
      <c r="FX92" s="25">
        <v>1</v>
      </c>
      <c r="FY92" s="25">
        <v>1</v>
      </c>
      <c r="FZ92" s="25">
        <v>1</v>
      </c>
      <c r="GA92" s="25">
        <v>1</v>
      </c>
      <c r="GB92" s="25">
        <v>1</v>
      </c>
      <c r="GC92" s="25">
        <v>1</v>
      </c>
      <c r="GD92" s="25">
        <v>1</v>
      </c>
      <c r="GE92" s="25">
        <v>1</v>
      </c>
      <c r="GF92" s="25">
        <v>1</v>
      </c>
      <c r="GG92" s="25">
        <v>1</v>
      </c>
      <c r="GH92" s="25">
        <v>1</v>
      </c>
      <c r="GI92" s="25">
        <v>1</v>
      </c>
      <c r="GJ92" s="25">
        <v>1</v>
      </c>
      <c r="GK92" s="25">
        <v>1</v>
      </c>
      <c r="GL92" s="25">
        <v>1</v>
      </c>
      <c r="GM92" s="25">
        <v>1</v>
      </c>
      <c r="GN92" s="25">
        <v>1</v>
      </c>
      <c r="GO92" s="25">
        <v>1</v>
      </c>
      <c r="GP92" s="25">
        <v>1</v>
      </c>
      <c r="GQ92" s="25">
        <v>1</v>
      </c>
      <c r="GR92" s="25">
        <v>1</v>
      </c>
      <c r="GS92" s="25">
        <v>1</v>
      </c>
      <c r="GT92" s="25">
        <v>1</v>
      </c>
      <c r="GU92" s="25">
        <v>1</v>
      </c>
      <c r="GV92" s="25" t="s">
        <v>1588</v>
      </c>
      <c r="GW92" s="25" t="s">
        <v>1588</v>
      </c>
      <c r="GX92" s="25" t="s">
        <v>1588</v>
      </c>
      <c r="GY92" s="25" t="s">
        <v>1588</v>
      </c>
      <c r="GZ92" s="25" t="s">
        <v>1588</v>
      </c>
      <c r="HA92" s="25" t="s">
        <v>1588</v>
      </c>
      <c r="HB92" s="25" t="s">
        <v>1588</v>
      </c>
      <c r="HC92" s="25" t="s">
        <v>1588</v>
      </c>
      <c r="HD92" s="25" t="s">
        <v>455</v>
      </c>
      <c r="HE92" s="25" t="s">
        <v>455</v>
      </c>
      <c r="HF92" s="25" t="s">
        <v>455</v>
      </c>
      <c r="HG92" s="25" t="s">
        <v>455</v>
      </c>
      <c r="HH92" s="25" t="s">
        <v>455</v>
      </c>
      <c r="HI92" s="25"/>
      <c r="HJ92" s="25"/>
      <c r="HK92" s="25"/>
      <c r="HL92" s="25"/>
      <c r="HM92" s="25"/>
      <c r="HN92" s="25"/>
      <c r="HO92" s="25" t="s">
        <v>1843</v>
      </c>
      <c r="HP92" s="25"/>
      <c r="HQ92" s="25"/>
      <c r="HR92" s="25"/>
      <c r="HS92" s="25"/>
      <c r="HT92" s="25"/>
      <c r="HU92" s="13" t="s">
        <v>858</v>
      </c>
      <c r="HV92" s="13"/>
      <c r="HW92" s="32"/>
      <c r="HX92" s="55"/>
      <c r="HY92" s="55"/>
      <c r="HZ92" s="55"/>
      <c r="IA92" s="55"/>
      <c r="IB92" s="55"/>
      <c r="IC92" s="55"/>
      <c r="ID92" s="55"/>
      <c r="IE92" s="55"/>
      <c r="IF92" s="107">
        <v>0</v>
      </c>
      <c r="IG92" s="107"/>
      <c r="IH92" s="250">
        <f t="shared" si="41"/>
        <v>0</v>
      </c>
      <c r="II92" s="55"/>
      <c r="IJ92" s="55"/>
      <c r="IK92" s="55"/>
      <c r="IL92" s="55"/>
      <c r="IM92" s="55"/>
      <c r="IN92" s="55"/>
      <c r="IO92" s="55"/>
      <c r="IP92" s="55"/>
      <c r="IQ92" s="55"/>
      <c r="IR92" s="55"/>
      <c r="IS92" s="55"/>
      <c r="IT92" s="55"/>
      <c r="IU92" s="55"/>
      <c r="IV92" s="55"/>
      <c r="IW92" s="55"/>
      <c r="IX92" s="55"/>
      <c r="IY92" s="55"/>
      <c r="IZ92" s="55"/>
      <c r="JA92" s="55"/>
      <c r="JB92" s="55"/>
      <c r="JC92" s="55"/>
      <c r="JD92" s="55">
        <v>2016</v>
      </c>
    </row>
    <row r="93" spans="1:265" s="5" customFormat="1" ht="24.95" hidden="1" customHeight="1">
      <c r="A93" s="26" t="s">
        <v>70</v>
      </c>
      <c r="B93" s="26" t="s">
        <v>27</v>
      </c>
      <c r="C93" s="13" t="s">
        <v>349</v>
      </c>
      <c r="D93" s="13" t="s">
        <v>380</v>
      </c>
      <c r="E93" s="16" t="s">
        <v>350</v>
      </c>
      <c r="F93" s="13" t="s">
        <v>350</v>
      </c>
      <c r="G93" s="26" t="s">
        <v>354</v>
      </c>
      <c r="H93" s="13" t="s">
        <v>1517</v>
      </c>
      <c r="I93" s="15" t="s">
        <v>861</v>
      </c>
      <c r="J93" s="26">
        <v>5</v>
      </c>
      <c r="K93" s="49" t="s">
        <v>375</v>
      </c>
      <c r="L93" s="26" t="s">
        <v>857</v>
      </c>
      <c r="M93" s="20" t="s">
        <v>75</v>
      </c>
      <c r="N93" s="20" t="s">
        <v>1953</v>
      </c>
      <c r="O93" s="13" t="s">
        <v>3</v>
      </c>
      <c r="P93" s="13" t="s">
        <v>4</v>
      </c>
      <c r="Q93" s="22" t="s">
        <v>1118</v>
      </c>
      <c r="R93" s="26" t="s">
        <v>857</v>
      </c>
      <c r="S93" s="13" t="s">
        <v>400</v>
      </c>
      <c r="T93" s="13" t="s">
        <v>1387</v>
      </c>
      <c r="U93" s="13" t="s">
        <v>479</v>
      </c>
      <c r="V93" s="24">
        <v>1291755751001</v>
      </c>
      <c r="W93" s="13" t="s">
        <v>936</v>
      </c>
      <c r="X93" s="13" t="s">
        <v>947</v>
      </c>
      <c r="Y93" s="13" t="s">
        <v>937</v>
      </c>
      <c r="Z93" s="13" t="s">
        <v>938</v>
      </c>
      <c r="AA93" s="49">
        <v>26368.76</v>
      </c>
      <c r="AB93" s="45">
        <v>0</v>
      </c>
      <c r="AC93" s="29">
        <v>0</v>
      </c>
      <c r="AD93" s="41"/>
      <c r="AE93" s="29">
        <v>0</v>
      </c>
      <c r="AF93" s="29">
        <f t="shared" si="47"/>
        <v>0</v>
      </c>
      <c r="AG93" s="25">
        <v>0.12</v>
      </c>
      <c r="AH93" s="29">
        <f t="shared" si="45"/>
        <v>0</v>
      </c>
      <c r="AI93" s="29">
        <f t="shared" si="46"/>
        <v>0</v>
      </c>
      <c r="AJ93" s="29">
        <f t="shared" si="36"/>
        <v>0</v>
      </c>
      <c r="AK93" s="29"/>
      <c r="AL93" s="29"/>
      <c r="AM93" s="29"/>
      <c r="AN93" s="41"/>
      <c r="AO93" s="41"/>
      <c r="AP93" s="41"/>
      <c r="AQ93" s="41"/>
      <c r="AR93" s="41"/>
      <c r="AS93" s="41"/>
      <c r="AT93" s="41"/>
      <c r="AU93" s="41"/>
      <c r="AV93" s="41"/>
      <c r="AW93" s="41"/>
      <c r="AX93" s="41"/>
      <c r="AY93" s="41"/>
      <c r="AZ93" s="41"/>
      <c r="BA93" s="41"/>
      <c r="BB93" s="41"/>
      <c r="BC93" s="41"/>
      <c r="BD93" s="37"/>
      <c r="BE93" s="37"/>
      <c r="BF93" s="29">
        <f t="shared" si="50"/>
        <v>0</v>
      </c>
      <c r="BG93" s="29">
        <f t="shared" si="48"/>
        <v>0</v>
      </c>
      <c r="BH93" s="37" t="s">
        <v>594</v>
      </c>
      <c r="BI93" s="29" t="s">
        <v>570</v>
      </c>
      <c r="BJ93" s="29" t="s">
        <v>570</v>
      </c>
      <c r="BK93" s="29" t="s">
        <v>570</v>
      </c>
      <c r="BL93" s="29" t="s">
        <v>570</v>
      </c>
      <c r="BM93" s="29" t="s">
        <v>570</v>
      </c>
      <c r="BN93" s="23">
        <v>42254</v>
      </c>
      <c r="BO93" s="23">
        <v>42270</v>
      </c>
      <c r="BP93" s="23">
        <v>42277</v>
      </c>
      <c r="BQ93" s="23">
        <v>42284</v>
      </c>
      <c r="BR93" s="13" t="s">
        <v>570</v>
      </c>
      <c r="BS93" s="23">
        <v>42291</v>
      </c>
      <c r="BT93" s="23">
        <v>42293</v>
      </c>
      <c r="BU93" s="13" t="s">
        <v>570</v>
      </c>
      <c r="BV93" s="13" t="s">
        <v>570</v>
      </c>
      <c r="BW93" s="224" t="s">
        <v>570</v>
      </c>
      <c r="BX93" s="23">
        <v>42293</v>
      </c>
      <c r="BY93" s="13" t="s">
        <v>570</v>
      </c>
      <c r="BZ93" s="23">
        <v>42293</v>
      </c>
      <c r="CA93" s="23">
        <v>42324</v>
      </c>
      <c r="CB93" s="224" t="s">
        <v>570</v>
      </c>
      <c r="CC93" s="224" t="s">
        <v>570</v>
      </c>
      <c r="CD93" s="224" t="s">
        <v>570</v>
      </c>
      <c r="CE93" s="23"/>
      <c r="CF93" s="127" t="s">
        <v>829</v>
      </c>
      <c r="CG93" s="23"/>
      <c r="CH93" s="23"/>
      <c r="CI93" s="23"/>
      <c r="CJ93" s="23"/>
      <c r="CK93" s="23"/>
      <c r="CL93" s="23"/>
      <c r="CM93" s="23"/>
      <c r="CN93" s="23"/>
      <c r="CO93" s="23"/>
      <c r="CP93" s="23"/>
      <c r="CQ93" s="23"/>
      <c r="CR93" s="127" t="s">
        <v>829</v>
      </c>
      <c r="CS93" s="13" t="s">
        <v>570</v>
      </c>
      <c r="CT93" s="37" t="s">
        <v>452</v>
      </c>
      <c r="CU93" s="25">
        <v>0.05</v>
      </c>
      <c r="CV93" s="23">
        <v>42418</v>
      </c>
      <c r="CW93" s="30">
        <f t="shared" si="51"/>
        <v>0</v>
      </c>
      <c r="CX93" s="30"/>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31">
        <f t="shared" si="49"/>
        <v>0</v>
      </c>
      <c r="DZ93" s="13"/>
      <c r="EA93" s="13"/>
      <c r="EB93" s="13"/>
      <c r="EC93" s="13"/>
      <c r="ED93" s="13"/>
      <c r="EE93" s="13"/>
      <c r="EF93" s="13"/>
      <c r="EG93" s="13">
        <v>120</v>
      </c>
      <c r="EH93" s="13" t="s">
        <v>588</v>
      </c>
      <c r="EI93" s="23">
        <f t="shared" si="52"/>
        <v>42419</v>
      </c>
      <c r="EJ93" s="23">
        <f t="shared" si="53"/>
        <v>42539</v>
      </c>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25"/>
      <c r="FI93" s="25"/>
      <c r="FJ93" s="25">
        <v>0.26</v>
      </c>
      <c r="FK93" s="25">
        <v>0.37</v>
      </c>
      <c r="FL93" s="25">
        <v>0.37</v>
      </c>
      <c r="FM93" s="25">
        <v>0.37</v>
      </c>
      <c r="FN93" s="25">
        <v>0.37</v>
      </c>
      <c r="FO93" s="25">
        <v>0.37</v>
      </c>
      <c r="FP93" s="25">
        <v>0.76</v>
      </c>
      <c r="FQ93" s="25">
        <v>0.8</v>
      </c>
      <c r="FR93" s="25">
        <v>0.8</v>
      </c>
      <c r="FS93" s="25">
        <v>0.88</v>
      </c>
      <c r="FT93" s="25">
        <v>1</v>
      </c>
      <c r="FU93" s="25">
        <v>1</v>
      </c>
      <c r="FV93" s="25">
        <v>1</v>
      </c>
      <c r="FW93" s="25">
        <v>1</v>
      </c>
      <c r="FX93" s="25">
        <v>1</v>
      </c>
      <c r="FY93" s="25">
        <v>1</v>
      </c>
      <c r="FZ93" s="25">
        <v>1</v>
      </c>
      <c r="GA93" s="25">
        <v>1</v>
      </c>
      <c r="GB93" s="25">
        <v>1</v>
      </c>
      <c r="GC93" s="25">
        <v>1</v>
      </c>
      <c r="GD93" s="25">
        <v>1</v>
      </c>
      <c r="GE93" s="25">
        <v>1</v>
      </c>
      <c r="GF93" s="25">
        <v>1</v>
      </c>
      <c r="GG93" s="25">
        <v>1</v>
      </c>
      <c r="GH93" s="25">
        <v>1</v>
      </c>
      <c r="GI93" s="25">
        <v>1</v>
      </c>
      <c r="GJ93" s="25">
        <v>1</v>
      </c>
      <c r="GK93" s="25">
        <v>1</v>
      </c>
      <c r="GL93" s="25">
        <v>1</v>
      </c>
      <c r="GM93" s="25">
        <v>1</v>
      </c>
      <c r="GN93" s="25">
        <v>1</v>
      </c>
      <c r="GO93" s="25">
        <v>1</v>
      </c>
      <c r="GP93" s="25">
        <v>1</v>
      </c>
      <c r="GQ93" s="25">
        <v>1</v>
      </c>
      <c r="GR93" s="25">
        <v>1</v>
      </c>
      <c r="GS93" s="25">
        <v>1</v>
      </c>
      <c r="GT93" s="25">
        <v>1</v>
      </c>
      <c r="GU93" s="25">
        <v>1</v>
      </c>
      <c r="GV93" s="25" t="s">
        <v>1588</v>
      </c>
      <c r="GW93" s="25" t="s">
        <v>1588</v>
      </c>
      <c r="GX93" s="25" t="s">
        <v>1588</v>
      </c>
      <c r="GY93" s="25" t="s">
        <v>1588</v>
      </c>
      <c r="GZ93" s="25" t="s">
        <v>1588</v>
      </c>
      <c r="HA93" s="25" t="s">
        <v>1588</v>
      </c>
      <c r="HB93" s="25" t="s">
        <v>1588</v>
      </c>
      <c r="HC93" s="25" t="s">
        <v>1588</v>
      </c>
      <c r="HD93" s="25" t="s">
        <v>1588</v>
      </c>
      <c r="HE93" s="25" t="s">
        <v>1588</v>
      </c>
      <c r="HF93" s="25" t="s">
        <v>1588</v>
      </c>
      <c r="HG93" s="25" t="s">
        <v>1588</v>
      </c>
      <c r="HH93" s="25" t="s">
        <v>1588</v>
      </c>
      <c r="HI93" s="25"/>
      <c r="HJ93" s="25"/>
      <c r="HK93" s="25"/>
      <c r="HL93" s="25"/>
      <c r="HM93" s="25"/>
      <c r="HN93" s="25"/>
      <c r="HO93" s="25" t="s">
        <v>1843</v>
      </c>
      <c r="HP93" s="25"/>
      <c r="HQ93" s="25"/>
      <c r="HR93" s="25"/>
      <c r="HS93" s="25"/>
      <c r="HT93" s="25"/>
      <c r="HU93" s="13" t="s">
        <v>858</v>
      </c>
      <c r="HV93" s="13"/>
      <c r="HW93" s="32"/>
      <c r="HX93" s="55"/>
      <c r="HY93" s="55"/>
      <c r="HZ93" s="55"/>
      <c r="IA93" s="55"/>
      <c r="IB93" s="55"/>
      <c r="IC93" s="55"/>
      <c r="ID93" s="55"/>
      <c r="IE93" s="55"/>
      <c r="IF93" s="107">
        <v>0</v>
      </c>
      <c r="IG93" s="107"/>
      <c r="IH93" s="250">
        <f t="shared" si="41"/>
        <v>0</v>
      </c>
      <c r="II93" s="55"/>
      <c r="IJ93" s="55"/>
      <c r="IK93" s="55"/>
      <c r="IL93" s="55"/>
      <c r="IM93" s="55"/>
      <c r="IN93" s="55"/>
      <c r="IO93" s="55"/>
      <c r="IP93" s="55"/>
      <c r="IQ93" s="55"/>
      <c r="IR93" s="55"/>
      <c r="IS93" s="55"/>
      <c r="IT93" s="55"/>
      <c r="IU93" s="55"/>
      <c r="IV93" s="55"/>
      <c r="IW93" s="55"/>
      <c r="IX93" s="55"/>
      <c r="IY93" s="55"/>
      <c r="IZ93" s="55"/>
      <c r="JA93" s="55"/>
      <c r="JB93" s="55"/>
      <c r="JC93" s="55"/>
      <c r="JD93" s="55">
        <v>2016</v>
      </c>
    </row>
    <row r="94" spans="1:265" s="5" customFormat="1" ht="24.95" hidden="1" customHeight="1">
      <c r="A94" s="26" t="s">
        <v>70</v>
      </c>
      <c r="B94" s="26" t="s">
        <v>27</v>
      </c>
      <c r="C94" s="13" t="s">
        <v>349</v>
      </c>
      <c r="D94" s="13" t="s">
        <v>380</v>
      </c>
      <c r="E94" s="16" t="s">
        <v>360</v>
      </c>
      <c r="F94" s="13" t="s">
        <v>360</v>
      </c>
      <c r="G94" s="26" t="s">
        <v>354</v>
      </c>
      <c r="H94" s="13" t="s">
        <v>1517</v>
      </c>
      <c r="I94" s="21" t="s">
        <v>77</v>
      </c>
      <c r="J94" s="26">
        <v>6</v>
      </c>
      <c r="K94" s="49" t="s">
        <v>375</v>
      </c>
      <c r="L94" s="26" t="s">
        <v>76</v>
      </c>
      <c r="M94" s="20" t="s">
        <v>77</v>
      </c>
      <c r="N94" s="20"/>
      <c r="O94" s="13" t="s">
        <v>3</v>
      </c>
      <c r="P94" s="13" t="s">
        <v>4</v>
      </c>
      <c r="Q94" s="22" t="s">
        <v>1118</v>
      </c>
      <c r="R94" s="26" t="s">
        <v>76</v>
      </c>
      <c r="S94" s="13" t="s">
        <v>712</v>
      </c>
      <c r="T94" s="13" t="s">
        <v>1387</v>
      </c>
      <c r="U94" s="13" t="s">
        <v>479</v>
      </c>
      <c r="V94" s="13" t="s">
        <v>711</v>
      </c>
      <c r="W94" s="13" t="s">
        <v>936</v>
      </c>
      <c r="X94" s="13" t="s">
        <v>947</v>
      </c>
      <c r="Y94" s="13" t="s">
        <v>931</v>
      </c>
      <c r="Z94" s="13" t="s">
        <v>932</v>
      </c>
      <c r="AA94" s="41"/>
      <c r="AB94" s="45">
        <v>100391.71</v>
      </c>
      <c r="AC94" s="29">
        <v>0</v>
      </c>
      <c r="AD94" s="41">
        <v>100391.71</v>
      </c>
      <c r="AE94" s="29">
        <v>0</v>
      </c>
      <c r="AF94" s="29">
        <f t="shared" si="47"/>
        <v>100391.71</v>
      </c>
      <c r="AG94" s="25">
        <v>0.12</v>
      </c>
      <c r="AH94" s="29">
        <f t="shared" si="45"/>
        <v>12047.0052</v>
      </c>
      <c r="AI94" s="29">
        <f t="shared" si="46"/>
        <v>0</v>
      </c>
      <c r="AJ94" s="29">
        <f t="shared" ref="AJ94:AJ125" si="54">AF94*1.12</f>
        <v>112438.71520000002</v>
      </c>
      <c r="AK94" s="29">
        <v>98589.58</v>
      </c>
      <c r="AL94" s="29">
        <f>AB94-AK94</f>
        <v>1802.1300000000047</v>
      </c>
      <c r="AM94" s="29"/>
      <c r="AN94" s="41"/>
      <c r="AO94" s="41">
        <v>100391.70535714286</v>
      </c>
      <c r="AP94" s="41"/>
      <c r="AQ94" s="41">
        <v>98608.86</v>
      </c>
      <c r="AR94" s="41"/>
      <c r="AS94" s="41"/>
      <c r="AT94" s="41"/>
      <c r="AU94" s="41"/>
      <c r="AV94" s="41"/>
      <c r="AW94" s="41"/>
      <c r="AX94" s="41"/>
      <c r="AY94" s="41"/>
      <c r="AZ94" s="41"/>
      <c r="BA94" s="41"/>
      <c r="BB94" s="41"/>
      <c r="BC94" s="41"/>
      <c r="BD94" s="37"/>
      <c r="BE94" s="37"/>
      <c r="BF94" s="29">
        <f t="shared" si="50"/>
        <v>1782.8500000000058</v>
      </c>
      <c r="BG94" s="29">
        <f t="shared" si="48"/>
        <v>1782.8500000000058</v>
      </c>
      <c r="BH94" s="37" t="s">
        <v>594</v>
      </c>
      <c r="BI94" s="29" t="s">
        <v>570</v>
      </c>
      <c r="BJ94" s="29" t="s">
        <v>570</v>
      </c>
      <c r="BK94" s="29" t="s">
        <v>570</v>
      </c>
      <c r="BL94" s="29" t="s">
        <v>570</v>
      </c>
      <c r="BM94" s="29" t="s">
        <v>570</v>
      </c>
      <c r="BN94" s="23">
        <v>42249</v>
      </c>
      <c r="BO94" s="23">
        <v>42265</v>
      </c>
      <c r="BP94" s="23">
        <v>42272</v>
      </c>
      <c r="BQ94" s="23">
        <v>42279</v>
      </c>
      <c r="BR94" s="13" t="s">
        <v>570</v>
      </c>
      <c r="BS94" s="23">
        <v>42284</v>
      </c>
      <c r="BT94" s="23">
        <v>42286</v>
      </c>
      <c r="BU94" s="13" t="s">
        <v>570</v>
      </c>
      <c r="BV94" s="13" t="s">
        <v>570</v>
      </c>
      <c r="BW94" s="224" t="s">
        <v>570</v>
      </c>
      <c r="BX94" s="23">
        <v>42293</v>
      </c>
      <c r="BY94" s="13" t="s">
        <v>570</v>
      </c>
      <c r="BZ94" s="23">
        <v>42296</v>
      </c>
      <c r="CA94" s="23">
        <v>42321</v>
      </c>
      <c r="CB94" s="224" t="s">
        <v>570</v>
      </c>
      <c r="CC94" s="224" t="s">
        <v>570</v>
      </c>
      <c r="CD94" s="224" t="s">
        <v>570</v>
      </c>
      <c r="CE94" s="23"/>
      <c r="CF94" s="127" t="s">
        <v>829</v>
      </c>
      <c r="CG94" s="23"/>
      <c r="CH94" s="23"/>
      <c r="CI94" s="23"/>
      <c r="CJ94" s="23"/>
      <c r="CK94" s="23"/>
      <c r="CL94" s="23"/>
      <c r="CM94" s="23"/>
      <c r="CN94" s="23"/>
      <c r="CO94" s="23"/>
      <c r="CP94" s="23"/>
      <c r="CQ94" s="23"/>
      <c r="CR94" s="127" t="s">
        <v>829</v>
      </c>
      <c r="CS94" s="13" t="s">
        <v>570</v>
      </c>
      <c r="CT94" s="37" t="s">
        <v>452</v>
      </c>
      <c r="CU94" s="25">
        <v>0.05</v>
      </c>
      <c r="CV94" s="23">
        <v>42353</v>
      </c>
      <c r="CW94" s="30">
        <f t="shared" si="51"/>
        <v>49304.43</v>
      </c>
      <c r="CX94" s="30"/>
      <c r="CY94" s="23">
        <v>42646</v>
      </c>
      <c r="CZ94" s="30">
        <f>98589.58-49304.43</f>
        <v>49285.15</v>
      </c>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31">
        <f t="shared" si="49"/>
        <v>98589.58</v>
      </c>
      <c r="DZ94" s="13"/>
      <c r="EA94" s="13"/>
      <c r="EB94" s="13"/>
      <c r="EC94" s="13"/>
      <c r="ED94" s="13"/>
      <c r="EE94" s="13"/>
      <c r="EF94" s="13"/>
      <c r="EG94" s="13">
        <v>120</v>
      </c>
      <c r="EH94" s="13" t="s">
        <v>588</v>
      </c>
      <c r="EI94" s="23">
        <f t="shared" si="52"/>
        <v>42354</v>
      </c>
      <c r="EJ94" s="23">
        <f t="shared" si="53"/>
        <v>42474</v>
      </c>
      <c r="EK94" s="13"/>
      <c r="EL94" s="13"/>
      <c r="EM94" s="13"/>
      <c r="EN94" s="13"/>
      <c r="EO94" s="13"/>
      <c r="EP94" s="13"/>
      <c r="EQ94" s="13"/>
      <c r="ER94" s="13"/>
      <c r="ES94" s="13"/>
      <c r="ET94" s="13"/>
      <c r="EU94" s="13"/>
      <c r="EV94" s="13"/>
      <c r="EW94" s="13"/>
      <c r="EX94" s="13"/>
      <c r="EY94" s="13"/>
      <c r="EZ94" s="13"/>
      <c r="FA94" s="13"/>
      <c r="FB94" s="13"/>
      <c r="FC94" s="13"/>
      <c r="FD94" s="13"/>
      <c r="FE94" s="13"/>
      <c r="FF94" s="13" t="s">
        <v>503</v>
      </c>
      <c r="FG94" s="13"/>
      <c r="FH94" s="25"/>
      <c r="FI94" s="25"/>
      <c r="FJ94" s="25"/>
      <c r="FK94" s="25"/>
      <c r="FL94" s="25"/>
      <c r="FM94" s="25"/>
      <c r="FN94" s="25"/>
      <c r="FO94" s="25"/>
      <c r="FP94" s="25"/>
      <c r="FQ94" s="25"/>
      <c r="FR94" s="25"/>
      <c r="FS94" s="25">
        <v>1</v>
      </c>
      <c r="FT94" s="25">
        <v>1</v>
      </c>
      <c r="FU94" s="25">
        <v>1</v>
      </c>
      <c r="FV94" s="25">
        <v>1</v>
      </c>
      <c r="FW94" s="25">
        <v>1</v>
      </c>
      <c r="FX94" s="25">
        <v>1</v>
      </c>
      <c r="FY94" s="25">
        <v>1</v>
      </c>
      <c r="FZ94" s="25">
        <v>1</v>
      </c>
      <c r="GA94" s="25">
        <v>1</v>
      </c>
      <c r="GB94" s="25">
        <v>1</v>
      </c>
      <c r="GC94" s="25">
        <v>1</v>
      </c>
      <c r="GD94" s="25">
        <v>1</v>
      </c>
      <c r="GE94" s="25">
        <v>1</v>
      </c>
      <c r="GF94" s="25">
        <v>1</v>
      </c>
      <c r="GG94" s="25">
        <v>1</v>
      </c>
      <c r="GH94" s="25">
        <v>1</v>
      </c>
      <c r="GI94" s="25">
        <v>1</v>
      </c>
      <c r="GJ94" s="25">
        <v>1</v>
      </c>
      <c r="GK94" s="25">
        <v>1</v>
      </c>
      <c r="GL94" s="25">
        <v>1</v>
      </c>
      <c r="GM94" s="25">
        <v>1</v>
      </c>
      <c r="GN94" s="25">
        <v>1</v>
      </c>
      <c r="GO94" s="25">
        <v>1</v>
      </c>
      <c r="GP94" s="25">
        <v>1</v>
      </c>
      <c r="GQ94" s="25">
        <v>1</v>
      </c>
      <c r="GR94" s="25">
        <v>1</v>
      </c>
      <c r="GS94" s="25">
        <v>1</v>
      </c>
      <c r="GT94" s="25">
        <v>1</v>
      </c>
      <c r="GU94" s="25">
        <v>1</v>
      </c>
      <c r="GV94" s="25" t="s">
        <v>455</v>
      </c>
      <c r="GW94" s="25" t="s">
        <v>455</v>
      </c>
      <c r="GX94" s="25" t="s">
        <v>455</v>
      </c>
      <c r="GY94" s="25" t="s">
        <v>455</v>
      </c>
      <c r="GZ94" s="25" t="s">
        <v>455</v>
      </c>
      <c r="HA94" s="25" t="s">
        <v>455</v>
      </c>
      <c r="HB94" s="25" t="s">
        <v>455</v>
      </c>
      <c r="HC94" s="25" t="s">
        <v>455</v>
      </c>
      <c r="HD94" s="25" t="s">
        <v>455</v>
      </c>
      <c r="HE94" s="25" t="s">
        <v>455</v>
      </c>
      <c r="HF94" s="25" t="s">
        <v>455</v>
      </c>
      <c r="HG94" s="25" t="s">
        <v>455</v>
      </c>
      <c r="HH94" s="25" t="s">
        <v>455</v>
      </c>
      <c r="HI94" s="25"/>
      <c r="HJ94" s="25"/>
      <c r="HK94" s="25"/>
      <c r="HL94" s="25"/>
      <c r="HM94" s="25"/>
      <c r="HN94" s="25"/>
      <c r="HO94" s="25"/>
      <c r="HP94" s="25"/>
      <c r="HQ94" s="25"/>
      <c r="HR94" s="25"/>
      <c r="HS94" s="25"/>
      <c r="HT94" s="25"/>
      <c r="HU94" s="13"/>
      <c r="HV94" s="13"/>
      <c r="HW94" s="32"/>
      <c r="HX94" s="55"/>
      <c r="HY94" s="55"/>
      <c r="HZ94" s="55"/>
      <c r="IA94" s="55"/>
      <c r="IB94" s="55"/>
      <c r="IC94" s="55"/>
      <c r="ID94" s="55"/>
      <c r="IE94" s="55"/>
      <c r="IF94" s="107">
        <v>100391.71</v>
      </c>
      <c r="IG94" s="107">
        <v>98589.58</v>
      </c>
      <c r="IH94" s="250">
        <f t="shared" ref="IH94:IH125" si="55">AK94-IG94</f>
        <v>0</v>
      </c>
      <c r="II94" s="55"/>
      <c r="IJ94" s="55"/>
      <c r="IK94" s="55"/>
      <c r="IL94" s="55"/>
      <c r="IM94" s="55"/>
      <c r="IN94" s="55"/>
      <c r="IO94" s="55"/>
      <c r="IP94" s="55"/>
      <c r="IQ94" s="55"/>
      <c r="IR94" s="55"/>
      <c r="IS94" s="55"/>
      <c r="IT94" s="55"/>
      <c r="IU94" s="55"/>
      <c r="IV94" s="55"/>
      <c r="IW94" s="55"/>
      <c r="IX94" s="55"/>
      <c r="IY94" s="55"/>
      <c r="IZ94" s="55"/>
      <c r="JA94" s="55"/>
      <c r="JB94" s="55"/>
      <c r="JC94" s="55"/>
      <c r="JD94" s="55">
        <v>2016</v>
      </c>
    </row>
    <row r="95" spans="1:265" s="5" customFormat="1" ht="24.95" hidden="1" customHeight="1">
      <c r="A95" s="26" t="s">
        <v>70</v>
      </c>
      <c r="B95" s="26" t="s">
        <v>27</v>
      </c>
      <c r="C95" s="13" t="s">
        <v>349</v>
      </c>
      <c r="D95" s="13" t="s">
        <v>380</v>
      </c>
      <c r="E95" s="16" t="s">
        <v>360</v>
      </c>
      <c r="F95" s="13" t="s">
        <v>360</v>
      </c>
      <c r="G95" s="26" t="s">
        <v>354</v>
      </c>
      <c r="H95" s="13" t="s">
        <v>1517</v>
      </c>
      <c r="I95" s="21" t="s">
        <v>79</v>
      </c>
      <c r="J95" s="26">
        <v>7</v>
      </c>
      <c r="K95" s="49" t="s">
        <v>375</v>
      </c>
      <c r="L95" s="26" t="s">
        <v>78</v>
      </c>
      <c r="M95" s="20" t="s">
        <v>79</v>
      </c>
      <c r="N95" s="20"/>
      <c r="O95" s="13" t="s">
        <v>3</v>
      </c>
      <c r="P95" s="13" t="s">
        <v>4</v>
      </c>
      <c r="Q95" s="22" t="s">
        <v>1118</v>
      </c>
      <c r="R95" s="26" t="s">
        <v>78</v>
      </c>
      <c r="S95" s="13" t="s">
        <v>398</v>
      </c>
      <c r="T95" s="13" t="s">
        <v>1387</v>
      </c>
      <c r="U95" s="13" t="s">
        <v>477</v>
      </c>
      <c r="V95" s="24">
        <v>1302573876001</v>
      </c>
      <c r="W95" s="13" t="s">
        <v>936</v>
      </c>
      <c r="X95" s="13" t="s">
        <v>947</v>
      </c>
      <c r="Y95" s="13" t="s">
        <v>939</v>
      </c>
      <c r="Z95" s="13" t="s">
        <v>940</v>
      </c>
      <c r="AA95" s="41"/>
      <c r="AB95" s="45">
        <v>130697.63</v>
      </c>
      <c r="AC95" s="29">
        <v>0</v>
      </c>
      <c r="AD95" s="41">
        <v>130697.63</v>
      </c>
      <c r="AE95" s="29">
        <v>0</v>
      </c>
      <c r="AF95" s="29">
        <f t="shared" si="47"/>
        <v>130697.63</v>
      </c>
      <c r="AG95" s="25">
        <v>0.12</v>
      </c>
      <c r="AH95" s="29">
        <f t="shared" si="45"/>
        <v>15683.7156</v>
      </c>
      <c r="AI95" s="29">
        <f t="shared" si="46"/>
        <v>0</v>
      </c>
      <c r="AJ95" s="29">
        <f t="shared" si="54"/>
        <v>146381.34560000003</v>
      </c>
      <c r="AK95" s="29">
        <v>128711.76000000001</v>
      </c>
      <c r="AL95" s="29">
        <f>AB95-AK95</f>
        <v>1985.8699999999953</v>
      </c>
      <c r="AM95" s="29"/>
      <c r="AN95" s="41"/>
      <c r="AO95" s="41">
        <v>130697.62499999999</v>
      </c>
      <c r="AP95" s="41"/>
      <c r="AQ95" s="41">
        <v>128716.76</v>
      </c>
      <c r="AR95" s="41"/>
      <c r="AS95" s="41"/>
      <c r="AT95" s="41"/>
      <c r="AU95" s="41"/>
      <c r="AV95" s="41"/>
      <c r="AW95" s="41"/>
      <c r="AX95" s="41"/>
      <c r="AY95" s="41"/>
      <c r="AZ95" s="41"/>
      <c r="BA95" s="41"/>
      <c r="BB95" s="41"/>
      <c r="BC95" s="41"/>
      <c r="BD95" s="37"/>
      <c r="BE95" s="37"/>
      <c r="BF95" s="29">
        <f t="shared" si="50"/>
        <v>1980.8700000000099</v>
      </c>
      <c r="BG95" s="29">
        <f t="shared" si="48"/>
        <v>1980.8700000000099</v>
      </c>
      <c r="BH95" s="37" t="s">
        <v>594</v>
      </c>
      <c r="BI95" s="29" t="s">
        <v>570</v>
      </c>
      <c r="BJ95" s="29" t="s">
        <v>570</v>
      </c>
      <c r="BK95" s="29" t="s">
        <v>570</v>
      </c>
      <c r="BL95" s="29" t="s">
        <v>570</v>
      </c>
      <c r="BM95" s="29" t="s">
        <v>570</v>
      </c>
      <c r="BN95" s="23">
        <v>42249</v>
      </c>
      <c r="BO95" s="23">
        <v>42265</v>
      </c>
      <c r="BP95" s="23">
        <v>42272</v>
      </c>
      <c r="BQ95" s="23">
        <v>42279</v>
      </c>
      <c r="BR95" s="13" t="s">
        <v>570</v>
      </c>
      <c r="BS95" s="23">
        <v>42284</v>
      </c>
      <c r="BT95" s="23">
        <v>42286</v>
      </c>
      <c r="BU95" s="13" t="s">
        <v>570</v>
      </c>
      <c r="BV95" s="13" t="s">
        <v>570</v>
      </c>
      <c r="BW95" s="224" t="s">
        <v>570</v>
      </c>
      <c r="BX95" s="23">
        <v>42293</v>
      </c>
      <c r="BY95" s="13" t="s">
        <v>570</v>
      </c>
      <c r="BZ95" s="23">
        <v>42296</v>
      </c>
      <c r="CA95" s="23">
        <v>42313</v>
      </c>
      <c r="CB95" s="224" t="s">
        <v>570</v>
      </c>
      <c r="CC95" s="224" t="s">
        <v>570</v>
      </c>
      <c r="CD95" s="224" t="s">
        <v>570</v>
      </c>
      <c r="CE95" s="23"/>
      <c r="CF95" s="127" t="s">
        <v>829</v>
      </c>
      <c r="CG95" s="23"/>
      <c r="CH95" s="23"/>
      <c r="CI95" s="23"/>
      <c r="CJ95" s="23"/>
      <c r="CK95" s="23"/>
      <c r="CL95" s="23"/>
      <c r="CM95" s="23"/>
      <c r="CN95" s="23"/>
      <c r="CO95" s="23"/>
      <c r="CP95" s="23"/>
      <c r="CQ95" s="23"/>
      <c r="CR95" s="127" t="s">
        <v>829</v>
      </c>
      <c r="CS95" s="13" t="s">
        <v>570</v>
      </c>
      <c r="CT95" s="37" t="s">
        <v>452</v>
      </c>
      <c r="CU95" s="25">
        <v>0.05</v>
      </c>
      <c r="CV95" s="23">
        <v>42353</v>
      </c>
      <c r="CW95" s="30">
        <f t="shared" si="51"/>
        <v>64358.38</v>
      </c>
      <c r="CX95" s="30"/>
      <c r="CY95" s="23">
        <v>42671</v>
      </c>
      <c r="CZ95" s="30">
        <f>128711.77-64358.39</f>
        <v>64353.380000000005</v>
      </c>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31">
        <f t="shared" si="49"/>
        <v>128711.76000000001</v>
      </c>
      <c r="DZ95" s="13"/>
      <c r="EA95" s="13"/>
      <c r="EB95" s="13"/>
      <c r="EC95" s="13"/>
      <c r="ED95" s="13"/>
      <c r="EE95" s="13"/>
      <c r="EF95" s="13"/>
      <c r="EG95" s="13">
        <v>120</v>
      </c>
      <c r="EH95" s="13" t="s">
        <v>588</v>
      </c>
      <c r="EI95" s="23">
        <f t="shared" si="52"/>
        <v>42354</v>
      </c>
      <c r="EJ95" s="23">
        <f t="shared" si="53"/>
        <v>42474</v>
      </c>
      <c r="EK95" s="13"/>
      <c r="EL95" s="13"/>
      <c r="EM95" s="13"/>
      <c r="EN95" s="13"/>
      <c r="EO95" s="13"/>
      <c r="EP95" s="13"/>
      <c r="EQ95" s="13"/>
      <c r="ER95" s="13"/>
      <c r="ES95" s="13"/>
      <c r="ET95" s="13"/>
      <c r="EU95" s="13"/>
      <c r="EV95" s="13"/>
      <c r="EW95" s="13"/>
      <c r="EX95" s="13"/>
      <c r="EY95" s="13"/>
      <c r="EZ95" s="13"/>
      <c r="FA95" s="13"/>
      <c r="FB95" s="13"/>
      <c r="FC95" s="13"/>
      <c r="FD95" s="13"/>
      <c r="FE95" s="13"/>
      <c r="FF95" s="13" t="s">
        <v>503</v>
      </c>
      <c r="FG95" s="13"/>
      <c r="FH95" s="25"/>
      <c r="FI95" s="25"/>
      <c r="FJ95" s="25"/>
      <c r="FK95" s="25"/>
      <c r="FL95" s="25"/>
      <c r="FM95" s="25"/>
      <c r="FN95" s="25"/>
      <c r="FO95" s="25"/>
      <c r="FP95" s="25"/>
      <c r="FQ95" s="25"/>
      <c r="FR95" s="25"/>
      <c r="FS95" s="25">
        <v>1</v>
      </c>
      <c r="FT95" s="25">
        <v>1</v>
      </c>
      <c r="FU95" s="25">
        <v>1</v>
      </c>
      <c r="FV95" s="25">
        <v>1</v>
      </c>
      <c r="FW95" s="25">
        <v>1</v>
      </c>
      <c r="FX95" s="25">
        <v>1</v>
      </c>
      <c r="FY95" s="25">
        <v>1</v>
      </c>
      <c r="FZ95" s="25">
        <v>1</v>
      </c>
      <c r="GA95" s="25">
        <v>1</v>
      </c>
      <c r="GB95" s="25">
        <v>1</v>
      </c>
      <c r="GC95" s="25">
        <v>1</v>
      </c>
      <c r="GD95" s="25">
        <v>1</v>
      </c>
      <c r="GE95" s="25">
        <v>1</v>
      </c>
      <c r="GF95" s="25">
        <v>1</v>
      </c>
      <c r="GG95" s="25">
        <v>1</v>
      </c>
      <c r="GH95" s="25">
        <v>1</v>
      </c>
      <c r="GI95" s="25">
        <v>1</v>
      </c>
      <c r="GJ95" s="25">
        <v>1</v>
      </c>
      <c r="GK95" s="25">
        <v>1</v>
      </c>
      <c r="GL95" s="25">
        <v>1</v>
      </c>
      <c r="GM95" s="25">
        <v>1</v>
      </c>
      <c r="GN95" s="25">
        <v>1</v>
      </c>
      <c r="GO95" s="25">
        <v>1</v>
      </c>
      <c r="GP95" s="25">
        <v>1</v>
      </c>
      <c r="GQ95" s="25">
        <v>1</v>
      </c>
      <c r="GR95" s="25">
        <v>1</v>
      </c>
      <c r="GS95" s="25">
        <v>1</v>
      </c>
      <c r="GT95" s="25">
        <v>1</v>
      </c>
      <c r="GU95" s="25">
        <v>1</v>
      </c>
      <c r="GV95" s="25" t="s">
        <v>455</v>
      </c>
      <c r="GW95" s="25" t="s">
        <v>455</v>
      </c>
      <c r="GX95" s="25" t="s">
        <v>455</v>
      </c>
      <c r="GY95" s="25" t="s">
        <v>455</v>
      </c>
      <c r="GZ95" s="25" t="s">
        <v>455</v>
      </c>
      <c r="HA95" s="25" t="s">
        <v>455</v>
      </c>
      <c r="HB95" s="25" t="s">
        <v>455</v>
      </c>
      <c r="HC95" s="25" t="s">
        <v>455</v>
      </c>
      <c r="HD95" s="25" t="s">
        <v>455</v>
      </c>
      <c r="HE95" s="25" t="s">
        <v>455</v>
      </c>
      <c r="HF95" s="25" t="s">
        <v>455</v>
      </c>
      <c r="HG95" s="25" t="s">
        <v>455</v>
      </c>
      <c r="HH95" s="25" t="s">
        <v>455</v>
      </c>
      <c r="HI95" s="25"/>
      <c r="HJ95" s="25"/>
      <c r="HK95" s="25"/>
      <c r="HL95" s="25"/>
      <c r="HM95" s="25"/>
      <c r="HN95" s="25"/>
      <c r="HO95" s="25"/>
      <c r="HP95" s="25"/>
      <c r="HQ95" s="25"/>
      <c r="HR95" s="25"/>
      <c r="HS95" s="25"/>
      <c r="HT95" s="25"/>
      <c r="HU95" s="13"/>
      <c r="HV95" s="13"/>
      <c r="HW95" s="32"/>
      <c r="HX95" s="55"/>
      <c r="HY95" s="55"/>
      <c r="HZ95" s="55"/>
      <c r="IA95" s="55"/>
      <c r="IB95" s="55"/>
      <c r="IC95" s="55"/>
      <c r="ID95" s="55"/>
      <c r="IE95" s="55"/>
      <c r="IF95" s="107">
        <v>130697.63</v>
      </c>
      <c r="IG95" s="107">
        <v>128711.76000000001</v>
      </c>
      <c r="IH95" s="250">
        <f t="shared" si="55"/>
        <v>0</v>
      </c>
      <c r="II95" s="55"/>
      <c r="IJ95" s="55"/>
      <c r="IK95" s="55"/>
      <c r="IL95" s="55"/>
      <c r="IM95" s="55"/>
      <c r="IN95" s="55"/>
      <c r="IO95" s="55"/>
      <c r="IP95" s="55"/>
      <c r="IQ95" s="55"/>
      <c r="IR95" s="55"/>
      <c r="IS95" s="55"/>
      <c r="IT95" s="55"/>
      <c r="IU95" s="55"/>
      <c r="IV95" s="55"/>
      <c r="IW95" s="55"/>
      <c r="IX95" s="55"/>
      <c r="IY95" s="55"/>
      <c r="IZ95" s="55"/>
      <c r="JA95" s="55"/>
      <c r="JB95" s="55"/>
      <c r="JC95" s="55"/>
      <c r="JD95" s="55">
        <v>2016</v>
      </c>
    </row>
    <row r="96" spans="1:265" s="5" customFormat="1" ht="24.95" hidden="1" customHeight="1">
      <c r="A96" s="26" t="s">
        <v>70</v>
      </c>
      <c r="B96" s="26" t="s">
        <v>27</v>
      </c>
      <c r="C96" s="13" t="s">
        <v>349</v>
      </c>
      <c r="D96" s="13" t="s">
        <v>380</v>
      </c>
      <c r="E96" s="16" t="s">
        <v>360</v>
      </c>
      <c r="F96" s="13" t="s">
        <v>360</v>
      </c>
      <c r="G96" s="26" t="s">
        <v>354</v>
      </c>
      <c r="H96" s="13" t="s">
        <v>1517</v>
      </c>
      <c r="I96" s="21" t="s">
        <v>81</v>
      </c>
      <c r="J96" s="26">
        <v>8</v>
      </c>
      <c r="K96" s="49" t="s">
        <v>375</v>
      </c>
      <c r="L96" s="26" t="s">
        <v>80</v>
      </c>
      <c r="M96" s="20" t="s">
        <v>81</v>
      </c>
      <c r="N96" s="20"/>
      <c r="O96" s="13" t="s">
        <v>3</v>
      </c>
      <c r="P96" s="13" t="s">
        <v>4</v>
      </c>
      <c r="Q96" s="22" t="s">
        <v>1118</v>
      </c>
      <c r="R96" s="26" t="s">
        <v>80</v>
      </c>
      <c r="S96" s="13" t="s">
        <v>698</v>
      </c>
      <c r="T96" s="13" t="s">
        <v>1387</v>
      </c>
      <c r="U96" s="13" t="s">
        <v>479</v>
      </c>
      <c r="V96" s="13" t="s">
        <v>699</v>
      </c>
      <c r="W96" s="13" t="s">
        <v>936</v>
      </c>
      <c r="X96" s="13" t="s">
        <v>947</v>
      </c>
      <c r="Y96" s="13" t="s">
        <v>931</v>
      </c>
      <c r="Z96" s="13" t="s">
        <v>932</v>
      </c>
      <c r="AA96" s="41"/>
      <c r="AB96" s="45">
        <v>198302.56</v>
      </c>
      <c r="AC96" s="29">
        <v>0</v>
      </c>
      <c r="AD96" s="41">
        <v>198302.56</v>
      </c>
      <c r="AE96" s="29">
        <v>0</v>
      </c>
      <c r="AF96" s="29">
        <f t="shared" si="47"/>
        <v>198302.56</v>
      </c>
      <c r="AG96" s="25">
        <v>0.12</v>
      </c>
      <c r="AH96" s="29">
        <f t="shared" si="45"/>
        <v>23796.307199999999</v>
      </c>
      <c r="AI96" s="29">
        <f t="shared" si="46"/>
        <v>0</v>
      </c>
      <c r="AJ96" s="29">
        <f t="shared" si="54"/>
        <v>222098.86720000001</v>
      </c>
      <c r="AK96" s="29">
        <v>188858.12</v>
      </c>
      <c r="AL96" s="29">
        <f>AB96-AK96</f>
        <v>9444.4400000000023</v>
      </c>
      <c r="AM96" s="29"/>
      <c r="AN96" s="41"/>
      <c r="AO96" s="41">
        <v>198302.55</v>
      </c>
      <c r="AP96" s="41"/>
      <c r="AQ96" s="41">
        <v>188859.57</v>
      </c>
      <c r="AR96" s="41"/>
      <c r="AS96" s="41"/>
      <c r="AT96" s="41"/>
      <c r="AU96" s="41"/>
      <c r="AV96" s="41"/>
      <c r="AW96" s="41"/>
      <c r="AX96" s="41"/>
      <c r="AY96" s="41"/>
      <c r="AZ96" s="41"/>
      <c r="BA96" s="41"/>
      <c r="BB96" s="41"/>
      <c r="BC96" s="41"/>
      <c r="BD96" s="37"/>
      <c r="BE96" s="37"/>
      <c r="BF96" s="29">
        <f t="shared" si="50"/>
        <v>9442.9899999999907</v>
      </c>
      <c r="BG96" s="29">
        <f t="shared" si="48"/>
        <v>9442.9899999999907</v>
      </c>
      <c r="BH96" s="37" t="s">
        <v>503</v>
      </c>
      <c r="BI96" s="29" t="s">
        <v>570</v>
      </c>
      <c r="BJ96" s="29" t="s">
        <v>570</v>
      </c>
      <c r="BK96" s="29" t="s">
        <v>570</v>
      </c>
      <c r="BL96" s="29" t="s">
        <v>570</v>
      </c>
      <c r="BM96" s="29" t="s">
        <v>570</v>
      </c>
      <c r="BN96" s="13"/>
      <c r="BO96" s="13"/>
      <c r="BP96" s="13"/>
      <c r="BQ96" s="13"/>
      <c r="BR96" s="13"/>
      <c r="BS96" s="13"/>
      <c r="BT96" s="13"/>
      <c r="BU96" s="13" t="s">
        <v>570</v>
      </c>
      <c r="BV96" s="13" t="s">
        <v>570</v>
      </c>
      <c r="BW96" s="224" t="s">
        <v>570</v>
      </c>
      <c r="BX96" s="23">
        <v>42293</v>
      </c>
      <c r="BY96" s="13" t="s">
        <v>570</v>
      </c>
      <c r="BZ96" s="23">
        <v>42296</v>
      </c>
      <c r="CA96" s="23">
        <v>42317</v>
      </c>
      <c r="CB96" s="224" t="s">
        <v>570</v>
      </c>
      <c r="CC96" s="224" t="s">
        <v>570</v>
      </c>
      <c r="CD96" s="224" t="s">
        <v>570</v>
      </c>
      <c r="CE96" s="23"/>
      <c r="CF96" s="23"/>
      <c r="CG96" s="23"/>
      <c r="CH96" s="23"/>
      <c r="CI96" s="23"/>
      <c r="CJ96" s="23"/>
      <c r="CK96" s="23"/>
      <c r="CL96" s="23"/>
      <c r="CM96" s="23"/>
      <c r="CN96" s="23"/>
      <c r="CO96" s="23"/>
      <c r="CP96" s="23"/>
      <c r="CQ96" s="23"/>
      <c r="CR96" s="127" t="s">
        <v>829</v>
      </c>
      <c r="CS96" s="13" t="s">
        <v>570</v>
      </c>
      <c r="CT96" s="37" t="s">
        <v>503</v>
      </c>
      <c r="CU96" s="37" t="s">
        <v>503</v>
      </c>
      <c r="CV96" s="23">
        <v>42453</v>
      </c>
      <c r="CW96" s="30">
        <f t="shared" si="51"/>
        <v>94429.785000000003</v>
      </c>
      <c r="CX96" s="23"/>
      <c r="CY96" s="23">
        <v>42635</v>
      </c>
      <c r="CZ96" s="37">
        <v>94428.33</v>
      </c>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31">
        <f t="shared" si="49"/>
        <v>188858.11499999999</v>
      </c>
      <c r="DZ96" s="13"/>
      <c r="EA96" s="13"/>
      <c r="EB96" s="13"/>
      <c r="EC96" s="13"/>
      <c r="ED96" s="13"/>
      <c r="EE96" s="13"/>
      <c r="EF96" s="13"/>
      <c r="EG96" s="13">
        <v>120</v>
      </c>
      <c r="EH96" s="13" t="s">
        <v>588</v>
      </c>
      <c r="EI96" s="23">
        <f t="shared" si="52"/>
        <v>42454</v>
      </c>
      <c r="EJ96" s="23">
        <f t="shared" si="53"/>
        <v>42574</v>
      </c>
      <c r="EK96" s="13"/>
      <c r="EL96" s="13"/>
      <c r="EM96" s="13"/>
      <c r="EN96" s="13"/>
      <c r="EO96" s="13"/>
      <c r="EP96" s="13"/>
      <c r="EQ96" s="13"/>
      <c r="ER96" s="13"/>
      <c r="ES96" s="13"/>
      <c r="ET96" s="13"/>
      <c r="EU96" s="13"/>
      <c r="EV96" s="13"/>
      <c r="EW96" s="13"/>
      <c r="EX96" s="13"/>
      <c r="EY96" s="13"/>
      <c r="EZ96" s="13"/>
      <c r="FA96" s="13"/>
      <c r="FB96" s="13"/>
      <c r="FC96" s="13"/>
      <c r="FD96" s="13"/>
      <c r="FE96" s="13"/>
      <c r="FF96" s="13" t="s">
        <v>503</v>
      </c>
      <c r="FG96" s="13"/>
      <c r="FH96" s="25"/>
      <c r="FI96" s="25"/>
      <c r="FJ96" s="25"/>
      <c r="FK96" s="25"/>
      <c r="FL96" s="25"/>
      <c r="FM96" s="25"/>
      <c r="FN96" s="25"/>
      <c r="FO96" s="25"/>
      <c r="FP96" s="25"/>
      <c r="FQ96" s="25"/>
      <c r="FR96" s="25"/>
      <c r="FS96" s="25">
        <v>1</v>
      </c>
      <c r="FT96" s="25">
        <v>1</v>
      </c>
      <c r="FU96" s="25">
        <v>1</v>
      </c>
      <c r="FV96" s="25">
        <v>1</v>
      </c>
      <c r="FW96" s="25">
        <v>1</v>
      </c>
      <c r="FX96" s="25">
        <v>1</v>
      </c>
      <c r="FY96" s="25">
        <v>1</v>
      </c>
      <c r="FZ96" s="25">
        <v>1</v>
      </c>
      <c r="GA96" s="25">
        <v>1</v>
      </c>
      <c r="GB96" s="25">
        <v>1</v>
      </c>
      <c r="GC96" s="25">
        <v>1</v>
      </c>
      <c r="GD96" s="25">
        <v>1</v>
      </c>
      <c r="GE96" s="25">
        <v>1</v>
      </c>
      <c r="GF96" s="25">
        <v>1</v>
      </c>
      <c r="GG96" s="25">
        <v>1</v>
      </c>
      <c r="GH96" s="25">
        <v>1</v>
      </c>
      <c r="GI96" s="25">
        <v>1</v>
      </c>
      <c r="GJ96" s="25">
        <v>1</v>
      </c>
      <c r="GK96" s="25">
        <v>1</v>
      </c>
      <c r="GL96" s="25">
        <v>1</v>
      </c>
      <c r="GM96" s="25">
        <v>1</v>
      </c>
      <c r="GN96" s="25">
        <v>1</v>
      </c>
      <c r="GO96" s="25">
        <v>1</v>
      </c>
      <c r="GP96" s="25">
        <v>1</v>
      </c>
      <c r="GQ96" s="25">
        <v>1</v>
      </c>
      <c r="GR96" s="25">
        <v>1</v>
      </c>
      <c r="GS96" s="25">
        <v>1</v>
      </c>
      <c r="GT96" s="25">
        <v>1</v>
      </c>
      <c r="GU96" s="25">
        <v>1</v>
      </c>
      <c r="GV96" s="25" t="s">
        <v>455</v>
      </c>
      <c r="GW96" s="25" t="s">
        <v>455</v>
      </c>
      <c r="GX96" s="25" t="s">
        <v>455</v>
      </c>
      <c r="GY96" s="25" t="s">
        <v>455</v>
      </c>
      <c r="GZ96" s="25" t="s">
        <v>455</v>
      </c>
      <c r="HA96" s="25" t="s">
        <v>455</v>
      </c>
      <c r="HB96" s="25" t="s">
        <v>455</v>
      </c>
      <c r="HC96" s="25" t="s">
        <v>455</v>
      </c>
      <c r="HD96" s="25" t="s">
        <v>455</v>
      </c>
      <c r="HE96" s="25" t="s">
        <v>455</v>
      </c>
      <c r="HF96" s="25" t="s">
        <v>455</v>
      </c>
      <c r="HG96" s="25" t="s">
        <v>455</v>
      </c>
      <c r="HH96" s="25" t="s">
        <v>455</v>
      </c>
      <c r="HI96" s="25"/>
      <c r="HJ96" s="25"/>
      <c r="HK96" s="25"/>
      <c r="HL96" s="25"/>
      <c r="HM96" s="25"/>
      <c r="HN96" s="25"/>
      <c r="HO96" s="25"/>
      <c r="HP96" s="25"/>
      <c r="HQ96" s="25"/>
      <c r="HR96" s="25"/>
      <c r="HS96" s="25"/>
      <c r="HT96" s="25"/>
      <c r="HU96" s="13"/>
      <c r="HV96" s="13"/>
      <c r="HW96" s="32"/>
      <c r="HX96" s="55"/>
      <c r="HY96" s="55"/>
      <c r="HZ96" s="55"/>
      <c r="IA96" s="55"/>
      <c r="IB96" s="55"/>
      <c r="IC96" s="55"/>
      <c r="ID96" s="55"/>
      <c r="IE96" s="55"/>
      <c r="IF96" s="107">
        <v>198302.56</v>
      </c>
      <c r="IG96" s="107">
        <v>188858.12</v>
      </c>
      <c r="IH96" s="250">
        <f t="shared" si="55"/>
        <v>0</v>
      </c>
      <c r="II96" s="55"/>
      <c r="IJ96" s="55"/>
      <c r="IK96" s="55"/>
      <c r="IL96" s="55"/>
      <c r="IM96" s="55"/>
      <c r="IN96" s="55"/>
      <c r="IO96" s="55"/>
      <c r="IP96" s="55"/>
      <c r="IQ96" s="55"/>
      <c r="IR96" s="55"/>
      <c r="IS96" s="55"/>
      <c r="IT96" s="55"/>
      <c r="IU96" s="55"/>
      <c r="IV96" s="55"/>
      <c r="IW96" s="55"/>
      <c r="IX96" s="55"/>
      <c r="IY96" s="55"/>
      <c r="IZ96" s="55"/>
      <c r="JA96" s="55"/>
      <c r="JB96" s="55"/>
      <c r="JC96" s="55"/>
      <c r="JD96" s="55">
        <v>2016</v>
      </c>
    </row>
    <row r="97" spans="1:264" s="5" customFormat="1" ht="24.95" hidden="1" customHeight="1">
      <c r="A97" s="26" t="s">
        <v>70</v>
      </c>
      <c r="B97" s="26" t="s">
        <v>27</v>
      </c>
      <c r="C97" s="13" t="s">
        <v>349</v>
      </c>
      <c r="D97" s="13" t="s">
        <v>380</v>
      </c>
      <c r="E97" s="16" t="s">
        <v>360</v>
      </c>
      <c r="F97" s="13" t="s">
        <v>360</v>
      </c>
      <c r="G97" s="26" t="s">
        <v>354</v>
      </c>
      <c r="H97" s="13" t="s">
        <v>1517</v>
      </c>
      <c r="I97" s="21" t="s">
        <v>863</v>
      </c>
      <c r="J97" s="26">
        <v>9</v>
      </c>
      <c r="K97" s="49" t="s">
        <v>375</v>
      </c>
      <c r="L97" s="26" t="s">
        <v>82</v>
      </c>
      <c r="M97" s="20" t="s">
        <v>83</v>
      </c>
      <c r="N97" s="20" t="s">
        <v>1954</v>
      </c>
      <c r="O97" s="13" t="s">
        <v>3</v>
      </c>
      <c r="P97" s="13" t="s">
        <v>4</v>
      </c>
      <c r="Q97" s="22" t="s">
        <v>1118</v>
      </c>
      <c r="R97" s="26" t="s">
        <v>82</v>
      </c>
      <c r="S97" s="13" t="s">
        <v>401</v>
      </c>
      <c r="T97" s="13" t="s">
        <v>1387</v>
      </c>
      <c r="U97" s="13" t="s">
        <v>477</v>
      </c>
      <c r="V97" s="24">
        <v>1203488208001</v>
      </c>
      <c r="W97" s="13" t="s">
        <v>936</v>
      </c>
      <c r="X97" s="13" t="s">
        <v>947</v>
      </c>
      <c r="Y97" s="13" t="s">
        <v>931</v>
      </c>
      <c r="Z97" s="13" t="s">
        <v>932</v>
      </c>
      <c r="AA97" s="41"/>
      <c r="AB97" s="45">
        <v>369889.25</v>
      </c>
      <c r="AC97" s="29">
        <v>0</v>
      </c>
      <c r="AD97" s="41">
        <v>369889.25</v>
      </c>
      <c r="AE97" s="29">
        <v>0</v>
      </c>
      <c r="AF97" s="29">
        <f t="shared" si="47"/>
        <v>369889.25</v>
      </c>
      <c r="AG97" s="25">
        <v>0.12</v>
      </c>
      <c r="AH97" s="29">
        <f t="shared" si="45"/>
        <v>44386.71</v>
      </c>
      <c r="AI97" s="29">
        <f t="shared" si="46"/>
        <v>0</v>
      </c>
      <c r="AJ97" s="29">
        <f t="shared" si="54"/>
        <v>414275.96</v>
      </c>
      <c r="AK97" s="29">
        <v>350050.23</v>
      </c>
      <c r="AL97" s="29">
        <f>AB97-AK97</f>
        <v>19839.020000000019</v>
      </c>
      <c r="AM97" s="29"/>
      <c r="AN97" s="41"/>
      <c r="AO97" s="41">
        <v>369889.25</v>
      </c>
      <c r="AP97" s="41"/>
      <c r="AQ97" s="41">
        <v>363693.99</v>
      </c>
      <c r="AR97" s="41"/>
      <c r="AS97" s="41"/>
      <c r="AT97" s="41"/>
      <c r="AU97" s="41"/>
      <c r="AV97" s="41"/>
      <c r="AW97" s="41"/>
      <c r="AX97" s="41"/>
      <c r="AY97" s="41"/>
      <c r="AZ97" s="41"/>
      <c r="BA97" s="41"/>
      <c r="BB97" s="41"/>
      <c r="BC97" s="41"/>
      <c r="BD97" s="37"/>
      <c r="BE97" s="37"/>
      <c r="BF97" s="29">
        <f t="shared" si="50"/>
        <v>6195.2600000000093</v>
      </c>
      <c r="BG97" s="29">
        <f t="shared" si="48"/>
        <v>6195.2600000000093</v>
      </c>
      <c r="BH97" s="37" t="s">
        <v>503</v>
      </c>
      <c r="BI97" s="29" t="s">
        <v>570</v>
      </c>
      <c r="BJ97" s="29" t="s">
        <v>570</v>
      </c>
      <c r="BK97" s="29" t="s">
        <v>570</v>
      </c>
      <c r="BL97" s="29" t="s">
        <v>570</v>
      </c>
      <c r="BM97" s="29" t="s">
        <v>570</v>
      </c>
      <c r="BN97" s="13"/>
      <c r="BO97" s="13"/>
      <c r="BP97" s="13"/>
      <c r="BQ97" s="13"/>
      <c r="BR97" s="13"/>
      <c r="BS97" s="13"/>
      <c r="BT97" s="13"/>
      <c r="BU97" s="13" t="s">
        <v>570</v>
      </c>
      <c r="BV97" s="13" t="s">
        <v>570</v>
      </c>
      <c r="BW97" s="224" t="s">
        <v>570</v>
      </c>
      <c r="BX97" s="23">
        <v>42293</v>
      </c>
      <c r="BY97" s="13" t="s">
        <v>570</v>
      </c>
      <c r="BZ97" s="23">
        <v>42296</v>
      </c>
      <c r="CA97" s="23">
        <v>42324</v>
      </c>
      <c r="CB97" s="224" t="s">
        <v>570</v>
      </c>
      <c r="CC97" s="224" t="s">
        <v>570</v>
      </c>
      <c r="CD97" s="224" t="s">
        <v>570</v>
      </c>
      <c r="CE97" s="23"/>
      <c r="CF97" s="23"/>
      <c r="CG97" s="23"/>
      <c r="CH97" s="23"/>
      <c r="CI97" s="23"/>
      <c r="CJ97" s="23"/>
      <c r="CK97" s="23"/>
      <c r="CL97" s="23"/>
      <c r="CM97" s="23"/>
      <c r="CN97" s="23"/>
      <c r="CO97" s="23"/>
      <c r="CP97" s="23"/>
      <c r="CQ97" s="23"/>
      <c r="CR97" s="127" t="s">
        <v>829</v>
      </c>
      <c r="CS97" s="13" t="s">
        <v>570</v>
      </c>
      <c r="CT97" s="37" t="s">
        <v>761</v>
      </c>
      <c r="CU97" s="25">
        <v>0.05</v>
      </c>
      <c r="CV97" s="23">
        <v>42418</v>
      </c>
      <c r="CW97" s="30">
        <f t="shared" si="51"/>
        <v>181846.995</v>
      </c>
      <c r="CX97" s="30"/>
      <c r="CY97" s="23">
        <v>42675</v>
      </c>
      <c r="CZ97" s="37">
        <v>109108.19</v>
      </c>
      <c r="DA97" s="13"/>
      <c r="DB97" s="23">
        <v>42702</v>
      </c>
      <c r="DC97" s="37">
        <f>102744.28-43649.235</f>
        <v>59095.044999999998</v>
      </c>
      <c r="DD97" s="13"/>
      <c r="DE97" s="13"/>
      <c r="DF97" s="13"/>
      <c r="DG97" s="13"/>
      <c r="DH97" s="13"/>
      <c r="DI97" s="13"/>
      <c r="DJ97" s="13"/>
      <c r="DK97" s="13"/>
      <c r="DL97" s="13"/>
      <c r="DM97" s="13"/>
      <c r="DN97" s="13"/>
      <c r="DO97" s="13"/>
      <c r="DP97" s="13"/>
      <c r="DQ97" s="13"/>
      <c r="DR97" s="13"/>
      <c r="DS97" s="13"/>
      <c r="DT97" s="13"/>
      <c r="DU97" s="13"/>
      <c r="DV97" s="13"/>
      <c r="DW97" s="13"/>
      <c r="DX97" s="13"/>
      <c r="DY97" s="31">
        <f t="shared" si="49"/>
        <v>350050.23</v>
      </c>
      <c r="DZ97" s="13"/>
      <c r="EA97" s="13"/>
      <c r="EB97" s="13"/>
      <c r="EC97" s="13"/>
      <c r="ED97" s="13"/>
      <c r="EE97" s="13"/>
      <c r="EF97" s="13"/>
      <c r="EG97" s="13">
        <v>120</v>
      </c>
      <c r="EH97" s="13" t="s">
        <v>588</v>
      </c>
      <c r="EI97" s="23">
        <f t="shared" si="52"/>
        <v>42419</v>
      </c>
      <c r="EJ97" s="23">
        <f t="shared" si="53"/>
        <v>42539</v>
      </c>
      <c r="EK97" s="13"/>
      <c r="EL97" s="13"/>
      <c r="EM97" s="13"/>
      <c r="EN97" s="13"/>
      <c r="EO97" s="13"/>
      <c r="EP97" s="13"/>
      <c r="EQ97" s="13"/>
      <c r="ER97" s="13"/>
      <c r="ES97" s="13"/>
      <c r="ET97" s="13"/>
      <c r="EU97" s="13"/>
      <c r="EV97" s="13"/>
      <c r="EW97" s="13"/>
      <c r="EX97" s="13"/>
      <c r="EY97" s="13"/>
      <c r="EZ97" s="13"/>
      <c r="FA97" s="13"/>
      <c r="FB97" s="13"/>
      <c r="FC97" s="13"/>
      <c r="FD97" s="13"/>
      <c r="FE97" s="13"/>
      <c r="FF97" s="13" t="s">
        <v>503</v>
      </c>
      <c r="FG97" s="13"/>
      <c r="FH97" s="25"/>
      <c r="FI97" s="25"/>
      <c r="FJ97" s="25"/>
      <c r="FK97" s="25"/>
      <c r="FL97" s="25"/>
      <c r="FM97" s="25"/>
      <c r="FN97" s="25"/>
      <c r="FO97" s="25"/>
      <c r="FP97" s="25"/>
      <c r="FQ97" s="25"/>
      <c r="FR97" s="25"/>
      <c r="FS97" s="25">
        <v>1</v>
      </c>
      <c r="FT97" s="25">
        <v>1</v>
      </c>
      <c r="FU97" s="25">
        <v>1</v>
      </c>
      <c r="FV97" s="25">
        <v>1</v>
      </c>
      <c r="FW97" s="25">
        <v>1</v>
      </c>
      <c r="FX97" s="25">
        <v>1</v>
      </c>
      <c r="FY97" s="25">
        <v>1</v>
      </c>
      <c r="FZ97" s="25">
        <v>1</v>
      </c>
      <c r="GA97" s="25">
        <v>1</v>
      </c>
      <c r="GB97" s="25">
        <v>1</v>
      </c>
      <c r="GC97" s="25">
        <v>1</v>
      </c>
      <c r="GD97" s="25">
        <v>1</v>
      </c>
      <c r="GE97" s="25">
        <v>1</v>
      </c>
      <c r="GF97" s="25">
        <v>1</v>
      </c>
      <c r="GG97" s="25">
        <v>1</v>
      </c>
      <c r="GH97" s="25">
        <v>1</v>
      </c>
      <c r="GI97" s="25">
        <v>1</v>
      </c>
      <c r="GJ97" s="25">
        <v>1</v>
      </c>
      <c r="GK97" s="25">
        <v>1</v>
      </c>
      <c r="GL97" s="25">
        <v>1</v>
      </c>
      <c r="GM97" s="25">
        <v>1</v>
      </c>
      <c r="GN97" s="25">
        <v>1</v>
      </c>
      <c r="GO97" s="25">
        <v>1</v>
      </c>
      <c r="GP97" s="25">
        <v>1</v>
      </c>
      <c r="GQ97" s="25">
        <v>1</v>
      </c>
      <c r="GR97" s="25">
        <v>1</v>
      </c>
      <c r="GS97" s="25">
        <v>1</v>
      </c>
      <c r="GT97" s="25">
        <v>1</v>
      </c>
      <c r="GU97" s="25">
        <v>1</v>
      </c>
      <c r="GV97" s="25" t="s">
        <v>455</v>
      </c>
      <c r="GW97" s="25" t="s">
        <v>455</v>
      </c>
      <c r="GX97" s="25" t="s">
        <v>455</v>
      </c>
      <c r="GY97" s="25" t="s">
        <v>455</v>
      </c>
      <c r="GZ97" s="25" t="s">
        <v>455</v>
      </c>
      <c r="HA97" s="25" t="s">
        <v>455</v>
      </c>
      <c r="HB97" s="25" t="s">
        <v>455</v>
      </c>
      <c r="HC97" s="25" t="s">
        <v>455</v>
      </c>
      <c r="HD97" s="25" t="s">
        <v>455</v>
      </c>
      <c r="HE97" s="25" t="s">
        <v>455</v>
      </c>
      <c r="HF97" s="25" t="s">
        <v>455</v>
      </c>
      <c r="HG97" s="25" t="s">
        <v>455</v>
      </c>
      <c r="HH97" s="25" t="s">
        <v>455</v>
      </c>
      <c r="HI97" s="25"/>
      <c r="HJ97" s="25"/>
      <c r="HK97" s="25"/>
      <c r="HL97" s="25"/>
      <c r="HM97" s="25"/>
      <c r="HN97" s="25"/>
      <c r="HO97" s="25"/>
      <c r="HP97" s="25"/>
      <c r="HQ97" s="25"/>
      <c r="HR97" s="25"/>
      <c r="HS97" s="25"/>
      <c r="HT97" s="25"/>
      <c r="HU97" s="13"/>
      <c r="HV97" s="13"/>
      <c r="HW97" s="32"/>
      <c r="HX97" s="55"/>
      <c r="HY97" s="55"/>
      <c r="HZ97" s="55"/>
      <c r="IA97" s="55"/>
      <c r="IB97" s="55"/>
      <c r="IC97" s="55"/>
      <c r="ID97" s="55"/>
      <c r="IE97" s="55"/>
      <c r="IF97" s="107">
        <v>369889.25</v>
      </c>
      <c r="IG97" s="107">
        <v>350050.23</v>
      </c>
      <c r="IH97" s="250">
        <f t="shared" si="55"/>
        <v>0</v>
      </c>
      <c r="II97" s="55"/>
      <c r="IJ97" s="55"/>
      <c r="IK97" s="55"/>
      <c r="IL97" s="55"/>
      <c r="IM97" s="55"/>
      <c r="IN97" s="55"/>
      <c r="IO97" s="55"/>
      <c r="IP97" s="55"/>
      <c r="IQ97" s="55"/>
      <c r="IR97" s="55"/>
      <c r="IS97" s="55"/>
      <c r="IT97" s="55"/>
      <c r="IU97" s="55"/>
      <c r="IV97" s="55"/>
      <c r="IW97" s="55"/>
      <c r="IX97" s="55"/>
      <c r="IY97" s="55"/>
      <c r="IZ97" s="55"/>
      <c r="JA97" s="55"/>
      <c r="JB97" s="55"/>
      <c r="JC97" s="55"/>
      <c r="JD97" s="55">
        <v>2016</v>
      </c>
    </row>
    <row r="98" spans="1:264" s="10" customFormat="1" ht="24.95" hidden="1" customHeight="1">
      <c r="A98" s="26" t="s">
        <v>70</v>
      </c>
      <c r="B98" s="26" t="s">
        <v>27</v>
      </c>
      <c r="C98" s="13" t="s">
        <v>349</v>
      </c>
      <c r="D98" s="13" t="s">
        <v>380</v>
      </c>
      <c r="E98" s="16" t="s">
        <v>360</v>
      </c>
      <c r="F98" s="13" t="s">
        <v>360</v>
      </c>
      <c r="G98" s="26" t="s">
        <v>354</v>
      </c>
      <c r="H98" s="13" t="s">
        <v>1517</v>
      </c>
      <c r="I98" s="15" t="s">
        <v>862</v>
      </c>
      <c r="J98" s="26">
        <v>10</v>
      </c>
      <c r="K98" s="49" t="s">
        <v>375</v>
      </c>
      <c r="L98" s="26" t="s">
        <v>82</v>
      </c>
      <c r="M98" s="20" t="s">
        <v>83</v>
      </c>
      <c r="N98" s="20" t="s">
        <v>1955</v>
      </c>
      <c r="O98" s="13" t="s">
        <v>3</v>
      </c>
      <c r="P98" s="13" t="s">
        <v>4</v>
      </c>
      <c r="Q98" s="22" t="s">
        <v>1118</v>
      </c>
      <c r="R98" s="26" t="s">
        <v>82</v>
      </c>
      <c r="S98" s="13" t="s">
        <v>401</v>
      </c>
      <c r="T98" s="13" t="s">
        <v>1387</v>
      </c>
      <c r="U98" s="13" t="s">
        <v>477</v>
      </c>
      <c r="V98" s="24">
        <v>1203488208001</v>
      </c>
      <c r="W98" s="13" t="s">
        <v>936</v>
      </c>
      <c r="X98" s="13" t="s">
        <v>947</v>
      </c>
      <c r="Y98" s="13" t="s">
        <v>931</v>
      </c>
      <c r="Z98" s="13" t="s">
        <v>932</v>
      </c>
      <c r="AA98" s="41"/>
      <c r="AB98" s="45">
        <v>0</v>
      </c>
      <c r="AC98" s="29">
        <v>0</v>
      </c>
      <c r="AD98" s="41"/>
      <c r="AE98" s="29">
        <v>0</v>
      </c>
      <c r="AF98" s="29">
        <f t="shared" si="47"/>
        <v>0</v>
      </c>
      <c r="AG98" s="25">
        <v>0.12</v>
      </c>
      <c r="AH98" s="29">
        <f t="shared" si="45"/>
        <v>0</v>
      </c>
      <c r="AI98" s="29">
        <f t="shared" si="46"/>
        <v>0</v>
      </c>
      <c r="AJ98" s="29">
        <f t="shared" si="54"/>
        <v>0</v>
      </c>
      <c r="AK98" s="29"/>
      <c r="AL98" s="29"/>
      <c r="AM98" s="29"/>
      <c r="AN98" s="41"/>
      <c r="AO98" s="41"/>
      <c r="AP98" s="41"/>
      <c r="AQ98" s="41"/>
      <c r="AR98" s="41"/>
      <c r="AS98" s="41"/>
      <c r="AT98" s="41"/>
      <c r="AU98" s="41"/>
      <c r="AV98" s="41"/>
      <c r="AW98" s="41"/>
      <c r="AX98" s="41"/>
      <c r="AY98" s="41"/>
      <c r="AZ98" s="41"/>
      <c r="BA98" s="41"/>
      <c r="BB98" s="41"/>
      <c r="BC98" s="41"/>
      <c r="BD98" s="37"/>
      <c r="BE98" s="37"/>
      <c r="BF98" s="29">
        <f t="shared" si="50"/>
        <v>0</v>
      </c>
      <c r="BG98" s="29">
        <f t="shared" si="48"/>
        <v>0</v>
      </c>
      <c r="BH98" s="37" t="s">
        <v>503</v>
      </c>
      <c r="BI98" s="29" t="s">
        <v>570</v>
      </c>
      <c r="BJ98" s="29" t="s">
        <v>570</v>
      </c>
      <c r="BK98" s="29" t="s">
        <v>570</v>
      </c>
      <c r="BL98" s="29" t="s">
        <v>570</v>
      </c>
      <c r="BM98" s="29" t="s">
        <v>570</v>
      </c>
      <c r="BN98" s="13"/>
      <c r="BO98" s="13"/>
      <c r="BP98" s="13"/>
      <c r="BQ98" s="13"/>
      <c r="BR98" s="13"/>
      <c r="BS98" s="13"/>
      <c r="BT98" s="13"/>
      <c r="BU98" s="13" t="s">
        <v>570</v>
      </c>
      <c r="BV98" s="13" t="s">
        <v>570</v>
      </c>
      <c r="BW98" s="224" t="s">
        <v>570</v>
      </c>
      <c r="BX98" s="23">
        <v>42293</v>
      </c>
      <c r="BY98" s="13" t="s">
        <v>570</v>
      </c>
      <c r="BZ98" s="23">
        <v>42296</v>
      </c>
      <c r="CA98" s="23">
        <v>42324</v>
      </c>
      <c r="CB98" s="224" t="s">
        <v>570</v>
      </c>
      <c r="CC98" s="224" t="s">
        <v>570</v>
      </c>
      <c r="CD98" s="224" t="s">
        <v>570</v>
      </c>
      <c r="CE98" s="23"/>
      <c r="CF98" s="23"/>
      <c r="CG98" s="23"/>
      <c r="CH98" s="23"/>
      <c r="CI98" s="23"/>
      <c r="CJ98" s="23"/>
      <c r="CK98" s="23"/>
      <c r="CL98" s="23"/>
      <c r="CM98" s="23"/>
      <c r="CN98" s="23"/>
      <c r="CO98" s="23"/>
      <c r="CP98" s="23"/>
      <c r="CQ98" s="23"/>
      <c r="CR98" s="127" t="s">
        <v>829</v>
      </c>
      <c r="CS98" s="13" t="s">
        <v>570</v>
      </c>
      <c r="CT98" s="37" t="s">
        <v>761</v>
      </c>
      <c r="CU98" s="25">
        <v>0.05</v>
      </c>
      <c r="CV98" s="23">
        <v>42418</v>
      </c>
      <c r="CW98" s="30"/>
      <c r="CX98" s="30"/>
      <c r="CY98" s="23">
        <v>42675</v>
      </c>
      <c r="CZ98" s="37"/>
      <c r="DA98" s="13"/>
      <c r="DB98" s="23"/>
      <c r="DC98" s="37"/>
      <c r="DD98" s="13"/>
      <c r="DE98" s="13"/>
      <c r="DF98" s="13"/>
      <c r="DG98" s="13"/>
      <c r="DH98" s="13"/>
      <c r="DI98" s="13"/>
      <c r="DJ98" s="13"/>
      <c r="DK98" s="13"/>
      <c r="DL98" s="13"/>
      <c r="DM98" s="13"/>
      <c r="DN98" s="13"/>
      <c r="DO98" s="13"/>
      <c r="DP98" s="13"/>
      <c r="DQ98" s="13"/>
      <c r="DR98" s="13"/>
      <c r="DS98" s="13"/>
      <c r="DT98" s="13"/>
      <c r="DU98" s="13"/>
      <c r="DV98" s="13"/>
      <c r="DW98" s="13"/>
      <c r="DX98" s="13"/>
      <c r="DY98" s="31">
        <f t="shared" si="49"/>
        <v>0</v>
      </c>
      <c r="DZ98" s="13"/>
      <c r="EA98" s="13"/>
      <c r="EB98" s="13"/>
      <c r="EC98" s="13"/>
      <c r="ED98" s="13"/>
      <c r="EE98" s="13"/>
      <c r="EF98" s="13"/>
      <c r="EG98" s="13">
        <v>120</v>
      </c>
      <c r="EH98" s="13" t="s">
        <v>588</v>
      </c>
      <c r="EI98" s="23">
        <f t="shared" si="52"/>
        <v>42419</v>
      </c>
      <c r="EJ98" s="23">
        <f t="shared" si="53"/>
        <v>42539</v>
      </c>
      <c r="EK98" s="13"/>
      <c r="EL98" s="13"/>
      <c r="EM98" s="13"/>
      <c r="EN98" s="13"/>
      <c r="EO98" s="13"/>
      <c r="EP98" s="13"/>
      <c r="EQ98" s="13"/>
      <c r="ER98" s="13"/>
      <c r="ES98" s="13"/>
      <c r="ET98" s="13"/>
      <c r="EU98" s="13"/>
      <c r="EV98" s="13"/>
      <c r="EW98" s="13"/>
      <c r="EX98" s="13"/>
      <c r="EY98" s="13"/>
      <c r="EZ98" s="13"/>
      <c r="FA98" s="13"/>
      <c r="FB98" s="13"/>
      <c r="FC98" s="13"/>
      <c r="FD98" s="13"/>
      <c r="FE98" s="13"/>
      <c r="FF98" s="13" t="s">
        <v>503</v>
      </c>
      <c r="FG98" s="13"/>
      <c r="FH98" s="25"/>
      <c r="FI98" s="25"/>
      <c r="FJ98" s="25"/>
      <c r="FK98" s="25"/>
      <c r="FL98" s="25"/>
      <c r="FM98" s="25"/>
      <c r="FN98" s="25"/>
      <c r="FO98" s="25"/>
      <c r="FP98" s="25"/>
      <c r="FQ98" s="25"/>
      <c r="FR98" s="25"/>
      <c r="FS98" s="25">
        <v>1</v>
      </c>
      <c r="FT98" s="25">
        <v>1</v>
      </c>
      <c r="FU98" s="25">
        <v>1</v>
      </c>
      <c r="FV98" s="25">
        <v>1</v>
      </c>
      <c r="FW98" s="25">
        <v>1</v>
      </c>
      <c r="FX98" s="25">
        <v>1</v>
      </c>
      <c r="FY98" s="25">
        <v>1</v>
      </c>
      <c r="FZ98" s="25">
        <v>1</v>
      </c>
      <c r="GA98" s="25">
        <v>1</v>
      </c>
      <c r="GB98" s="25">
        <v>1</v>
      </c>
      <c r="GC98" s="25">
        <v>1</v>
      </c>
      <c r="GD98" s="25">
        <v>1</v>
      </c>
      <c r="GE98" s="25">
        <v>1</v>
      </c>
      <c r="GF98" s="25">
        <v>1</v>
      </c>
      <c r="GG98" s="25">
        <v>1</v>
      </c>
      <c r="GH98" s="25">
        <v>1</v>
      </c>
      <c r="GI98" s="25">
        <v>1</v>
      </c>
      <c r="GJ98" s="25">
        <v>1</v>
      </c>
      <c r="GK98" s="25">
        <v>1</v>
      </c>
      <c r="GL98" s="25">
        <v>1</v>
      </c>
      <c r="GM98" s="25">
        <v>1</v>
      </c>
      <c r="GN98" s="25">
        <v>1</v>
      </c>
      <c r="GO98" s="25">
        <v>1</v>
      </c>
      <c r="GP98" s="25">
        <v>1</v>
      </c>
      <c r="GQ98" s="25">
        <v>1</v>
      </c>
      <c r="GR98" s="25">
        <v>1</v>
      </c>
      <c r="GS98" s="25">
        <v>1</v>
      </c>
      <c r="GT98" s="25">
        <v>1</v>
      </c>
      <c r="GU98" s="25">
        <v>1</v>
      </c>
      <c r="GV98" s="25" t="s">
        <v>455</v>
      </c>
      <c r="GW98" s="25" t="s">
        <v>455</v>
      </c>
      <c r="GX98" s="25" t="s">
        <v>455</v>
      </c>
      <c r="GY98" s="25" t="s">
        <v>455</v>
      </c>
      <c r="GZ98" s="25" t="s">
        <v>455</v>
      </c>
      <c r="HA98" s="25" t="s">
        <v>455</v>
      </c>
      <c r="HB98" s="25" t="s">
        <v>455</v>
      </c>
      <c r="HC98" s="25" t="s">
        <v>455</v>
      </c>
      <c r="HD98" s="25" t="s">
        <v>455</v>
      </c>
      <c r="HE98" s="25" t="s">
        <v>455</v>
      </c>
      <c r="HF98" s="25" t="s">
        <v>455</v>
      </c>
      <c r="HG98" s="25" t="s">
        <v>455</v>
      </c>
      <c r="HH98" s="25" t="s">
        <v>455</v>
      </c>
      <c r="HI98" s="25"/>
      <c r="HJ98" s="25"/>
      <c r="HK98" s="25"/>
      <c r="HL98" s="25"/>
      <c r="HM98" s="25"/>
      <c r="HN98" s="25"/>
      <c r="HO98" s="25"/>
      <c r="HP98" s="25"/>
      <c r="HQ98" s="25"/>
      <c r="HR98" s="25"/>
      <c r="HS98" s="25"/>
      <c r="HT98" s="25"/>
      <c r="HU98" s="13"/>
      <c r="HV98" s="13"/>
      <c r="HW98" s="32"/>
      <c r="HX98" s="55"/>
      <c r="HY98" s="55"/>
      <c r="HZ98" s="55"/>
      <c r="IA98" s="251"/>
      <c r="IB98" s="251"/>
      <c r="IC98" s="251"/>
      <c r="ID98" s="251"/>
      <c r="IE98" s="251"/>
      <c r="IF98" s="107">
        <v>0</v>
      </c>
      <c r="IG98" s="107"/>
      <c r="IH98" s="250">
        <f t="shared" si="55"/>
        <v>0</v>
      </c>
      <c r="II98" s="251"/>
      <c r="IJ98" s="251"/>
      <c r="IK98" s="251"/>
      <c r="IL98" s="251"/>
      <c r="IM98" s="251"/>
      <c r="IN98" s="251"/>
      <c r="IO98" s="251"/>
      <c r="IP98" s="251"/>
      <c r="IQ98" s="251"/>
      <c r="IR98" s="251"/>
      <c r="IS98" s="251"/>
      <c r="IT98" s="251"/>
      <c r="IU98" s="251"/>
      <c r="IV98" s="251"/>
      <c r="IW98" s="251"/>
      <c r="IX98" s="251"/>
      <c r="IY98" s="251"/>
      <c r="IZ98" s="251"/>
      <c r="JA98" s="251"/>
      <c r="JB98" s="251"/>
      <c r="JC98" s="251"/>
      <c r="JD98" s="251">
        <v>2016</v>
      </c>
    </row>
    <row r="99" spans="1:264" s="5" customFormat="1" ht="24.95" hidden="1" customHeight="1">
      <c r="A99" s="26" t="s">
        <v>70</v>
      </c>
      <c r="B99" s="26" t="s">
        <v>27</v>
      </c>
      <c r="C99" s="13" t="s">
        <v>352</v>
      </c>
      <c r="D99" s="13" t="s">
        <v>381</v>
      </c>
      <c r="E99" s="16" t="s">
        <v>378</v>
      </c>
      <c r="F99" s="13" t="s">
        <v>378</v>
      </c>
      <c r="G99" s="26" t="s">
        <v>354</v>
      </c>
      <c r="H99" s="13" t="s">
        <v>1517</v>
      </c>
      <c r="I99" s="15" t="s">
        <v>864</v>
      </c>
      <c r="J99" s="26">
        <v>11</v>
      </c>
      <c r="K99" s="49" t="s">
        <v>375</v>
      </c>
      <c r="L99" s="26" t="s">
        <v>84</v>
      </c>
      <c r="M99" s="20" t="s">
        <v>85</v>
      </c>
      <c r="N99" s="20"/>
      <c r="O99" s="13" t="s">
        <v>3</v>
      </c>
      <c r="P99" s="13" t="s">
        <v>4</v>
      </c>
      <c r="Q99" s="22" t="s">
        <v>1118</v>
      </c>
      <c r="R99" s="26" t="s">
        <v>84</v>
      </c>
      <c r="S99" s="13" t="s">
        <v>698</v>
      </c>
      <c r="T99" s="13" t="s">
        <v>1387</v>
      </c>
      <c r="U99" s="13" t="s">
        <v>479</v>
      </c>
      <c r="V99" s="24">
        <v>992767330001</v>
      </c>
      <c r="W99" s="13" t="s">
        <v>941</v>
      </c>
      <c r="X99" s="13" t="s">
        <v>942</v>
      </c>
      <c r="Y99" s="13" t="s">
        <v>934</v>
      </c>
      <c r="Z99" s="13" t="s">
        <v>935</v>
      </c>
      <c r="AA99" s="41"/>
      <c r="AB99" s="45">
        <v>231968</v>
      </c>
      <c r="AC99" s="29">
        <v>0</v>
      </c>
      <c r="AD99" s="41">
        <v>231967.99999999997</v>
      </c>
      <c r="AE99" s="29">
        <v>0</v>
      </c>
      <c r="AF99" s="29">
        <f t="shared" si="47"/>
        <v>231967.99999999997</v>
      </c>
      <c r="AG99" s="25">
        <v>0.12</v>
      </c>
      <c r="AH99" s="29">
        <f t="shared" si="45"/>
        <v>27836.159999999996</v>
      </c>
      <c r="AI99" s="29">
        <f t="shared" si="46"/>
        <v>0</v>
      </c>
      <c r="AJ99" s="29">
        <f t="shared" si="54"/>
        <v>259804.16</v>
      </c>
      <c r="AK99" s="29">
        <v>230400</v>
      </c>
      <c r="AL99" s="29">
        <f>AB99-AK99</f>
        <v>1568</v>
      </c>
      <c r="AM99" s="29"/>
      <c r="AN99" s="41"/>
      <c r="AO99" s="41">
        <v>231967.99999999997</v>
      </c>
      <c r="AP99" s="41"/>
      <c r="AQ99" s="41">
        <v>230400</v>
      </c>
      <c r="AR99" s="41"/>
      <c r="AS99" s="41"/>
      <c r="AT99" s="41"/>
      <c r="AU99" s="41"/>
      <c r="AV99" s="41"/>
      <c r="AW99" s="41"/>
      <c r="AX99" s="41"/>
      <c r="AY99" s="41"/>
      <c r="AZ99" s="41"/>
      <c r="BA99" s="41"/>
      <c r="BB99" s="41"/>
      <c r="BC99" s="41"/>
      <c r="BD99" s="37"/>
      <c r="BE99" s="37"/>
      <c r="BF99" s="29">
        <f t="shared" si="50"/>
        <v>1568</v>
      </c>
      <c r="BG99" s="29">
        <f t="shared" si="48"/>
        <v>1568</v>
      </c>
      <c r="BH99" s="37" t="s">
        <v>594</v>
      </c>
      <c r="BI99" s="29" t="s">
        <v>570</v>
      </c>
      <c r="BJ99" s="29" t="s">
        <v>570</v>
      </c>
      <c r="BK99" s="29" t="s">
        <v>570</v>
      </c>
      <c r="BL99" s="29" t="s">
        <v>570</v>
      </c>
      <c r="BM99" s="29" t="s">
        <v>570</v>
      </c>
      <c r="BN99" s="23">
        <v>42256</v>
      </c>
      <c r="BO99" s="23">
        <v>42276</v>
      </c>
      <c r="BP99" s="23">
        <v>42283</v>
      </c>
      <c r="BQ99" s="23">
        <v>42290</v>
      </c>
      <c r="BR99" s="13" t="s">
        <v>570</v>
      </c>
      <c r="BS99" s="23">
        <v>42297</v>
      </c>
      <c r="BT99" s="23">
        <v>42301</v>
      </c>
      <c r="BU99" s="13" t="s">
        <v>570</v>
      </c>
      <c r="BV99" s="13" t="s">
        <v>570</v>
      </c>
      <c r="BW99" s="224" t="s">
        <v>570</v>
      </c>
      <c r="BX99" s="23">
        <v>42293</v>
      </c>
      <c r="BY99" s="13" t="s">
        <v>570</v>
      </c>
      <c r="BZ99" s="23">
        <v>42296</v>
      </c>
      <c r="CA99" s="23">
        <v>42317</v>
      </c>
      <c r="CB99" s="224" t="s">
        <v>570</v>
      </c>
      <c r="CC99" s="224" t="s">
        <v>570</v>
      </c>
      <c r="CD99" s="224" t="s">
        <v>570</v>
      </c>
      <c r="CE99" s="23"/>
      <c r="CF99" s="127" t="s">
        <v>829</v>
      </c>
      <c r="CG99" s="23"/>
      <c r="CH99" s="23"/>
      <c r="CI99" s="23"/>
      <c r="CJ99" s="23"/>
      <c r="CK99" s="23"/>
      <c r="CL99" s="23"/>
      <c r="CM99" s="23"/>
      <c r="CN99" s="23"/>
      <c r="CO99" s="23"/>
      <c r="CP99" s="23"/>
      <c r="CQ99" s="23"/>
      <c r="CR99" s="127" t="s">
        <v>829</v>
      </c>
      <c r="CS99" s="13" t="s">
        <v>570</v>
      </c>
      <c r="CT99" s="37" t="s">
        <v>452</v>
      </c>
      <c r="CU99" s="25">
        <v>0.05</v>
      </c>
      <c r="CV99" s="23">
        <v>42453</v>
      </c>
      <c r="CW99" s="30">
        <f>AQ99*0.5</f>
        <v>115200</v>
      </c>
      <c r="CX99" s="30"/>
      <c r="CY99" s="23">
        <v>42731</v>
      </c>
      <c r="CZ99" s="30">
        <f>230400-115200</f>
        <v>115200</v>
      </c>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31">
        <f t="shared" si="49"/>
        <v>230400</v>
      </c>
      <c r="DZ99" s="13"/>
      <c r="EA99" s="13"/>
      <c r="EB99" s="13"/>
      <c r="EC99" s="13"/>
      <c r="ED99" s="13"/>
      <c r="EE99" s="13"/>
      <c r="EF99" s="13"/>
      <c r="EG99" s="13">
        <v>180</v>
      </c>
      <c r="EH99" s="13" t="s">
        <v>588</v>
      </c>
      <c r="EI99" s="23">
        <f t="shared" si="52"/>
        <v>42454</v>
      </c>
      <c r="EJ99" s="23">
        <f t="shared" si="53"/>
        <v>42634</v>
      </c>
      <c r="EK99" s="13"/>
      <c r="EL99" s="13"/>
      <c r="EM99" s="13"/>
      <c r="EN99" s="13"/>
      <c r="EO99" s="13"/>
      <c r="EP99" s="13"/>
      <c r="EQ99" s="13"/>
      <c r="ER99" s="13"/>
      <c r="ES99" s="13"/>
      <c r="ET99" s="13"/>
      <c r="EU99" s="13"/>
      <c r="EV99" s="13"/>
      <c r="EW99" s="13"/>
      <c r="EX99" s="13"/>
      <c r="EY99" s="13"/>
      <c r="EZ99" s="13"/>
      <c r="FA99" s="13"/>
      <c r="FB99" s="13"/>
      <c r="FC99" s="13"/>
      <c r="FD99" s="13"/>
      <c r="FE99" s="13"/>
      <c r="FF99" s="13" t="s">
        <v>503</v>
      </c>
      <c r="FG99" s="13"/>
      <c r="FH99" s="25"/>
      <c r="FI99" s="25"/>
      <c r="FJ99" s="25"/>
      <c r="FK99" s="25"/>
      <c r="FL99" s="25"/>
      <c r="FM99" s="25"/>
      <c r="FN99" s="25"/>
      <c r="FO99" s="25"/>
      <c r="FP99" s="25"/>
      <c r="FQ99" s="25"/>
      <c r="FR99" s="25"/>
      <c r="FS99" s="25">
        <v>1</v>
      </c>
      <c r="FT99" s="25">
        <v>1</v>
      </c>
      <c r="FU99" s="25">
        <v>1</v>
      </c>
      <c r="FV99" s="25">
        <v>1</v>
      </c>
      <c r="FW99" s="25">
        <v>1</v>
      </c>
      <c r="FX99" s="25">
        <v>1</v>
      </c>
      <c r="FY99" s="25">
        <v>1</v>
      </c>
      <c r="FZ99" s="25">
        <v>1</v>
      </c>
      <c r="GA99" s="25">
        <v>1</v>
      </c>
      <c r="GB99" s="25">
        <v>1</v>
      </c>
      <c r="GC99" s="25">
        <v>1</v>
      </c>
      <c r="GD99" s="25">
        <v>1</v>
      </c>
      <c r="GE99" s="25">
        <v>1</v>
      </c>
      <c r="GF99" s="25">
        <v>1</v>
      </c>
      <c r="GG99" s="25">
        <v>1</v>
      </c>
      <c r="GH99" s="25">
        <v>1</v>
      </c>
      <c r="GI99" s="25">
        <v>1</v>
      </c>
      <c r="GJ99" s="25">
        <v>1</v>
      </c>
      <c r="GK99" s="25">
        <v>1</v>
      </c>
      <c r="GL99" s="25">
        <v>1</v>
      </c>
      <c r="GM99" s="25">
        <v>1</v>
      </c>
      <c r="GN99" s="25">
        <v>1</v>
      </c>
      <c r="GO99" s="25">
        <v>1</v>
      </c>
      <c r="GP99" s="25">
        <v>1</v>
      </c>
      <c r="GQ99" s="25">
        <v>1</v>
      </c>
      <c r="GR99" s="25">
        <v>1</v>
      </c>
      <c r="GS99" s="25">
        <v>1</v>
      </c>
      <c r="GT99" s="25">
        <v>1</v>
      </c>
      <c r="GU99" s="25">
        <v>1</v>
      </c>
      <c r="GV99" s="25" t="s">
        <v>455</v>
      </c>
      <c r="GW99" s="25" t="s">
        <v>455</v>
      </c>
      <c r="GX99" s="25" t="s">
        <v>455</v>
      </c>
      <c r="GY99" s="25" t="s">
        <v>455</v>
      </c>
      <c r="GZ99" s="25" t="s">
        <v>455</v>
      </c>
      <c r="HA99" s="25" t="s">
        <v>455</v>
      </c>
      <c r="HB99" s="25" t="s">
        <v>455</v>
      </c>
      <c r="HC99" s="25" t="s">
        <v>455</v>
      </c>
      <c r="HD99" s="25" t="s">
        <v>455</v>
      </c>
      <c r="HE99" s="25" t="s">
        <v>455</v>
      </c>
      <c r="HF99" s="25" t="s">
        <v>455</v>
      </c>
      <c r="HG99" s="25" t="s">
        <v>455</v>
      </c>
      <c r="HH99" s="25" t="s">
        <v>455</v>
      </c>
      <c r="HI99" s="25"/>
      <c r="HJ99" s="25"/>
      <c r="HK99" s="25"/>
      <c r="HL99" s="25"/>
      <c r="HM99" s="25"/>
      <c r="HN99" s="25"/>
      <c r="HO99" s="25"/>
      <c r="HP99" s="25"/>
      <c r="HQ99" s="25"/>
      <c r="HR99" s="25"/>
      <c r="HS99" s="25"/>
      <c r="HT99" s="25"/>
      <c r="HU99" s="13"/>
      <c r="HV99" s="13"/>
      <c r="HW99" s="32"/>
      <c r="HX99" s="55"/>
      <c r="HY99" s="55"/>
      <c r="HZ99" s="55"/>
      <c r="IA99" s="55"/>
      <c r="IB99" s="55"/>
      <c r="IC99" s="55"/>
      <c r="ID99" s="55"/>
      <c r="IE99" s="55"/>
      <c r="IF99" s="107">
        <v>231968</v>
      </c>
      <c r="IG99" s="107">
        <v>230400</v>
      </c>
      <c r="IH99" s="250">
        <f t="shared" si="55"/>
        <v>0</v>
      </c>
      <c r="II99" s="55"/>
      <c r="IJ99" s="55"/>
      <c r="IK99" s="55"/>
      <c r="IL99" s="55"/>
      <c r="IM99" s="55"/>
      <c r="IN99" s="55"/>
      <c r="IO99" s="55"/>
      <c r="IP99" s="55"/>
      <c r="IQ99" s="55"/>
      <c r="IR99" s="55"/>
      <c r="IS99" s="55"/>
      <c r="IT99" s="55"/>
      <c r="IU99" s="55"/>
      <c r="IV99" s="55"/>
      <c r="IW99" s="55"/>
      <c r="IX99" s="55"/>
      <c r="IY99" s="55"/>
      <c r="IZ99" s="55"/>
      <c r="JA99" s="55"/>
      <c r="JB99" s="55"/>
      <c r="JC99" s="55"/>
      <c r="JD99" s="55">
        <v>2016</v>
      </c>
    </row>
    <row r="100" spans="1:264" s="5" customFormat="1" ht="78.75" hidden="1">
      <c r="A100" s="26" t="s">
        <v>86</v>
      </c>
      <c r="B100" s="26" t="s">
        <v>27</v>
      </c>
      <c r="C100" s="13" t="s">
        <v>349</v>
      </c>
      <c r="D100" s="13" t="s">
        <v>380</v>
      </c>
      <c r="E100" s="16" t="s">
        <v>350</v>
      </c>
      <c r="F100" s="13" t="s">
        <v>350</v>
      </c>
      <c r="G100" s="39" t="s">
        <v>351</v>
      </c>
      <c r="H100" s="13" t="s">
        <v>1547</v>
      </c>
      <c r="I100" s="21" t="s">
        <v>88</v>
      </c>
      <c r="J100" s="40">
        <v>1</v>
      </c>
      <c r="K100" s="49" t="s">
        <v>375</v>
      </c>
      <c r="L100" s="26" t="s">
        <v>87</v>
      </c>
      <c r="M100" s="20" t="s">
        <v>88</v>
      </c>
      <c r="N100" s="20"/>
      <c r="O100" s="13" t="s">
        <v>3</v>
      </c>
      <c r="P100" s="13" t="s">
        <v>4</v>
      </c>
      <c r="Q100" s="22" t="s">
        <v>364</v>
      </c>
      <c r="R100" s="26" t="s">
        <v>787</v>
      </c>
      <c r="S100" s="13" t="s">
        <v>562</v>
      </c>
      <c r="T100" s="13" t="s">
        <v>1387</v>
      </c>
      <c r="U100" s="13" t="s">
        <v>479</v>
      </c>
      <c r="V100" s="13" t="s">
        <v>567</v>
      </c>
      <c r="W100" s="13" t="s">
        <v>565</v>
      </c>
      <c r="X100" s="13" t="s">
        <v>566</v>
      </c>
      <c r="Y100" s="13" t="s">
        <v>563</v>
      </c>
      <c r="Z100" s="13" t="s">
        <v>564</v>
      </c>
      <c r="AA100" s="41"/>
      <c r="AB100" s="29">
        <v>2987639.48</v>
      </c>
      <c r="AC100" s="29">
        <v>0</v>
      </c>
      <c r="AD100" s="41">
        <v>2987639.4800000004</v>
      </c>
      <c r="AE100" s="29">
        <v>0</v>
      </c>
      <c r="AF100" s="29">
        <f t="shared" si="47"/>
        <v>2987639.4800000004</v>
      </c>
      <c r="AG100" s="25">
        <v>0.12</v>
      </c>
      <c r="AH100" s="29">
        <f t="shared" si="45"/>
        <v>358516.73760000005</v>
      </c>
      <c r="AI100" s="29">
        <f t="shared" si="46"/>
        <v>0</v>
      </c>
      <c r="AJ100" s="29">
        <f t="shared" si="54"/>
        <v>3346156.217600001</v>
      </c>
      <c r="AK100" s="29">
        <v>2870863.3000000003</v>
      </c>
      <c r="AL100" s="29">
        <f>AB100-AK100</f>
        <v>116776.1799999997</v>
      </c>
      <c r="AM100" s="29"/>
      <c r="AN100" s="41"/>
      <c r="AO100" s="41">
        <v>2987639.4800000004</v>
      </c>
      <c r="AP100" s="41"/>
      <c r="AQ100" s="41">
        <v>2730793.15</v>
      </c>
      <c r="AR100" s="25">
        <v>0.12</v>
      </c>
      <c r="AS100" s="41">
        <f>AQ100*0.12</f>
        <v>327695.17799999996</v>
      </c>
      <c r="AT100" s="41">
        <f>+AQ100*1.12</f>
        <v>3058488.3280000002</v>
      </c>
      <c r="AU100" s="41">
        <v>397143.33</v>
      </c>
      <c r="AV100" s="41"/>
      <c r="AW100" s="162">
        <v>317460.55000000051</v>
      </c>
      <c r="AX100" s="41"/>
      <c r="AY100" s="41"/>
      <c r="AZ100" s="41"/>
      <c r="BA100" s="41"/>
      <c r="BB100" s="41"/>
      <c r="BC100" s="41"/>
      <c r="BD100" s="37"/>
      <c r="BE100" s="37"/>
      <c r="BF100" s="29">
        <f t="shared" si="50"/>
        <v>256846.33000000007</v>
      </c>
      <c r="BG100" s="29">
        <f t="shared" si="48"/>
        <v>-60614.220000000438</v>
      </c>
      <c r="BH100" s="37" t="s">
        <v>594</v>
      </c>
      <c r="BI100" s="29" t="s">
        <v>570</v>
      </c>
      <c r="BJ100" s="29" t="s">
        <v>570</v>
      </c>
      <c r="BK100" s="29" t="s">
        <v>570</v>
      </c>
      <c r="BL100" s="29" t="s">
        <v>570</v>
      </c>
      <c r="BM100" s="29" t="s">
        <v>570</v>
      </c>
      <c r="BN100" s="23">
        <v>42247</v>
      </c>
      <c r="BO100" s="23">
        <v>42255</v>
      </c>
      <c r="BP100" s="23">
        <v>42263</v>
      </c>
      <c r="BQ100" s="23">
        <v>42275</v>
      </c>
      <c r="BR100" s="13" t="s">
        <v>570</v>
      </c>
      <c r="BS100" s="23">
        <v>42282</v>
      </c>
      <c r="BT100" s="23">
        <v>42289</v>
      </c>
      <c r="BU100" s="13" t="s">
        <v>570</v>
      </c>
      <c r="BV100" s="13" t="s">
        <v>570</v>
      </c>
      <c r="BW100" s="224" t="s">
        <v>570</v>
      </c>
      <c r="BX100" s="23">
        <v>42307</v>
      </c>
      <c r="BY100" s="23" t="s">
        <v>570</v>
      </c>
      <c r="BZ100" s="13" t="s">
        <v>503</v>
      </c>
      <c r="CA100" s="23">
        <v>42340</v>
      </c>
      <c r="CB100" s="224" t="s">
        <v>570</v>
      </c>
      <c r="CC100" s="224" t="s">
        <v>570</v>
      </c>
      <c r="CD100" s="224" t="s">
        <v>570</v>
      </c>
      <c r="CE100" s="23"/>
      <c r="CF100" s="127" t="s">
        <v>829</v>
      </c>
      <c r="CG100" s="23"/>
      <c r="CH100" s="23"/>
      <c r="CI100" s="23"/>
      <c r="CJ100" s="23"/>
      <c r="CK100" s="23"/>
      <c r="CL100" s="23"/>
      <c r="CM100" s="23"/>
      <c r="CN100" s="23"/>
      <c r="CO100" s="23"/>
      <c r="CP100" s="23"/>
      <c r="CQ100" s="23"/>
      <c r="CR100" s="127" t="s">
        <v>829</v>
      </c>
      <c r="CS100" s="13" t="s">
        <v>570</v>
      </c>
      <c r="CT100" s="37" t="s">
        <v>455</v>
      </c>
      <c r="CU100" s="25">
        <v>0.05</v>
      </c>
      <c r="CV100" s="23">
        <v>42418</v>
      </c>
      <c r="CW100" s="30">
        <f>AQ100*0.5</f>
        <v>1365396.575</v>
      </c>
      <c r="CX100" s="51"/>
      <c r="CY100" s="23">
        <v>42703</v>
      </c>
      <c r="CZ100" s="30">
        <f>819117.47-409558.74</f>
        <v>409558.73</v>
      </c>
      <c r="DA100" s="13"/>
      <c r="DB100" s="23">
        <v>42712</v>
      </c>
      <c r="DC100" s="37">
        <f>819358.42-409679.21</f>
        <v>409679.21</v>
      </c>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31">
        <f t="shared" si="49"/>
        <v>2184634.5150000001</v>
      </c>
      <c r="DZ100" s="13"/>
      <c r="EA100" s="13"/>
      <c r="EB100" s="13"/>
      <c r="EC100" s="13"/>
      <c r="ED100" s="13"/>
      <c r="EE100" s="13"/>
      <c r="EF100" s="13"/>
      <c r="EG100" s="13">
        <v>210</v>
      </c>
      <c r="EH100" s="13" t="s">
        <v>588</v>
      </c>
      <c r="EI100" s="23">
        <f t="shared" si="52"/>
        <v>42419</v>
      </c>
      <c r="EJ100" s="23">
        <f t="shared" si="53"/>
        <v>42629</v>
      </c>
      <c r="EK100" s="13"/>
      <c r="EL100" s="13">
        <v>152</v>
      </c>
      <c r="EM100" s="23">
        <f>EJ100+EL100</f>
        <v>42781</v>
      </c>
      <c r="EN100" s="23"/>
      <c r="EO100" s="23"/>
      <c r="EP100" s="23"/>
      <c r="EQ100" s="23"/>
      <c r="ER100" s="23"/>
      <c r="ES100" s="23"/>
      <c r="ET100" s="23"/>
      <c r="EU100" s="23"/>
      <c r="EV100" s="23"/>
      <c r="EW100" s="13"/>
      <c r="EX100" s="13"/>
      <c r="EY100" s="13"/>
      <c r="EZ100" s="13"/>
      <c r="FA100" s="13"/>
      <c r="FB100" s="13"/>
      <c r="FC100" s="13"/>
      <c r="FD100" s="13"/>
      <c r="FE100" s="13"/>
      <c r="FF100" s="13"/>
      <c r="FG100" s="13"/>
      <c r="FH100" s="13"/>
      <c r="FI100" s="13"/>
      <c r="FJ100" s="25">
        <v>0.01</v>
      </c>
      <c r="FK100" s="25">
        <v>7.0000000000000007E-2</v>
      </c>
      <c r="FL100" s="25">
        <v>0.12</v>
      </c>
      <c r="FM100" s="25">
        <v>0.12</v>
      </c>
      <c r="FN100" s="25">
        <v>0.13</v>
      </c>
      <c r="FO100" s="25">
        <v>0.23</v>
      </c>
      <c r="FP100" s="25">
        <v>0.44400000000000001</v>
      </c>
      <c r="FQ100" s="13">
        <v>44.4</v>
      </c>
      <c r="FR100" s="13">
        <v>46.4</v>
      </c>
      <c r="FS100" s="13">
        <v>62.56</v>
      </c>
      <c r="FT100" s="13">
        <v>80.09</v>
      </c>
      <c r="FU100" s="25">
        <v>0.84699999999999998</v>
      </c>
      <c r="FV100" s="25">
        <v>0.84699999999999998</v>
      </c>
      <c r="FW100" s="25">
        <v>0.84699999999999998</v>
      </c>
      <c r="FX100" s="25">
        <v>0.95</v>
      </c>
      <c r="FY100" s="25">
        <v>0.86199999999999999</v>
      </c>
      <c r="FZ100" s="25">
        <v>0.90800000000000003</v>
      </c>
      <c r="GA100" s="25">
        <v>0.98</v>
      </c>
      <c r="GB100" s="25">
        <v>0.99</v>
      </c>
      <c r="GC100" s="25">
        <v>0.99</v>
      </c>
      <c r="GD100" s="25">
        <v>1</v>
      </c>
      <c r="GE100" s="25">
        <v>1</v>
      </c>
      <c r="GF100" s="25">
        <v>1</v>
      </c>
      <c r="GG100" s="25">
        <v>1</v>
      </c>
      <c r="GH100" s="25">
        <v>1</v>
      </c>
      <c r="GI100" s="25">
        <v>1</v>
      </c>
      <c r="GJ100" s="25">
        <v>1</v>
      </c>
      <c r="GK100" s="25">
        <v>1</v>
      </c>
      <c r="GL100" s="25">
        <v>1</v>
      </c>
      <c r="GM100" s="25">
        <v>1</v>
      </c>
      <c r="GN100" s="25">
        <v>1</v>
      </c>
      <c r="GO100" s="25">
        <v>1</v>
      </c>
      <c r="GP100" s="25">
        <v>1</v>
      </c>
      <c r="GQ100" s="25">
        <v>1</v>
      </c>
      <c r="GR100" s="25">
        <v>1</v>
      </c>
      <c r="GS100" s="25">
        <v>1</v>
      </c>
      <c r="GT100" s="25">
        <v>1</v>
      </c>
      <c r="GU100" s="25">
        <v>1</v>
      </c>
      <c r="GV100" s="25" t="s">
        <v>1588</v>
      </c>
      <c r="GW100" s="25" t="s">
        <v>1588</v>
      </c>
      <c r="GX100" s="25" t="s">
        <v>1588</v>
      </c>
      <c r="GY100" s="25" t="s">
        <v>455</v>
      </c>
      <c r="GZ100" s="25" t="s">
        <v>1588</v>
      </c>
      <c r="HA100" s="25" t="s">
        <v>1588</v>
      </c>
      <c r="HB100" s="25" t="s">
        <v>1845</v>
      </c>
      <c r="HC100" s="25" t="s">
        <v>455</v>
      </c>
      <c r="HD100" s="25" t="s">
        <v>455</v>
      </c>
      <c r="HE100" s="25" t="s">
        <v>455</v>
      </c>
      <c r="HF100" s="25" t="s">
        <v>455</v>
      </c>
      <c r="HG100" s="25" t="s">
        <v>455</v>
      </c>
      <c r="HH100" s="25" t="s">
        <v>455</v>
      </c>
      <c r="HI100" s="25"/>
      <c r="HJ100" s="25"/>
      <c r="HK100" s="25"/>
      <c r="HL100" s="25" t="s">
        <v>1705</v>
      </c>
      <c r="HM100" s="25" t="s">
        <v>1738</v>
      </c>
      <c r="HN100" s="25"/>
      <c r="HO100" s="25" t="s">
        <v>1844</v>
      </c>
      <c r="HP100" s="25"/>
      <c r="HQ100" s="25"/>
      <c r="HR100" s="25"/>
      <c r="HS100" s="25"/>
      <c r="HT100" s="25"/>
      <c r="HU100" s="16" t="s">
        <v>1506</v>
      </c>
      <c r="HV100" s="16"/>
      <c r="HW100" s="13" t="s">
        <v>1202</v>
      </c>
      <c r="HX100" s="55"/>
      <c r="HY100" s="55"/>
      <c r="HZ100" s="55"/>
      <c r="IA100" s="55"/>
      <c r="IB100" s="55"/>
      <c r="IC100" s="55"/>
      <c r="ID100" s="55"/>
      <c r="IE100" s="55"/>
      <c r="IF100" s="107">
        <v>2987639.48</v>
      </c>
      <c r="IG100" s="107"/>
      <c r="IH100" s="250">
        <f t="shared" si="55"/>
        <v>2870863.3000000003</v>
      </c>
      <c r="II100" s="55"/>
      <c r="IJ100" s="55"/>
      <c r="IK100" s="55"/>
      <c r="IL100" s="55"/>
      <c r="IM100" s="55"/>
      <c r="IN100" s="55"/>
      <c r="IO100" s="55"/>
      <c r="IP100" s="55"/>
      <c r="IQ100" s="55"/>
      <c r="IR100" s="55"/>
      <c r="IS100" s="55"/>
      <c r="IT100" s="55"/>
      <c r="IU100" s="55"/>
      <c r="IV100" s="55"/>
      <c r="IW100" s="55"/>
      <c r="IX100" s="55"/>
      <c r="IY100" s="55"/>
      <c r="IZ100" s="55"/>
      <c r="JA100" s="55"/>
      <c r="JB100" s="55"/>
      <c r="JC100" s="55"/>
      <c r="JD100" s="55">
        <v>2017</v>
      </c>
    </row>
    <row r="101" spans="1:264" s="5" customFormat="1" ht="24.95" hidden="1" customHeight="1">
      <c r="A101" s="26" t="s">
        <v>86</v>
      </c>
      <c r="B101" s="26" t="s">
        <v>27</v>
      </c>
      <c r="C101" s="13" t="s">
        <v>349</v>
      </c>
      <c r="D101" s="13" t="s">
        <v>380</v>
      </c>
      <c r="E101" s="13" t="s">
        <v>360</v>
      </c>
      <c r="F101" s="13" t="s">
        <v>360</v>
      </c>
      <c r="G101" s="26" t="s">
        <v>354</v>
      </c>
      <c r="H101" s="13" t="s">
        <v>1547</v>
      </c>
      <c r="I101" s="14" t="s">
        <v>972</v>
      </c>
      <c r="J101" s="26">
        <v>2</v>
      </c>
      <c r="K101" s="49" t="s">
        <v>375</v>
      </c>
      <c r="L101" s="26" t="s">
        <v>89</v>
      </c>
      <c r="M101" s="20" t="s">
        <v>90</v>
      </c>
      <c r="N101" s="20" t="s">
        <v>1966</v>
      </c>
      <c r="O101" s="13" t="s">
        <v>3</v>
      </c>
      <c r="P101" s="13" t="s">
        <v>4</v>
      </c>
      <c r="Q101" s="22" t="s">
        <v>1118</v>
      </c>
      <c r="R101" s="26" t="s">
        <v>89</v>
      </c>
      <c r="S101" s="13" t="s">
        <v>747</v>
      </c>
      <c r="T101" s="13" t="s">
        <v>1387</v>
      </c>
      <c r="U101" s="13" t="s">
        <v>477</v>
      </c>
      <c r="V101" s="24">
        <v>1306977248001</v>
      </c>
      <c r="W101" s="13" t="s">
        <v>749</v>
      </c>
      <c r="X101" s="13" t="s">
        <v>750</v>
      </c>
      <c r="Y101" s="13" t="s">
        <v>751</v>
      </c>
      <c r="Z101" s="13" t="s">
        <v>752</v>
      </c>
      <c r="AA101" s="41"/>
      <c r="AB101" s="45">
        <v>388023.1</v>
      </c>
      <c r="AC101" s="29">
        <v>0</v>
      </c>
      <c r="AD101" s="41">
        <v>388023.1</v>
      </c>
      <c r="AE101" s="29">
        <v>0</v>
      </c>
      <c r="AF101" s="29">
        <f t="shared" si="47"/>
        <v>388023.1</v>
      </c>
      <c r="AG101" s="25">
        <v>0.12</v>
      </c>
      <c r="AH101" s="29">
        <f t="shared" si="45"/>
        <v>46562.771999999997</v>
      </c>
      <c r="AI101" s="29">
        <f t="shared" si="46"/>
        <v>0</v>
      </c>
      <c r="AJ101" s="29">
        <f t="shared" si="54"/>
        <v>434585.87200000003</v>
      </c>
      <c r="AK101" s="29">
        <v>365178.32</v>
      </c>
      <c r="AL101" s="29">
        <f>AB101-AK101</f>
        <v>22844.77999999997</v>
      </c>
      <c r="AM101" s="29"/>
      <c r="AN101" s="41"/>
      <c r="AO101" s="41">
        <v>388023.11</v>
      </c>
      <c r="AP101" s="41"/>
      <c r="AQ101" s="41">
        <v>367903.85</v>
      </c>
      <c r="AR101" s="41"/>
      <c r="AS101" s="41"/>
      <c r="AT101" s="41"/>
      <c r="AU101" s="41"/>
      <c r="AV101" s="41"/>
      <c r="AW101" s="41"/>
      <c r="AX101" s="41"/>
      <c r="AY101" s="41"/>
      <c r="AZ101" s="41"/>
      <c r="BA101" s="41"/>
      <c r="BB101" s="41"/>
      <c r="BC101" s="41"/>
      <c r="BD101" s="37"/>
      <c r="BE101" s="37"/>
      <c r="BF101" s="29">
        <f t="shared" si="50"/>
        <v>20119.25</v>
      </c>
      <c r="BG101" s="29">
        <f t="shared" si="48"/>
        <v>20119.25</v>
      </c>
      <c r="BH101" s="37" t="s">
        <v>594</v>
      </c>
      <c r="BI101" s="29" t="s">
        <v>570</v>
      </c>
      <c r="BJ101" s="29" t="s">
        <v>570</v>
      </c>
      <c r="BK101" s="29" t="s">
        <v>570</v>
      </c>
      <c r="BL101" s="29" t="s">
        <v>570</v>
      </c>
      <c r="BM101" s="29" t="s">
        <v>570</v>
      </c>
      <c r="BN101" s="23">
        <v>42244</v>
      </c>
      <c r="BO101" s="23">
        <v>42250</v>
      </c>
      <c r="BP101" s="23">
        <v>42258</v>
      </c>
      <c r="BQ101" s="23">
        <v>42272</v>
      </c>
      <c r="BR101" s="13" t="s">
        <v>570</v>
      </c>
      <c r="BS101" s="23">
        <v>42277</v>
      </c>
      <c r="BT101" s="23">
        <v>42284</v>
      </c>
      <c r="BU101" s="13" t="s">
        <v>570</v>
      </c>
      <c r="BV101" s="13" t="s">
        <v>570</v>
      </c>
      <c r="BW101" s="224" t="s">
        <v>570</v>
      </c>
      <c r="BX101" s="23">
        <v>42367</v>
      </c>
      <c r="BY101" s="13" t="s">
        <v>570</v>
      </c>
      <c r="BZ101" s="13" t="s">
        <v>503</v>
      </c>
      <c r="CA101" s="23">
        <v>42389</v>
      </c>
      <c r="CB101" s="224" t="s">
        <v>570</v>
      </c>
      <c r="CC101" s="224" t="s">
        <v>570</v>
      </c>
      <c r="CD101" s="224" t="s">
        <v>570</v>
      </c>
      <c r="CE101" s="23"/>
      <c r="CF101" s="127" t="s">
        <v>829</v>
      </c>
      <c r="CG101" s="23"/>
      <c r="CH101" s="23"/>
      <c r="CI101" s="23"/>
      <c r="CJ101" s="23"/>
      <c r="CK101" s="23"/>
      <c r="CL101" s="23"/>
      <c r="CM101" s="23"/>
      <c r="CN101" s="23"/>
      <c r="CO101" s="23"/>
      <c r="CP101" s="23"/>
      <c r="CQ101" s="23"/>
      <c r="CR101" s="127" t="s">
        <v>829</v>
      </c>
      <c r="CS101" s="13" t="s">
        <v>570</v>
      </c>
      <c r="CT101" s="37" t="s">
        <v>455</v>
      </c>
      <c r="CU101" s="25">
        <v>0.05</v>
      </c>
      <c r="CV101" s="23">
        <v>42464</v>
      </c>
      <c r="CW101" s="30">
        <f>AQ101*0.5</f>
        <v>183951.92499999999</v>
      </c>
      <c r="CX101" s="13" t="s">
        <v>1435</v>
      </c>
      <c r="CY101" s="23">
        <v>42699</v>
      </c>
      <c r="CZ101" s="37">
        <v>55185.58</v>
      </c>
      <c r="DA101" s="13" t="s">
        <v>1436</v>
      </c>
      <c r="DB101" s="23">
        <v>42699</v>
      </c>
      <c r="DC101" s="37">
        <v>55185.57</v>
      </c>
      <c r="DD101" s="13" t="s">
        <v>1437</v>
      </c>
      <c r="DE101" s="163">
        <v>42711</v>
      </c>
      <c r="DF101" s="58">
        <f>110371.15-73580.77</f>
        <v>36790.37999999999</v>
      </c>
      <c r="DG101" s="160" t="s">
        <v>1438</v>
      </c>
      <c r="DH101" s="155">
        <v>42878</v>
      </c>
      <c r="DI101" s="58">
        <v>34064.86</v>
      </c>
      <c r="DJ101" s="13"/>
      <c r="DK101" s="13"/>
      <c r="DL101" s="13"/>
      <c r="DM101" s="13"/>
      <c r="DN101" s="13"/>
      <c r="DO101" s="13"/>
      <c r="DP101" s="13"/>
      <c r="DQ101" s="13"/>
      <c r="DR101" s="13"/>
      <c r="DS101" s="13"/>
      <c r="DT101" s="13"/>
      <c r="DU101" s="13"/>
      <c r="DV101" s="13"/>
      <c r="DW101" s="13"/>
      <c r="DX101" s="13"/>
      <c r="DY101" s="31">
        <f t="shared" si="49"/>
        <v>365178.315</v>
      </c>
      <c r="DZ101" s="30"/>
      <c r="EA101" s="30"/>
      <c r="EB101" s="30"/>
      <c r="EC101" s="30"/>
      <c r="ED101" s="30"/>
      <c r="EE101" s="30"/>
      <c r="EF101" s="30"/>
      <c r="EG101" s="13">
        <v>180</v>
      </c>
      <c r="EH101" s="13" t="s">
        <v>588</v>
      </c>
      <c r="EI101" s="23">
        <f t="shared" si="52"/>
        <v>42465</v>
      </c>
      <c r="EJ101" s="23">
        <f t="shared" si="53"/>
        <v>42645</v>
      </c>
      <c r="EK101" s="13"/>
      <c r="EL101" s="13">
        <v>14</v>
      </c>
      <c r="EM101" s="23">
        <f>EJ101+EL101</f>
        <v>42659</v>
      </c>
      <c r="EN101" s="23"/>
      <c r="EO101" s="23"/>
      <c r="EP101" s="23"/>
      <c r="EQ101" s="23"/>
      <c r="ER101" s="23"/>
      <c r="ES101" s="23"/>
      <c r="ET101" s="23"/>
      <c r="EU101" s="23"/>
      <c r="EV101" s="23"/>
      <c r="EW101" s="13"/>
      <c r="EX101" s="13"/>
      <c r="EY101" s="13"/>
      <c r="EZ101" s="13"/>
      <c r="FA101" s="13"/>
      <c r="FB101" s="13"/>
      <c r="FC101" s="13"/>
      <c r="FD101" s="13"/>
      <c r="FE101" s="13"/>
      <c r="FF101" s="13"/>
      <c r="FG101" s="13"/>
      <c r="FH101" s="25"/>
      <c r="FI101" s="25"/>
      <c r="FJ101" s="25"/>
      <c r="FK101" s="25"/>
      <c r="FL101" s="25">
        <v>0.2</v>
      </c>
      <c r="FM101" s="25">
        <v>0.54</v>
      </c>
      <c r="FN101" s="25">
        <v>0.65</v>
      </c>
      <c r="FO101" s="25">
        <v>0.71</v>
      </c>
      <c r="FP101" s="25">
        <v>0.8</v>
      </c>
      <c r="FQ101" s="25">
        <v>1</v>
      </c>
      <c r="FR101" s="25">
        <v>1</v>
      </c>
      <c r="FS101" s="25">
        <v>1</v>
      </c>
      <c r="FT101" s="25">
        <v>1</v>
      </c>
      <c r="FU101" s="25">
        <v>1</v>
      </c>
      <c r="FV101" s="25">
        <v>1</v>
      </c>
      <c r="FW101" s="25">
        <v>1</v>
      </c>
      <c r="FX101" s="25">
        <v>1</v>
      </c>
      <c r="FY101" s="25">
        <v>1</v>
      </c>
      <c r="FZ101" s="25">
        <v>1</v>
      </c>
      <c r="GA101" s="25">
        <v>1</v>
      </c>
      <c r="GB101" s="25">
        <v>1</v>
      </c>
      <c r="GC101" s="25">
        <v>1</v>
      </c>
      <c r="GD101" s="25">
        <v>1</v>
      </c>
      <c r="GE101" s="25">
        <v>1</v>
      </c>
      <c r="GF101" s="25">
        <v>1</v>
      </c>
      <c r="GG101" s="25">
        <v>1</v>
      </c>
      <c r="GH101" s="25">
        <v>1</v>
      </c>
      <c r="GI101" s="25">
        <v>1</v>
      </c>
      <c r="GJ101" s="25">
        <v>1</v>
      </c>
      <c r="GK101" s="25">
        <v>1</v>
      </c>
      <c r="GL101" s="25">
        <v>1</v>
      </c>
      <c r="GM101" s="25">
        <v>1</v>
      </c>
      <c r="GN101" s="25">
        <v>1</v>
      </c>
      <c r="GO101" s="25">
        <v>1</v>
      </c>
      <c r="GP101" s="25">
        <v>1</v>
      </c>
      <c r="GQ101" s="25">
        <v>1</v>
      </c>
      <c r="GR101" s="25">
        <v>1</v>
      </c>
      <c r="GS101" s="25">
        <v>1</v>
      </c>
      <c r="GT101" s="25">
        <v>1</v>
      </c>
      <c r="GU101" s="25">
        <v>1</v>
      </c>
      <c r="GV101" s="25" t="s">
        <v>455</v>
      </c>
      <c r="GW101" s="25" t="s">
        <v>455</v>
      </c>
      <c r="GX101" s="25" t="s">
        <v>455</v>
      </c>
      <c r="GY101" s="25" t="s">
        <v>455</v>
      </c>
      <c r="GZ101" s="25" t="s">
        <v>455</v>
      </c>
      <c r="HA101" s="25" t="s">
        <v>455</v>
      </c>
      <c r="HB101" s="25" t="s">
        <v>455</v>
      </c>
      <c r="HC101" s="25" t="s">
        <v>455</v>
      </c>
      <c r="HD101" s="25" t="s">
        <v>455</v>
      </c>
      <c r="HE101" s="25" t="s">
        <v>455</v>
      </c>
      <c r="HF101" s="25" t="s">
        <v>455</v>
      </c>
      <c r="HG101" s="25" t="s">
        <v>455</v>
      </c>
      <c r="HH101" s="25" t="s">
        <v>455</v>
      </c>
      <c r="HI101" s="25"/>
      <c r="HJ101" s="25"/>
      <c r="HK101" s="25"/>
      <c r="HL101" s="25"/>
      <c r="HM101" s="234"/>
      <c r="HN101" s="234"/>
      <c r="HO101" s="234"/>
      <c r="HP101" s="234"/>
      <c r="HQ101" s="234"/>
      <c r="HR101" s="234"/>
      <c r="HS101" s="234"/>
      <c r="HT101" s="234"/>
      <c r="HU101" s="13" t="s">
        <v>971</v>
      </c>
      <c r="HV101" s="13"/>
      <c r="HW101" s="32"/>
      <c r="HX101" s="55"/>
      <c r="HY101" s="55"/>
      <c r="HZ101" s="55"/>
      <c r="IA101" s="55"/>
      <c r="IB101" s="55"/>
      <c r="IC101" s="55"/>
      <c r="ID101" s="55"/>
      <c r="IE101" s="55"/>
      <c r="IF101" s="107">
        <v>388023.1</v>
      </c>
      <c r="IG101" s="107">
        <v>365178.32</v>
      </c>
      <c r="IH101" s="250">
        <f t="shared" si="55"/>
        <v>0</v>
      </c>
      <c r="II101" s="55"/>
      <c r="IJ101" s="55"/>
      <c r="IK101" s="55"/>
      <c r="IL101" s="55"/>
      <c r="IM101" s="55"/>
      <c r="IN101" s="55"/>
      <c r="IO101" s="55"/>
      <c r="IP101" s="55"/>
      <c r="IQ101" s="55"/>
      <c r="IR101" s="55"/>
      <c r="IS101" s="55"/>
      <c r="IT101" s="55"/>
      <c r="IU101" s="55"/>
      <c r="IV101" s="55"/>
      <c r="IW101" s="55"/>
      <c r="IX101" s="55"/>
      <c r="IY101" s="55"/>
      <c r="IZ101" s="55"/>
      <c r="JA101" s="55"/>
      <c r="JB101" s="55"/>
      <c r="JC101" s="55"/>
      <c r="JD101" s="55">
        <v>2016</v>
      </c>
    </row>
    <row r="102" spans="1:264" s="10" customFormat="1" ht="56.25" hidden="1">
      <c r="A102" s="26" t="s">
        <v>86</v>
      </c>
      <c r="B102" s="26" t="s">
        <v>27</v>
      </c>
      <c r="C102" s="13" t="s">
        <v>349</v>
      </c>
      <c r="D102" s="13" t="s">
        <v>380</v>
      </c>
      <c r="E102" s="13" t="s">
        <v>360</v>
      </c>
      <c r="F102" s="13" t="s">
        <v>360</v>
      </c>
      <c r="G102" s="26" t="s">
        <v>354</v>
      </c>
      <c r="H102" s="13" t="s">
        <v>1547</v>
      </c>
      <c r="I102" s="14" t="s">
        <v>973</v>
      </c>
      <c r="J102" s="26">
        <v>3</v>
      </c>
      <c r="K102" s="49" t="s">
        <v>375</v>
      </c>
      <c r="L102" s="26" t="s">
        <v>89</v>
      </c>
      <c r="M102" s="20" t="s">
        <v>90</v>
      </c>
      <c r="N102" s="20" t="s">
        <v>1967</v>
      </c>
      <c r="O102" s="13" t="s">
        <v>3</v>
      </c>
      <c r="P102" s="13" t="s">
        <v>4</v>
      </c>
      <c r="Q102" s="22" t="s">
        <v>1118</v>
      </c>
      <c r="R102" s="26" t="s">
        <v>89</v>
      </c>
      <c r="S102" s="13" t="s">
        <v>747</v>
      </c>
      <c r="T102" s="13" t="s">
        <v>1387</v>
      </c>
      <c r="U102" s="13" t="s">
        <v>477</v>
      </c>
      <c r="V102" s="24">
        <v>1306977248001</v>
      </c>
      <c r="W102" s="13" t="s">
        <v>749</v>
      </c>
      <c r="X102" s="13" t="s">
        <v>750</v>
      </c>
      <c r="Y102" s="13" t="s">
        <v>751</v>
      </c>
      <c r="Z102" s="13" t="s">
        <v>752</v>
      </c>
      <c r="AA102" s="41"/>
      <c r="AB102" s="45">
        <v>0</v>
      </c>
      <c r="AC102" s="29">
        <v>0</v>
      </c>
      <c r="AD102" s="41"/>
      <c r="AE102" s="29">
        <v>0</v>
      </c>
      <c r="AF102" s="29">
        <f t="shared" si="47"/>
        <v>0</v>
      </c>
      <c r="AG102" s="25">
        <v>0.12</v>
      </c>
      <c r="AH102" s="29">
        <f t="shared" ref="AH102:AH133" si="56">AD102*0.12</f>
        <v>0</v>
      </c>
      <c r="AI102" s="29">
        <f t="shared" si="46"/>
        <v>0</v>
      </c>
      <c r="AJ102" s="29">
        <f t="shared" si="54"/>
        <v>0</v>
      </c>
      <c r="AK102" s="29"/>
      <c r="AL102" s="29"/>
      <c r="AM102" s="29"/>
      <c r="AN102" s="41"/>
      <c r="AO102" s="41"/>
      <c r="AP102" s="41"/>
      <c r="AQ102" s="41"/>
      <c r="AR102" s="41"/>
      <c r="AS102" s="41"/>
      <c r="AT102" s="41"/>
      <c r="AU102" s="41"/>
      <c r="AV102" s="41"/>
      <c r="AW102" s="41"/>
      <c r="AX102" s="41"/>
      <c r="AY102" s="41"/>
      <c r="AZ102" s="41"/>
      <c r="BA102" s="41"/>
      <c r="BB102" s="41"/>
      <c r="BC102" s="41"/>
      <c r="BD102" s="37"/>
      <c r="BE102" s="37"/>
      <c r="BF102" s="29">
        <f t="shared" si="50"/>
        <v>0</v>
      </c>
      <c r="BG102" s="29">
        <f t="shared" si="48"/>
        <v>0</v>
      </c>
      <c r="BH102" s="37" t="s">
        <v>594</v>
      </c>
      <c r="BI102" s="29" t="s">
        <v>570</v>
      </c>
      <c r="BJ102" s="29" t="s">
        <v>570</v>
      </c>
      <c r="BK102" s="29" t="s">
        <v>570</v>
      </c>
      <c r="BL102" s="29" t="s">
        <v>570</v>
      </c>
      <c r="BM102" s="29" t="s">
        <v>570</v>
      </c>
      <c r="BN102" s="23">
        <v>42244</v>
      </c>
      <c r="BO102" s="23">
        <v>42250</v>
      </c>
      <c r="BP102" s="23">
        <v>42258</v>
      </c>
      <c r="BQ102" s="23">
        <v>42272</v>
      </c>
      <c r="BR102" s="13" t="s">
        <v>570</v>
      </c>
      <c r="BS102" s="23">
        <v>42277</v>
      </c>
      <c r="BT102" s="23">
        <v>42284</v>
      </c>
      <c r="BU102" s="13" t="s">
        <v>570</v>
      </c>
      <c r="BV102" s="13" t="s">
        <v>570</v>
      </c>
      <c r="BW102" s="224" t="s">
        <v>570</v>
      </c>
      <c r="BX102" s="23">
        <v>42367</v>
      </c>
      <c r="BY102" s="13" t="s">
        <v>570</v>
      </c>
      <c r="BZ102" s="13" t="s">
        <v>503</v>
      </c>
      <c r="CA102" s="23">
        <v>42389</v>
      </c>
      <c r="CB102" s="224" t="s">
        <v>570</v>
      </c>
      <c r="CC102" s="224" t="s">
        <v>570</v>
      </c>
      <c r="CD102" s="224" t="s">
        <v>570</v>
      </c>
      <c r="CE102" s="23"/>
      <c r="CF102" s="127" t="s">
        <v>829</v>
      </c>
      <c r="CG102" s="23"/>
      <c r="CH102" s="23"/>
      <c r="CI102" s="23"/>
      <c r="CJ102" s="23"/>
      <c r="CK102" s="23"/>
      <c r="CL102" s="23"/>
      <c r="CM102" s="23"/>
      <c r="CN102" s="23"/>
      <c r="CO102" s="23"/>
      <c r="CP102" s="23"/>
      <c r="CQ102" s="23"/>
      <c r="CR102" s="127" t="s">
        <v>829</v>
      </c>
      <c r="CS102" s="13" t="s">
        <v>570</v>
      </c>
      <c r="CT102" s="37" t="s">
        <v>455</v>
      </c>
      <c r="CU102" s="25">
        <v>0.05</v>
      </c>
      <c r="CV102" s="23">
        <v>42464</v>
      </c>
      <c r="CW102" s="30"/>
      <c r="CX102" s="30"/>
      <c r="CY102" s="23">
        <v>42699</v>
      </c>
      <c r="CZ102" s="37"/>
      <c r="DA102" s="13"/>
      <c r="DB102" s="23">
        <v>42699</v>
      </c>
      <c r="DC102" s="37"/>
      <c r="DD102" s="13"/>
      <c r="DE102" s="163">
        <v>42711</v>
      </c>
      <c r="DF102" s="58"/>
      <c r="DG102" s="13"/>
      <c r="DH102" s="13"/>
      <c r="DI102" s="13"/>
      <c r="DJ102" s="13"/>
      <c r="DK102" s="13"/>
      <c r="DL102" s="13"/>
      <c r="DM102" s="13"/>
      <c r="DN102" s="13"/>
      <c r="DO102" s="13"/>
      <c r="DP102" s="13"/>
      <c r="DQ102" s="13"/>
      <c r="DR102" s="13"/>
      <c r="DS102" s="13"/>
      <c r="DT102" s="13"/>
      <c r="DU102" s="13"/>
      <c r="DV102" s="13"/>
      <c r="DW102" s="13"/>
      <c r="DX102" s="13"/>
      <c r="DY102" s="31">
        <f t="shared" si="49"/>
        <v>0</v>
      </c>
      <c r="DZ102" s="30"/>
      <c r="EA102" s="30"/>
      <c r="EB102" s="30"/>
      <c r="EC102" s="30"/>
      <c r="ED102" s="30"/>
      <c r="EE102" s="30"/>
      <c r="EF102" s="30"/>
      <c r="EG102" s="13">
        <v>180</v>
      </c>
      <c r="EH102" s="13" t="s">
        <v>588</v>
      </c>
      <c r="EI102" s="23">
        <f t="shared" si="52"/>
        <v>42465</v>
      </c>
      <c r="EJ102" s="23">
        <f t="shared" si="53"/>
        <v>42645</v>
      </c>
      <c r="EK102" s="13"/>
      <c r="EL102" s="13">
        <v>14</v>
      </c>
      <c r="EM102" s="23">
        <f>EJ102+EL102</f>
        <v>42659</v>
      </c>
      <c r="EN102" s="23"/>
      <c r="EO102" s="23"/>
      <c r="EP102" s="23"/>
      <c r="EQ102" s="23"/>
      <c r="ER102" s="23"/>
      <c r="ES102" s="23"/>
      <c r="ET102" s="23"/>
      <c r="EU102" s="23"/>
      <c r="EV102" s="23"/>
      <c r="EW102" s="13"/>
      <c r="EX102" s="13"/>
      <c r="EY102" s="13"/>
      <c r="EZ102" s="13"/>
      <c r="FA102" s="13"/>
      <c r="FB102" s="13"/>
      <c r="FC102" s="13"/>
      <c r="FD102" s="13"/>
      <c r="FE102" s="13"/>
      <c r="FF102" s="13"/>
      <c r="FG102" s="13"/>
      <c r="FH102" s="25"/>
      <c r="FI102" s="25"/>
      <c r="FJ102" s="25"/>
      <c r="FK102" s="25"/>
      <c r="FL102" s="25">
        <v>0.2</v>
      </c>
      <c r="FM102" s="25">
        <v>0.54</v>
      </c>
      <c r="FN102" s="25">
        <v>0.65</v>
      </c>
      <c r="FO102" s="25">
        <v>0.71</v>
      </c>
      <c r="FP102" s="25">
        <v>0.8</v>
      </c>
      <c r="FQ102" s="25">
        <v>1</v>
      </c>
      <c r="FR102" s="25">
        <v>1</v>
      </c>
      <c r="FS102" s="25">
        <v>1</v>
      </c>
      <c r="FT102" s="25">
        <v>1</v>
      </c>
      <c r="FU102" s="25">
        <v>1</v>
      </c>
      <c r="FV102" s="25">
        <v>1</v>
      </c>
      <c r="FW102" s="25">
        <v>1</v>
      </c>
      <c r="FX102" s="25">
        <v>1</v>
      </c>
      <c r="FY102" s="25">
        <v>1</v>
      </c>
      <c r="FZ102" s="25">
        <v>1</v>
      </c>
      <c r="GA102" s="25">
        <v>1</v>
      </c>
      <c r="GB102" s="25">
        <v>1</v>
      </c>
      <c r="GC102" s="25">
        <v>1</v>
      </c>
      <c r="GD102" s="25">
        <v>1</v>
      </c>
      <c r="GE102" s="25">
        <v>1</v>
      </c>
      <c r="GF102" s="25">
        <v>1</v>
      </c>
      <c r="GG102" s="25">
        <v>1</v>
      </c>
      <c r="GH102" s="25">
        <v>1</v>
      </c>
      <c r="GI102" s="25">
        <v>1</v>
      </c>
      <c r="GJ102" s="25">
        <v>1</v>
      </c>
      <c r="GK102" s="25">
        <v>1</v>
      </c>
      <c r="GL102" s="25">
        <v>1</v>
      </c>
      <c r="GM102" s="25">
        <v>1</v>
      </c>
      <c r="GN102" s="25">
        <v>1</v>
      </c>
      <c r="GO102" s="25">
        <v>1</v>
      </c>
      <c r="GP102" s="25">
        <v>1</v>
      </c>
      <c r="GQ102" s="25">
        <v>1</v>
      </c>
      <c r="GR102" s="25">
        <v>1</v>
      </c>
      <c r="GS102" s="25">
        <v>1</v>
      </c>
      <c r="GT102" s="25">
        <v>1</v>
      </c>
      <c r="GU102" s="25">
        <v>1</v>
      </c>
      <c r="GV102" s="25" t="s">
        <v>455</v>
      </c>
      <c r="GW102" s="25" t="s">
        <v>455</v>
      </c>
      <c r="GX102" s="25" t="s">
        <v>455</v>
      </c>
      <c r="GY102" s="25" t="s">
        <v>455</v>
      </c>
      <c r="GZ102" s="25" t="s">
        <v>455</v>
      </c>
      <c r="HA102" s="25" t="s">
        <v>455</v>
      </c>
      <c r="HB102" s="25" t="s">
        <v>455</v>
      </c>
      <c r="HC102" s="25" t="s">
        <v>455</v>
      </c>
      <c r="HD102" s="25" t="s">
        <v>455</v>
      </c>
      <c r="HE102" s="25" t="s">
        <v>455</v>
      </c>
      <c r="HF102" s="25" t="s">
        <v>455</v>
      </c>
      <c r="HG102" s="25" t="s">
        <v>455</v>
      </c>
      <c r="HH102" s="25" t="s">
        <v>455</v>
      </c>
      <c r="HI102" s="25"/>
      <c r="HJ102" s="25"/>
      <c r="HK102" s="25"/>
      <c r="HL102" s="25"/>
      <c r="HM102" s="25"/>
      <c r="HN102" s="25"/>
      <c r="HO102" s="25"/>
      <c r="HP102" s="25"/>
      <c r="HQ102" s="25"/>
      <c r="HR102" s="25"/>
      <c r="HS102" s="25"/>
      <c r="HT102" s="25"/>
      <c r="HU102" s="13" t="s">
        <v>971</v>
      </c>
      <c r="HV102" s="13"/>
      <c r="HW102" s="32"/>
      <c r="HX102" s="55"/>
      <c r="HY102" s="55"/>
      <c r="HZ102" s="55"/>
      <c r="IA102" s="251"/>
      <c r="IB102" s="251"/>
      <c r="IC102" s="251"/>
      <c r="ID102" s="251"/>
      <c r="IE102" s="251"/>
      <c r="IF102" s="107">
        <v>0</v>
      </c>
      <c r="IG102" s="107"/>
      <c r="IH102" s="250">
        <f t="shared" si="55"/>
        <v>0</v>
      </c>
      <c r="II102" s="251"/>
      <c r="IJ102" s="251"/>
      <c r="IK102" s="251"/>
      <c r="IL102" s="251"/>
      <c r="IM102" s="251"/>
      <c r="IN102" s="251"/>
      <c r="IO102" s="251"/>
      <c r="IP102" s="251"/>
      <c r="IQ102" s="251"/>
      <c r="IR102" s="251"/>
      <c r="IS102" s="251"/>
      <c r="IT102" s="251"/>
      <c r="IU102" s="251"/>
      <c r="IV102" s="251"/>
      <c r="IW102" s="251"/>
      <c r="IX102" s="251"/>
      <c r="IY102" s="251"/>
      <c r="IZ102" s="251"/>
      <c r="JA102" s="251"/>
      <c r="JB102" s="251"/>
      <c r="JC102" s="251"/>
      <c r="JD102" s="251">
        <v>2016</v>
      </c>
    </row>
    <row r="103" spans="1:264" s="10" customFormat="1" ht="56.25" hidden="1">
      <c r="A103" s="26" t="s">
        <v>86</v>
      </c>
      <c r="B103" s="26" t="s">
        <v>27</v>
      </c>
      <c r="C103" s="13" t="s">
        <v>349</v>
      </c>
      <c r="D103" s="13" t="s">
        <v>380</v>
      </c>
      <c r="E103" s="13" t="s">
        <v>360</v>
      </c>
      <c r="F103" s="13" t="s">
        <v>360</v>
      </c>
      <c r="G103" s="26" t="s">
        <v>354</v>
      </c>
      <c r="H103" s="13" t="s">
        <v>1547</v>
      </c>
      <c r="I103" s="14" t="s">
        <v>974</v>
      </c>
      <c r="J103" s="26">
        <v>4</v>
      </c>
      <c r="K103" s="49" t="s">
        <v>375</v>
      </c>
      <c r="L103" s="26" t="s">
        <v>89</v>
      </c>
      <c r="M103" s="20" t="s">
        <v>90</v>
      </c>
      <c r="N103" s="20" t="s">
        <v>1968</v>
      </c>
      <c r="O103" s="13" t="s">
        <v>3</v>
      </c>
      <c r="P103" s="13" t="s">
        <v>4</v>
      </c>
      <c r="Q103" s="22" t="s">
        <v>1118</v>
      </c>
      <c r="R103" s="26" t="s">
        <v>89</v>
      </c>
      <c r="S103" s="13" t="s">
        <v>747</v>
      </c>
      <c r="T103" s="13" t="s">
        <v>1387</v>
      </c>
      <c r="U103" s="13" t="s">
        <v>477</v>
      </c>
      <c r="V103" s="24">
        <v>1306977248001</v>
      </c>
      <c r="W103" s="13" t="s">
        <v>749</v>
      </c>
      <c r="X103" s="13" t="s">
        <v>750</v>
      </c>
      <c r="Y103" s="13" t="s">
        <v>751</v>
      </c>
      <c r="Z103" s="13" t="s">
        <v>752</v>
      </c>
      <c r="AA103" s="41"/>
      <c r="AB103" s="45">
        <v>0</v>
      </c>
      <c r="AC103" s="29">
        <v>0</v>
      </c>
      <c r="AD103" s="41"/>
      <c r="AE103" s="29">
        <v>0</v>
      </c>
      <c r="AF103" s="29">
        <f t="shared" si="47"/>
        <v>0</v>
      </c>
      <c r="AG103" s="25">
        <v>0.12</v>
      </c>
      <c r="AH103" s="29">
        <f t="shared" si="56"/>
        <v>0</v>
      </c>
      <c r="AI103" s="29">
        <f t="shared" si="46"/>
        <v>0</v>
      </c>
      <c r="AJ103" s="29">
        <f t="shared" si="54"/>
        <v>0</v>
      </c>
      <c r="AK103" s="29"/>
      <c r="AL103" s="29"/>
      <c r="AM103" s="29"/>
      <c r="AN103" s="41"/>
      <c r="AO103" s="41"/>
      <c r="AP103" s="41"/>
      <c r="AQ103" s="41"/>
      <c r="AR103" s="41"/>
      <c r="AS103" s="41"/>
      <c r="AT103" s="41"/>
      <c r="AU103" s="41"/>
      <c r="AV103" s="41"/>
      <c r="AW103" s="41"/>
      <c r="AX103" s="41"/>
      <c r="AY103" s="41"/>
      <c r="AZ103" s="41"/>
      <c r="BA103" s="41"/>
      <c r="BB103" s="41"/>
      <c r="BC103" s="41"/>
      <c r="BD103" s="37"/>
      <c r="BE103" s="37"/>
      <c r="BF103" s="29">
        <f t="shared" si="50"/>
        <v>0</v>
      </c>
      <c r="BG103" s="29">
        <f t="shared" si="48"/>
        <v>0</v>
      </c>
      <c r="BH103" s="37" t="s">
        <v>594</v>
      </c>
      <c r="BI103" s="29" t="s">
        <v>570</v>
      </c>
      <c r="BJ103" s="29" t="s">
        <v>570</v>
      </c>
      <c r="BK103" s="29" t="s">
        <v>570</v>
      </c>
      <c r="BL103" s="29" t="s">
        <v>570</v>
      </c>
      <c r="BM103" s="29" t="s">
        <v>570</v>
      </c>
      <c r="BN103" s="23">
        <v>42244</v>
      </c>
      <c r="BO103" s="23">
        <v>42250</v>
      </c>
      <c r="BP103" s="23">
        <v>42258</v>
      </c>
      <c r="BQ103" s="23">
        <v>42272</v>
      </c>
      <c r="BR103" s="13" t="s">
        <v>570</v>
      </c>
      <c r="BS103" s="23">
        <v>42277</v>
      </c>
      <c r="BT103" s="23">
        <v>42284</v>
      </c>
      <c r="BU103" s="13" t="s">
        <v>570</v>
      </c>
      <c r="BV103" s="13" t="s">
        <v>570</v>
      </c>
      <c r="BW103" s="224" t="s">
        <v>570</v>
      </c>
      <c r="BX103" s="23">
        <v>42367</v>
      </c>
      <c r="BY103" s="13" t="s">
        <v>570</v>
      </c>
      <c r="BZ103" s="13" t="s">
        <v>503</v>
      </c>
      <c r="CA103" s="23">
        <v>42389</v>
      </c>
      <c r="CB103" s="224" t="s">
        <v>570</v>
      </c>
      <c r="CC103" s="224" t="s">
        <v>570</v>
      </c>
      <c r="CD103" s="224" t="s">
        <v>570</v>
      </c>
      <c r="CE103" s="23"/>
      <c r="CF103" s="127" t="s">
        <v>829</v>
      </c>
      <c r="CG103" s="23"/>
      <c r="CH103" s="23"/>
      <c r="CI103" s="23"/>
      <c r="CJ103" s="23"/>
      <c r="CK103" s="23"/>
      <c r="CL103" s="23"/>
      <c r="CM103" s="23"/>
      <c r="CN103" s="23"/>
      <c r="CO103" s="23"/>
      <c r="CP103" s="23"/>
      <c r="CQ103" s="23"/>
      <c r="CR103" s="127" t="s">
        <v>829</v>
      </c>
      <c r="CS103" s="13" t="s">
        <v>570</v>
      </c>
      <c r="CT103" s="37" t="s">
        <v>455</v>
      </c>
      <c r="CU103" s="25">
        <v>0.05</v>
      </c>
      <c r="CV103" s="23">
        <v>42464</v>
      </c>
      <c r="CW103" s="30"/>
      <c r="CX103" s="30"/>
      <c r="CY103" s="23">
        <v>42699</v>
      </c>
      <c r="CZ103" s="37"/>
      <c r="DA103" s="13"/>
      <c r="DB103" s="23">
        <v>42699</v>
      </c>
      <c r="DC103" s="37"/>
      <c r="DD103" s="13"/>
      <c r="DE103" s="163">
        <v>42711</v>
      </c>
      <c r="DF103" s="58"/>
      <c r="DG103" s="13"/>
      <c r="DH103" s="13"/>
      <c r="DI103" s="13"/>
      <c r="DJ103" s="13"/>
      <c r="DK103" s="13"/>
      <c r="DL103" s="13"/>
      <c r="DM103" s="13"/>
      <c r="DN103" s="13"/>
      <c r="DO103" s="13"/>
      <c r="DP103" s="13"/>
      <c r="DQ103" s="13"/>
      <c r="DR103" s="13"/>
      <c r="DS103" s="13"/>
      <c r="DT103" s="13"/>
      <c r="DU103" s="13"/>
      <c r="DV103" s="13"/>
      <c r="DW103" s="13"/>
      <c r="DX103" s="13"/>
      <c r="DY103" s="31">
        <f t="shared" si="49"/>
        <v>0</v>
      </c>
      <c r="DZ103" s="30"/>
      <c r="EA103" s="30"/>
      <c r="EB103" s="30"/>
      <c r="EC103" s="30"/>
      <c r="ED103" s="30"/>
      <c r="EE103" s="30"/>
      <c r="EF103" s="30"/>
      <c r="EG103" s="13">
        <v>180</v>
      </c>
      <c r="EH103" s="13" t="s">
        <v>588</v>
      </c>
      <c r="EI103" s="23">
        <f t="shared" si="52"/>
        <v>42465</v>
      </c>
      <c r="EJ103" s="23">
        <f t="shared" si="53"/>
        <v>42645</v>
      </c>
      <c r="EK103" s="13"/>
      <c r="EL103" s="13">
        <v>14</v>
      </c>
      <c r="EM103" s="23">
        <f>EJ103+EL103</f>
        <v>42659</v>
      </c>
      <c r="EN103" s="23"/>
      <c r="EO103" s="23"/>
      <c r="EP103" s="23"/>
      <c r="EQ103" s="23"/>
      <c r="ER103" s="23"/>
      <c r="ES103" s="23"/>
      <c r="ET103" s="23"/>
      <c r="EU103" s="23"/>
      <c r="EV103" s="23"/>
      <c r="EW103" s="13"/>
      <c r="EX103" s="13"/>
      <c r="EY103" s="13"/>
      <c r="EZ103" s="13"/>
      <c r="FA103" s="13"/>
      <c r="FB103" s="13"/>
      <c r="FC103" s="13"/>
      <c r="FD103" s="13"/>
      <c r="FE103" s="13"/>
      <c r="FF103" s="13"/>
      <c r="FG103" s="13"/>
      <c r="FH103" s="25"/>
      <c r="FI103" s="25"/>
      <c r="FJ103" s="25"/>
      <c r="FK103" s="25"/>
      <c r="FL103" s="25">
        <v>0.2</v>
      </c>
      <c r="FM103" s="25">
        <v>0.54</v>
      </c>
      <c r="FN103" s="25">
        <v>0.65</v>
      </c>
      <c r="FO103" s="25">
        <v>0.71</v>
      </c>
      <c r="FP103" s="25">
        <v>0.8</v>
      </c>
      <c r="FQ103" s="25">
        <v>1</v>
      </c>
      <c r="FR103" s="25">
        <v>1</v>
      </c>
      <c r="FS103" s="25">
        <v>1</v>
      </c>
      <c r="FT103" s="25">
        <v>1</v>
      </c>
      <c r="FU103" s="25">
        <v>1</v>
      </c>
      <c r="FV103" s="25">
        <v>1</v>
      </c>
      <c r="FW103" s="25">
        <v>1</v>
      </c>
      <c r="FX103" s="25">
        <v>1</v>
      </c>
      <c r="FY103" s="25">
        <v>1</v>
      </c>
      <c r="FZ103" s="25">
        <v>1</v>
      </c>
      <c r="GA103" s="25">
        <v>1</v>
      </c>
      <c r="GB103" s="25">
        <v>1</v>
      </c>
      <c r="GC103" s="25">
        <v>1</v>
      </c>
      <c r="GD103" s="25">
        <v>1</v>
      </c>
      <c r="GE103" s="25">
        <v>1</v>
      </c>
      <c r="GF103" s="25">
        <v>1</v>
      </c>
      <c r="GG103" s="25">
        <v>1</v>
      </c>
      <c r="GH103" s="25">
        <v>1</v>
      </c>
      <c r="GI103" s="25">
        <v>1</v>
      </c>
      <c r="GJ103" s="25">
        <v>1</v>
      </c>
      <c r="GK103" s="25">
        <v>1</v>
      </c>
      <c r="GL103" s="25">
        <v>1</v>
      </c>
      <c r="GM103" s="25">
        <v>1</v>
      </c>
      <c r="GN103" s="25">
        <v>1</v>
      </c>
      <c r="GO103" s="25">
        <v>1</v>
      </c>
      <c r="GP103" s="25">
        <v>1</v>
      </c>
      <c r="GQ103" s="25">
        <v>1</v>
      </c>
      <c r="GR103" s="25">
        <v>1</v>
      </c>
      <c r="GS103" s="25">
        <v>1</v>
      </c>
      <c r="GT103" s="25">
        <v>1</v>
      </c>
      <c r="GU103" s="25">
        <v>1</v>
      </c>
      <c r="GV103" s="25" t="s">
        <v>455</v>
      </c>
      <c r="GW103" s="25" t="s">
        <v>455</v>
      </c>
      <c r="GX103" s="25" t="s">
        <v>455</v>
      </c>
      <c r="GY103" s="25" t="s">
        <v>455</v>
      </c>
      <c r="GZ103" s="25" t="s">
        <v>455</v>
      </c>
      <c r="HA103" s="25" t="s">
        <v>455</v>
      </c>
      <c r="HB103" s="25" t="s">
        <v>455</v>
      </c>
      <c r="HC103" s="25" t="s">
        <v>455</v>
      </c>
      <c r="HD103" s="25" t="s">
        <v>455</v>
      </c>
      <c r="HE103" s="25" t="s">
        <v>455</v>
      </c>
      <c r="HF103" s="25" t="s">
        <v>455</v>
      </c>
      <c r="HG103" s="25" t="s">
        <v>455</v>
      </c>
      <c r="HH103" s="25" t="s">
        <v>455</v>
      </c>
      <c r="HI103" s="25"/>
      <c r="HJ103" s="25"/>
      <c r="HK103" s="25"/>
      <c r="HL103" s="25"/>
      <c r="HM103" s="25"/>
      <c r="HN103" s="25"/>
      <c r="HO103" s="25"/>
      <c r="HP103" s="25"/>
      <c r="HQ103" s="25"/>
      <c r="HR103" s="25"/>
      <c r="HS103" s="25"/>
      <c r="HT103" s="25"/>
      <c r="HU103" s="13" t="s">
        <v>971</v>
      </c>
      <c r="HV103" s="13"/>
      <c r="HW103" s="32"/>
      <c r="HX103" s="55"/>
      <c r="HY103" s="55"/>
      <c r="HZ103" s="55"/>
      <c r="IA103" s="251"/>
      <c r="IB103" s="251"/>
      <c r="IC103" s="251"/>
      <c r="ID103" s="251"/>
      <c r="IE103" s="251"/>
      <c r="IF103" s="107">
        <v>0</v>
      </c>
      <c r="IG103" s="107"/>
      <c r="IH103" s="250">
        <f t="shared" si="55"/>
        <v>0</v>
      </c>
      <c r="II103" s="251"/>
      <c r="IJ103" s="251"/>
      <c r="IK103" s="251"/>
      <c r="IL103" s="251"/>
      <c r="IM103" s="251"/>
      <c r="IN103" s="251"/>
      <c r="IO103" s="251"/>
      <c r="IP103" s="251"/>
      <c r="IQ103" s="251"/>
      <c r="IR103" s="251"/>
      <c r="IS103" s="251"/>
      <c r="IT103" s="251"/>
      <c r="IU103" s="251"/>
      <c r="IV103" s="251"/>
      <c r="IW103" s="251"/>
      <c r="IX103" s="251"/>
      <c r="IY103" s="251"/>
      <c r="IZ103" s="251"/>
      <c r="JA103" s="251"/>
      <c r="JB103" s="251"/>
      <c r="JC103" s="251"/>
      <c r="JD103" s="251">
        <v>2016</v>
      </c>
    </row>
    <row r="104" spans="1:264" s="5" customFormat="1" ht="20.100000000000001" hidden="1" customHeight="1">
      <c r="A104" s="26" t="s">
        <v>86</v>
      </c>
      <c r="B104" s="26" t="s">
        <v>203</v>
      </c>
      <c r="C104" s="13" t="s">
        <v>349</v>
      </c>
      <c r="D104" s="13" t="s">
        <v>380</v>
      </c>
      <c r="E104" s="16" t="s">
        <v>360</v>
      </c>
      <c r="F104" s="13" t="s">
        <v>356</v>
      </c>
      <c r="G104" s="26" t="s">
        <v>354</v>
      </c>
      <c r="H104" s="13" t="s">
        <v>1547</v>
      </c>
      <c r="I104" s="14" t="s">
        <v>972</v>
      </c>
      <c r="J104" s="26">
        <v>2</v>
      </c>
      <c r="K104" s="49" t="s">
        <v>375</v>
      </c>
      <c r="L104" s="46" t="s">
        <v>242</v>
      </c>
      <c r="M104" s="15" t="s">
        <v>1799</v>
      </c>
      <c r="N104" s="20" t="s">
        <v>1970</v>
      </c>
      <c r="O104" s="13" t="s">
        <v>206</v>
      </c>
      <c r="P104" s="13" t="s">
        <v>4</v>
      </c>
      <c r="Q104" s="22" t="s">
        <v>794</v>
      </c>
      <c r="R104" s="22"/>
      <c r="S104" s="13"/>
      <c r="T104" s="13"/>
      <c r="U104" s="13"/>
      <c r="V104" s="13"/>
      <c r="W104" s="13" t="s">
        <v>570</v>
      </c>
      <c r="X104" s="13" t="s">
        <v>570</v>
      </c>
      <c r="Y104" s="13"/>
      <c r="Z104" s="13"/>
      <c r="AA104" s="41"/>
      <c r="AB104" s="164">
        <v>13273.3</v>
      </c>
      <c r="AC104" s="29">
        <v>0</v>
      </c>
      <c r="AD104" s="164">
        <v>13273.3</v>
      </c>
      <c r="AE104" s="29">
        <v>0</v>
      </c>
      <c r="AF104" s="29">
        <f t="shared" si="47"/>
        <v>13273.3</v>
      </c>
      <c r="AG104" s="25">
        <v>0.12</v>
      </c>
      <c r="AH104" s="29">
        <f t="shared" si="56"/>
        <v>1592.7959999999998</v>
      </c>
      <c r="AI104" s="29">
        <f t="shared" si="46"/>
        <v>0</v>
      </c>
      <c r="AJ104" s="29">
        <f t="shared" si="54"/>
        <v>14866.096000000001</v>
      </c>
      <c r="AK104" s="29">
        <v>0</v>
      </c>
      <c r="AL104" s="29">
        <f>AB104-AK104</f>
        <v>13273.3</v>
      </c>
      <c r="AM104" s="29"/>
      <c r="AN104" s="41"/>
      <c r="AO104" s="41">
        <v>0</v>
      </c>
      <c r="AP104" s="41"/>
      <c r="AQ104" s="41"/>
      <c r="AR104" s="41"/>
      <c r="AS104" s="41"/>
      <c r="AT104" s="41"/>
      <c r="AU104" s="41"/>
      <c r="AV104" s="41"/>
      <c r="AW104" s="41"/>
      <c r="AX104" s="41"/>
      <c r="AY104" s="41"/>
      <c r="AZ104" s="41"/>
      <c r="BA104" s="41"/>
      <c r="BB104" s="41"/>
      <c r="BC104" s="41"/>
      <c r="BD104" s="37"/>
      <c r="BE104" s="37"/>
      <c r="BF104" s="68"/>
      <c r="BG104" s="29">
        <f t="shared" si="48"/>
        <v>0</v>
      </c>
      <c r="BH104" s="37"/>
      <c r="BI104" s="37"/>
      <c r="BJ104" s="29" t="s">
        <v>570</v>
      </c>
      <c r="BK104" s="37"/>
      <c r="BL104" s="37"/>
      <c r="BM104" s="37"/>
      <c r="BN104" s="13"/>
      <c r="BO104" s="13"/>
      <c r="BP104" s="13"/>
      <c r="BQ104" s="13"/>
      <c r="BR104" s="13"/>
      <c r="BS104" s="13"/>
      <c r="BT104" s="13"/>
      <c r="BU104" s="13"/>
      <c r="BV104" s="13"/>
      <c r="BW104" s="13"/>
      <c r="BX104" s="13"/>
      <c r="BY104" s="13"/>
      <c r="BZ104" s="13"/>
      <c r="CA104" s="13"/>
      <c r="CB104" s="224" t="s">
        <v>570</v>
      </c>
      <c r="CC104" s="224" t="s">
        <v>570</v>
      </c>
      <c r="CD104" s="224" t="s">
        <v>570</v>
      </c>
      <c r="CE104" s="13"/>
      <c r="CF104" s="13"/>
      <c r="CG104" s="13"/>
      <c r="CH104" s="13"/>
      <c r="CI104" s="13"/>
      <c r="CJ104" s="13"/>
      <c r="CK104" s="13"/>
      <c r="CL104" s="13"/>
      <c r="CM104" s="13"/>
      <c r="CN104" s="13"/>
      <c r="CO104" s="13"/>
      <c r="CP104" s="13"/>
      <c r="CQ104" s="13"/>
      <c r="CR104" s="13"/>
      <c r="CS104" s="29" t="s">
        <v>570</v>
      </c>
      <c r="CT104" s="29" t="s">
        <v>570</v>
      </c>
      <c r="CU104" s="29" t="s">
        <v>570</v>
      </c>
      <c r="CV104" s="23"/>
      <c r="CW104" s="30"/>
      <c r="CX104" s="30"/>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31">
        <f t="shared" si="49"/>
        <v>0</v>
      </c>
      <c r="DZ104" s="30"/>
      <c r="EA104" s="30"/>
      <c r="EB104" s="30"/>
      <c r="EC104" s="30"/>
      <c r="ED104" s="30"/>
      <c r="EE104" s="30"/>
      <c r="EF104" s="30"/>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25">
        <v>1</v>
      </c>
      <c r="FT104" s="25">
        <v>1</v>
      </c>
      <c r="FU104" s="25">
        <v>1</v>
      </c>
      <c r="FV104" s="25">
        <v>1</v>
      </c>
      <c r="FW104" s="25">
        <v>1</v>
      </c>
      <c r="FX104" s="25">
        <v>1</v>
      </c>
      <c r="FY104" s="25">
        <v>1</v>
      </c>
      <c r="FZ104" s="25">
        <v>1</v>
      </c>
      <c r="GA104" s="25">
        <v>1</v>
      </c>
      <c r="GB104" s="25">
        <v>1</v>
      </c>
      <c r="GC104" s="25">
        <v>1</v>
      </c>
      <c r="GD104" s="25">
        <v>1</v>
      </c>
      <c r="GE104" s="25">
        <v>1</v>
      </c>
      <c r="GF104" s="25">
        <v>1</v>
      </c>
      <c r="GG104" s="25">
        <v>1</v>
      </c>
      <c r="GH104" s="25">
        <v>1</v>
      </c>
      <c r="GI104" s="25">
        <v>1</v>
      </c>
      <c r="GJ104" s="25">
        <v>1</v>
      </c>
      <c r="GK104" s="25">
        <v>1</v>
      </c>
      <c r="GL104" s="25">
        <v>1</v>
      </c>
      <c r="GM104" s="25">
        <v>1</v>
      </c>
      <c r="GN104" s="25">
        <v>1</v>
      </c>
      <c r="GO104" s="25">
        <v>1</v>
      </c>
      <c r="GP104" s="25">
        <v>1</v>
      </c>
      <c r="GQ104" s="25">
        <v>1</v>
      </c>
      <c r="GR104" s="25">
        <v>1</v>
      </c>
      <c r="GS104" s="25">
        <v>1</v>
      </c>
      <c r="GT104" s="25">
        <v>1</v>
      </c>
      <c r="GU104" s="25">
        <v>1</v>
      </c>
      <c r="GV104" s="25" t="s">
        <v>1588</v>
      </c>
      <c r="GW104" s="25" t="s">
        <v>1588</v>
      </c>
      <c r="GX104" s="25" t="s">
        <v>1588</v>
      </c>
      <c r="GY104" s="25" t="s">
        <v>1588</v>
      </c>
      <c r="GZ104" s="25" t="s">
        <v>1588</v>
      </c>
      <c r="HA104" s="25" t="s">
        <v>1588</v>
      </c>
      <c r="HB104" s="25" t="s">
        <v>1588</v>
      </c>
      <c r="HC104" s="25" t="s">
        <v>1889</v>
      </c>
      <c r="HD104" s="25" t="s">
        <v>1889</v>
      </c>
      <c r="HE104" s="25" t="s">
        <v>1889</v>
      </c>
      <c r="HF104" s="25" t="s">
        <v>1889</v>
      </c>
      <c r="HG104" s="25" t="s">
        <v>1889</v>
      </c>
      <c r="HH104" s="25" t="s">
        <v>1889</v>
      </c>
      <c r="HI104" s="25"/>
      <c r="HJ104" s="25"/>
      <c r="HK104" s="25"/>
      <c r="HL104" s="25"/>
      <c r="HM104" s="25"/>
      <c r="HN104" s="25"/>
      <c r="HO104" s="25"/>
      <c r="HP104" s="25"/>
      <c r="HQ104" s="25"/>
      <c r="HR104" s="25"/>
      <c r="HS104" s="25"/>
      <c r="HT104" s="25"/>
      <c r="HU104" s="13" t="s">
        <v>837</v>
      </c>
      <c r="HV104" s="13"/>
      <c r="HW104" s="32"/>
      <c r="HX104" s="55"/>
      <c r="HY104" s="55"/>
      <c r="HZ104" s="55"/>
      <c r="IA104" s="55"/>
      <c r="IB104" s="55"/>
      <c r="IC104" s="55"/>
      <c r="ID104" s="55"/>
      <c r="IE104" s="55"/>
      <c r="IF104" s="107">
        <v>13273.3</v>
      </c>
      <c r="IG104" s="107">
        <v>0</v>
      </c>
      <c r="IH104" s="250">
        <f t="shared" si="55"/>
        <v>0</v>
      </c>
      <c r="II104" s="55"/>
      <c r="IJ104" s="55"/>
      <c r="IK104" s="55"/>
      <c r="IL104" s="55"/>
      <c r="IM104" s="55"/>
      <c r="IN104" s="55"/>
      <c r="IO104" s="55"/>
      <c r="IP104" s="55"/>
      <c r="IQ104" s="55"/>
      <c r="IR104" s="55"/>
      <c r="IS104" s="55"/>
      <c r="IT104" s="55"/>
      <c r="IU104" s="55"/>
      <c r="IV104" s="55"/>
      <c r="IW104" s="55"/>
      <c r="IX104" s="55"/>
      <c r="IY104" s="55"/>
      <c r="IZ104" s="55"/>
      <c r="JA104" s="55"/>
      <c r="JB104" s="55"/>
      <c r="JC104" s="55"/>
      <c r="JD104" s="55">
        <v>2016</v>
      </c>
    </row>
    <row r="105" spans="1:264" s="10" customFormat="1" ht="42" hidden="1" customHeight="1">
      <c r="A105" s="26" t="s">
        <v>86</v>
      </c>
      <c r="B105" s="26" t="s">
        <v>203</v>
      </c>
      <c r="C105" s="13" t="s">
        <v>349</v>
      </c>
      <c r="D105" s="13" t="s">
        <v>380</v>
      </c>
      <c r="E105" s="16" t="s">
        <v>360</v>
      </c>
      <c r="F105" s="13" t="s">
        <v>356</v>
      </c>
      <c r="G105" s="26" t="s">
        <v>354</v>
      </c>
      <c r="H105" s="13" t="s">
        <v>1547</v>
      </c>
      <c r="I105" s="14" t="s">
        <v>973</v>
      </c>
      <c r="J105" s="26">
        <v>3</v>
      </c>
      <c r="K105" s="49" t="s">
        <v>375</v>
      </c>
      <c r="L105" s="46" t="s">
        <v>242</v>
      </c>
      <c r="M105" s="15" t="s">
        <v>1800</v>
      </c>
      <c r="N105" s="20" t="s">
        <v>1971</v>
      </c>
      <c r="O105" s="13" t="s">
        <v>206</v>
      </c>
      <c r="P105" s="13" t="s">
        <v>4</v>
      </c>
      <c r="Q105" s="22" t="s">
        <v>794</v>
      </c>
      <c r="R105" s="22"/>
      <c r="S105" s="13"/>
      <c r="T105" s="13"/>
      <c r="U105" s="13"/>
      <c r="V105" s="13"/>
      <c r="W105" s="13" t="s">
        <v>570</v>
      </c>
      <c r="X105" s="13" t="s">
        <v>570</v>
      </c>
      <c r="Y105" s="13"/>
      <c r="Z105" s="13"/>
      <c r="AA105" s="41"/>
      <c r="AB105" s="164">
        <v>0</v>
      </c>
      <c r="AC105" s="29">
        <v>0</v>
      </c>
      <c r="AD105" s="164"/>
      <c r="AE105" s="29">
        <v>0</v>
      </c>
      <c r="AF105" s="29">
        <f t="shared" si="47"/>
        <v>0</v>
      </c>
      <c r="AG105" s="25">
        <v>0.12</v>
      </c>
      <c r="AH105" s="29">
        <f t="shared" si="56"/>
        <v>0</v>
      </c>
      <c r="AI105" s="29">
        <f t="shared" si="46"/>
        <v>0</v>
      </c>
      <c r="AJ105" s="29">
        <f t="shared" si="54"/>
        <v>0</v>
      </c>
      <c r="AK105" s="29"/>
      <c r="AL105" s="29"/>
      <c r="AM105" s="29"/>
      <c r="AN105" s="41"/>
      <c r="AO105" s="41">
        <v>0</v>
      </c>
      <c r="AP105" s="41"/>
      <c r="AQ105" s="41"/>
      <c r="AR105" s="41"/>
      <c r="AS105" s="41"/>
      <c r="AT105" s="41"/>
      <c r="AU105" s="41"/>
      <c r="AV105" s="41"/>
      <c r="AW105" s="41"/>
      <c r="AX105" s="41"/>
      <c r="AY105" s="41"/>
      <c r="AZ105" s="41"/>
      <c r="BA105" s="41"/>
      <c r="BB105" s="41"/>
      <c r="BC105" s="41"/>
      <c r="BD105" s="37"/>
      <c r="BE105" s="37"/>
      <c r="BF105" s="68"/>
      <c r="BG105" s="29">
        <f t="shared" si="48"/>
        <v>0</v>
      </c>
      <c r="BH105" s="37"/>
      <c r="BI105" s="37"/>
      <c r="BJ105" s="29" t="s">
        <v>570</v>
      </c>
      <c r="BK105" s="37"/>
      <c r="BL105" s="37"/>
      <c r="BM105" s="37"/>
      <c r="BN105" s="13"/>
      <c r="BO105" s="13"/>
      <c r="BP105" s="13"/>
      <c r="BQ105" s="13"/>
      <c r="BR105" s="13"/>
      <c r="BS105" s="13"/>
      <c r="BT105" s="13"/>
      <c r="BU105" s="13"/>
      <c r="BV105" s="13"/>
      <c r="BW105" s="13"/>
      <c r="BX105" s="13"/>
      <c r="BY105" s="13"/>
      <c r="BZ105" s="13"/>
      <c r="CA105" s="13"/>
      <c r="CB105" s="224" t="s">
        <v>570</v>
      </c>
      <c r="CC105" s="224" t="s">
        <v>570</v>
      </c>
      <c r="CD105" s="224" t="s">
        <v>570</v>
      </c>
      <c r="CE105" s="13"/>
      <c r="CF105" s="13"/>
      <c r="CG105" s="13"/>
      <c r="CH105" s="13"/>
      <c r="CI105" s="13"/>
      <c r="CJ105" s="13"/>
      <c r="CK105" s="13"/>
      <c r="CL105" s="13"/>
      <c r="CM105" s="13"/>
      <c r="CN105" s="13"/>
      <c r="CO105" s="13"/>
      <c r="CP105" s="13"/>
      <c r="CQ105" s="13"/>
      <c r="CR105" s="13"/>
      <c r="CS105" s="29" t="s">
        <v>570</v>
      </c>
      <c r="CT105" s="29" t="s">
        <v>570</v>
      </c>
      <c r="CU105" s="29" t="s">
        <v>570</v>
      </c>
      <c r="CV105" s="23"/>
      <c r="CW105" s="30"/>
      <c r="CX105" s="30"/>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31">
        <f t="shared" si="49"/>
        <v>0</v>
      </c>
      <c r="DZ105" s="30"/>
      <c r="EA105" s="30"/>
      <c r="EB105" s="30"/>
      <c r="EC105" s="30"/>
      <c r="ED105" s="30"/>
      <c r="EE105" s="30"/>
      <c r="EF105" s="30"/>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25">
        <v>1</v>
      </c>
      <c r="FT105" s="25">
        <v>1</v>
      </c>
      <c r="FU105" s="25">
        <v>1</v>
      </c>
      <c r="FV105" s="25">
        <v>1</v>
      </c>
      <c r="FW105" s="25">
        <v>1</v>
      </c>
      <c r="FX105" s="25">
        <v>1</v>
      </c>
      <c r="FY105" s="25">
        <v>1</v>
      </c>
      <c r="FZ105" s="25">
        <v>1</v>
      </c>
      <c r="GA105" s="25">
        <v>1</v>
      </c>
      <c r="GB105" s="25">
        <v>1</v>
      </c>
      <c r="GC105" s="25">
        <v>1</v>
      </c>
      <c r="GD105" s="25">
        <v>1</v>
      </c>
      <c r="GE105" s="25">
        <v>1</v>
      </c>
      <c r="GF105" s="25">
        <v>1</v>
      </c>
      <c r="GG105" s="25">
        <v>1</v>
      </c>
      <c r="GH105" s="25">
        <v>1</v>
      </c>
      <c r="GI105" s="25">
        <v>1</v>
      </c>
      <c r="GJ105" s="25">
        <v>1</v>
      </c>
      <c r="GK105" s="25">
        <v>1</v>
      </c>
      <c r="GL105" s="25">
        <v>1</v>
      </c>
      <c r="GM105" s="25">
        <v>1</v>
      </c>
      <c r="GN105" s="25">
        <v>1</v>
      </c>
      <c r="GO105" s="25">
        <v>1</v>
      </c>
      <c r="GP105" s="25">
        <v>1</v>
      </c>
      <c r="GQ105" s="25">
        <v>1</v>
      </c>
      <c r="GR105" s="25">
        <v>1</v>
      </c>
      <c r="GS105" s="25">
        <v>1</v>
      </c>
      <c r="GT105" s="25">
        <v>1</v>
      </c>
      <c r="GU105" s="25">
        <v>1</v>
      </c>
      <c r="GV105" s="25" t="s">
        <v>1588</v>
      </c>
      <c r="GW105" s="25" t="s">
        <v>1588</v>
      </c>
      <c r="GX105" s="25" t="s">
        <v>1588</v>
      </c>
      <c r="GY105" s="25" t="s">
        <v>1588</v>
      </c>
      <c r="GZ105" s="25" t="s">
        <v>1588</v>
      </c>
      <c r="HA105" s="25" t="s">
        <v>1588</v>
      </c>
      <c r="HB105" s="25" t="s">
        <v>1588</v>
      </c>
      <c r="HC105" s="25" t="s">
        <v>1588</v>
      </c>
      <c r="HD105" s="25" t="s">
        <v>1889</v>
      </c>
      <c r="HE105" s="25" t="s">
        <v>1889</v>
      </c>
      <c r="HF105" s="25" t="s">
        <v>1889</v>
      </c>
      <c r="HG105" s="25" t="s">
        <v>1889</v>
      </c>
      <c r="HH105" s="25" t="s">
        <v>1889</v>
      </c>
      <c r="HI105" s="25"/>
      <c r="HJ105" s="25"/>
      <c r="HK105" s="25"/>
      <c r="HL105" s="25"/>
      <c r="HM105" s="25"/>
      <c r="HN105" s="25"/>
      <c r="HO105" s="25"/>
      <c r="HP105" s="25"/>
      <c r="HQ105" s="25"/>
      <c r="HR105" s="25"/>
      <c r="HS105" s="25"/>
      <c r="HT105" s="25"/>
      <c r="HU105" s="13" t="s">
        <v>837</v>
      </c>
      <c r="HV105" s="13"/>
      <c r="HW105" s="32"/>
      <c r="HX105" s="55"/>
      <c r="HY105" s="55"/>
      <c r="HZ105" s="55"/>
      <c r="IA105" s="251"/>
      <c r="IB105" s="251"/>
      <c r="IC105" s="251"/>
      <c r="ID105" s="251"/>
      <c r="IE105" s="251"/>
      <c r="IF105" s="107">
        <v>0</v>
      </c>
      <c r="IG105" s="107"/>
      <c r="IH105" s="250">
        <f t="shared" si="55"/>
        <v>0</v>
      </c>
      <c r="II105" s="251"/>
      <c r="IJ105" s="251"/>
      <c r="IK105" s="251"/>
      <c r="IL105" s="251"/>
      <c r="IM105" s="251"/>
      <c r="IN105" s="251"/>
      <c r="IO105" s="251"/>
      <c r="IP105" s="251"/>
      <c r="IQ105" s="251"/>
      <c r="IR105" s="251"/>
      <c r="IS105" s="251"/>
      <c r="IT105" s="251"/>
      <c r="IU105" s="251"/>
      <c r="IV105" s="251"/>
      <c r="IW105" s="251"/>
      <c r="IX105" s="251"/>
      <c r="IY105" s="251"/>
      <c r="IZ105" s="251"/>
      <c r="JA105" s="251"/>
      <c r="JB105" s="251"/>
      <c r="JC105" s="251"/>
      <c r="JD105" s="251">
        <v>2016</v>
      </c>
    </row>
    <row r="106" spans="1:264" s="10" customFormat="1" ht="33" hidden="1" customHeight="1">
      <c r="A106" s="26" t="s">
        <v>86</v>
      </c>
      <c r="B106" s="26" t="s">
        <v>203</v>
      </c>
      <c r="C106" s="13" t="s">
        <v>349</v>
      </c>
      <c r="D106" s="13" t="s">
        <v>380</v>
      </c>
      <c r="E106" s="16" t="s">
        <v>360</v>
      </c>
      <c r="F106" s="13" t="s">
        <v>356</v>
      </c>
      <c r="G106" s="26" t="s">
        <v>354</v>
      </c>
      <c r="H106" s="13" t="s">
        <v>1547</v>
      </c>
      <c r="I106" s="14" t="s">
        <v>974</v>
      </c>
      <c r="J106" s="26">
        <v>4</v>
      </c>
      <c r="K106" s="49" t="s">
        <v>375</v>
      </c>
      <c r="L106" s="46" t="s">
        <v>242</v>
      </c>
      <c r="M106" s="15" t="s">
        <v>1801</v>
      </c>
      <c r="N106" s="20" t="s">
        <v>1972</v>
      </c>
      <c r="O106" s="13" t="s">
        <v>206</v>
      </c>
      <c r="P106" s="13" t="s">
        <v>4</v>
      </c>
      <c r="Q106" s="22" t="s">
        <v>794</v>
      </c>
      <c r="R106" s="22"/>
      <c r="S106" s="13"/>
      <c r="T106" s="13"/>
      <c r="U106" s="13"/>
      <c r="V106" s="13"/>
      <c r="W106" s="13" t="s">
        <v>570</v>
      </c>
      <c r="X106" s="13" t="s">
        <v>570</v>
      </c>
      <c r="Y106" s="13"/>
      <c r="Z106" s="13"/>
      <c r="AA106" s="41"/>
      <c r="AB106" s="164">
        <v>0</v>
      </c>
      <c r="AC106" s="29">
        <v>0</v>
      </c>
      <c r="AD106" s="164"/>
      <c r="AE106" s="29">
        <v>0</v>
      </c>
      <c r="AF106" s="29">
        <f t="shared" si="47"/>
        <v>0</v>
      </c>
      <c r="AG106" s="25">
        <v>0.12</v>
      </c>
      <c r="AH106" s="29">
        <f t="shared" si="56"/>
        <v>0</v>
      </c>
      <c r="AI106" s="29">
        <f t="shared" si="46"/>
        <v>0</v>
      </c>
      <c r="AJ106" s="29">
        <f t="shared" si="54"/>
        <v>0</v>
      </c>
      <c r="AK106" s="29"/>
      <c r="AL106" s="29"/>
      <c r="AM106" s="29"/>
      <c r="AN106" s="41"/>
      <c r="AO106" s="41">
        <v>0</v>
      </c>
      <c r="AP106" s="41"/>
      <c r="AQ106" s="41"/>
      <c r="AR106" s="41"/>
      <c r="AS106" s="41"/>
      <c r="AT106" s="41"/>
      <c r="AU106" s="41"/>
      <c r="AV106" s="41"/>
      <c r="AW106" s="41"/>
      <c r="AX106" s="41"/>
      <c r="AY106" s="41"/>
      <c r="AZ106" s="41"/>
      <c r="BA106" s="41"/>
      <c r="BB106" s="41"/>
      <c r="BC106" s="41"/>
      <c r="BD106" s="37"/>
      <c r="BE106" s="37"/>
      <c r="BF106" s="68"/>
      <c r="BG106" s="29">
        <f t="shared" si="48"/>
        <v>0</v>
      </c>
      <c r="BH106" s="37"/>
      <c r="BI106" s="37"/>
      <c r="BJ106" s="29" t="s">
        <v>570</v>
      </c>
      <c r="BK106" s="37"/>
      <c r="BL106" s="37"/>
      <c r="BM106" s="37"/>
      <c r="BN106" s="13"/>
      <c r="BO106" s="13"/>
      <c r="BP106" s="13"/>
      <c r="BQ106" s="13"/>
      <c r="BR106" s="13"/>
      <c r="BS106" s="13"/>
      <c r="BT106" s="13"/>
      <c r="BU106" s="13"/>
      <c r="BV106" s="13"/>
      <c r="BW106" s="13"/>
      <c r="BX106" s="13"/>
      <c r="BY106" s="13"/>
      <c r="BZ106" s="13"/>
      <c r="CA106" s="13"/>
      <c r="CB106" s="224" t="s">
        <v>570</v>
      </c>
      <c r="CC106" s="224" t="s">
        <v>570</v>
      </c>
      <c r="CD106" s="224" t="s">
        <v>570</v>
      </c>
      <c r="CE106" s="13"/>
      <c r="CF106" s="13"/>
      <c r="CG106" s="13"/>
      <c r="CH106" s="13"/>
      <c r="CI106" s="13"/>
      <c r="CJ106" s="13"/>
      <c r="CK106" s="13"/>
      <c r="CL106" s="13"/>
      <c r="CM106" s="13"/>
      <c r="CN106" s="13"/>
      <c r="CO106" s="13"/>
      <c r="CP106" s="13"/>
      <c r="CQ106" s="13"/>
      <c r="CR106" s="13"/>
      <c r="CS106" s="29" t="s">
        <v>570</v>
      </c>
      <c r="CT106" s="29" t="s">
        <v>570</v>
      </c>
      <c r="CU106" s="29" t="s">
        <v>570</v>
      </c>
      <c r="CV106" s="23"/>
      <c r="CW106" s="30"/>
      <c r="CX106" s="30"/>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31">
        <f t="shared" si="49"/>
        <v>0</v>
      </c>
      <c r="DZ106" s="30"/>
      <c r="EA106" s="30"/>
      <c r="EB106" s="30"/>
      <c r="EC106" s="30"/>
      <c r="ED106" s="30"/>
      <c r="EE106" s="30"/>
      <c r="EF106" s="30"/>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25">
        <v>1</v>
      </c>
      <c r="FT106" s="25">
        <v>1</v>
      </c>
      <c r="FU106" s="25">
        <v>1</v>
      </c>
      <c r="FV106" s="25">
        <v>1</v>
      </c>
      <c r="FW106" s="25">
        <v>1</v>
      </c>
      <c r="FX106" s="25">
        <v>1</v>
      </c>
      <c r="FY106" s="25">
        <v>1</v>
      </c>
      <c r="FZ106" s="25">
        <v>1</v>
      </c>
      <c r="GA106" s="25">
        <v>1</v>
      </c>
      <c r="GB106" s="25">
        <v>1</v>
      </c>
      <c r="GC106" s="25">
        <v>1</v>
      </c>
      <c r="GD106" s="25">
        <v>1</v>
      </c>
      <c r="GE106" s="25">
        <v>1</v>
      </c>
      <c r="GF106" s="25">
        <v>1</v>
      </c>
      <c r="GG106" s="25">
        <v>1</v>
      </c>
      <c r="GH106" s="25">
        <v>1</v>
      </c>
      <c r="GI106" s="25">
        <v>1</v>
      </c>
      <c r="GJ106" s="25">
        <v>1</v>
      </c>
      <c r="GK106" s="25">
        <v>1</v>
      </c>
      <c r="GL106" s="25">
        <v>1</v>
      </c>
      <c r="GM106" s="25">
        <v>1</v>
      </c>
      <c r="GN106" s="25">
        <v>1</v>
      </c>
      <c r="GO106" s="25">
        <v>1</v>
      </c>
      <c r="GP106" s="25">
        <v>1</v>
      </c>
      <c r="GQ106" s="25">
        <v>1</v>
      </c>
      <c r="GR106" s="25">
        <v>1</v>
      </c>
      <c r="GS106" s="25">
        <v>1</v>
      </c>
      <c r="GT106" s="25">
        <v>1</v>
      </c>
      <c r="GU106" s="25">
        <v>1</v>
      </c>
      <c r="GV106" s="25" t="s">
        <v>1588</v>
      </c>
      <c r="GW106" s="25" t="s">
        <v>1588</v>
      </c>
      <c r="GX106" s="25" t="s">
        <v>1588</v>
      </c>
      <c r="GY106" s="25" t="s">
        <v>1588</v>
      </c>
      <c r="GZ106" s="25" t="s">
        <v>1588</v>
      </c>
      <c r="HA106" s="25" t="s">
        <v>1588</v>
      </c>
      <c r="HB106" s="25" t="s">
        <v>1588</v>
      </c>
      <c r="HC106" s="25" t="s">
        <v>1588</v>
      </c>
      <c r="HD106" s="25" t="s">
        <v>1889</v>
      </c>
      <c r="HE106" s="25" t="s">
        <v>1889</v>
      </c>
      <c r="HF106" s="25" t="s">
        <v>1889</v>
      </c>
      <c r="HG106" s="25" t="s">
        <v>1889</v>
      </c>
      <c r="HH106" s="25" t="s">
        <v>1889</v>
      </c>
      <c r="HI106" s="25"/>
      <c r="HJ106" s="25"/>
      <c r="HK106" s="25"/>
      <c r="HL106" s="25"/>
      <c r="HM106" s="25"/>
      <c r="HN106" s="25"/>
      <c r="HO106" s="25"/>
      <c r="HP106" s="25"/>
      <c r="HQ106" s="25"/>
      <c r="HR106" s="25"/>
      <c r="HS106" s="25"/>
      <c r="HT106" s="25"/>
      <c r="HU106" s="13" t="s">
        <v>837</v>
      </c>
      <c r="HV106" s="13"/>
      <c r="HW106" s="32"/>
      <c r="HX106" s="55"/>
      <c r="HY106" s="55"/>
      <c r="HZ106" s="55"/>
      <c r="IA106" s="251"/>
      <c r="IB106" s="251"/>
      <c r="IC106" s="251"/>
      <c r="ID106" s="251"/>
      <c r="IE106" s="251"/>
      <c r="IF106" s="107">
        <v>0</v>
      </c>
      <c r="IG106" s="107"/>
      <c r="IH106" s="250">
        <f t="shared" si="55"/>
        <v>0</v>
      </c>
      <c r="II106" s="251"/>
      <c r="IJ106" s="251"/>
      <c r="IK106" s="251"/>
      <c r="IL106" s="251"/>
      <c r="IM106" s="251"/>
      <c r="IN106" s="251"/>
      <c r="IO106" s="251"/>
      <c r="IP106" s="251"/>
      <c r="IQ106" s="251"/>
      <c r="IR106" s="251"/>
      <c r="IS106" s="251"/>
      <c r="IT106" s="251"/>
      <c r="IU106" s="251"/>
      <c r="IV106" s="251"/>
      <c r="IW106" s="251"/>
      <c r="IX106" s="251"/>
      <c r="IY106" s="251"/>
      <c r="IZ106" s="251"/>
      <c r="JA106" s="251"/>
      <c r="JB106" s="251"/>
      <c r="JC106" s="251"/>
      <c r="JD106" s="251">
        <v>2016</v>
      </c>
    </row>
    <row r="107" spans="1:264" s="5" customFormat="1" ht="24.95" hidden="1" customHeight="1">
      <c r="A107" s="26" t="s">
        <v>86</v>
      </c>
      <c r="B107" s="26" t="s">
        <v>27</v>
      </c>
      <c r="C107" s="13" t="s">
        <v>352</v>
      </c>
      <c r="D107" s="13" t="s">
        <v>377</v>
      </c>
      <c r="E107" s="16" t="s">
        <v>378</v>
      </c>
      <c r="F107" s="13" t="s">
        <v>378</v>
      </c>
      <c r="G107" s="26" t="s">
        <v>354</v>
      </c>
      <c r="H107" s="13" t="s">
        <v>1547</v>
      </c>
      <c r="I107" s="21" t="s">
        <v>92</v>
      </c>
      <c r="J107" s="26">
        <v>5</v>
      </c>
      <c r="K107" s="49" t="s">
        <v>375</v>
      </c>
      <c r="L107" s="26" t="s">
        <v>91</v>
      </c>
      <c r="M107" s="20" t="s">
        <v>92</v>
      </c>
      <c r="N107" s="20"/>
      <c r="O107" s="13" t="s">
        <v>3</v>
      </c>
      <c r="P107" s="13" t="s">
        <v>4</v>
      </c>
      <c r="Q107" s="22" t="s">
        <v>1118</v>
      </c>
      <c r="R107" s="26" t="s">
        <v>91</v>
      </c>
      <c r="S107" s="13" t="s">
        <v>748</v>
      </c>
      <c r="T107" s="13" t="s">
        <v>1387</v>
      </c>
      <c r="U107" s="13" t="s">
        <v>477</v>
      </c>
      <c r="V107" s="24">
        <v>1310373418001</v>
      </c>
      <c r="W107" s="13" t="s">
        <v>753</v>
      </c>
      <c r="X107" s="13" t="s">
        <v>754</v>
      </c>
      <c r="Y107" s="13" t="s">
        <v>755</v>
      </c>
      <c r="Z107" s="13" t="s">
        <v>756</v>
      </c>
      <c r="AA107" s="41"/>
      <c r="AB107" s="45">
        <v>219280.19</v>
      </c>
      <c r="AC107" s="29">
        <v>0</v>
      </c>
      <c r="AD107" s="45">
        <v>219280.19</v>
      </c>
      <c r="AE107" s="29">
        <v>0</v>
      </c>
      <c r="AF107" s="29">
        <f t="shared" si="47"/>
        <v>219280.19</v>
      </c>
      <c r="AG107" s="25">
        <v>0.12</v>
      </c>
      <c r="AH107" s="29">
        <f t="shared" si="56"/>
        <v>26313.622800000001</v>
      </c>
      <c r="AI107" s="29">
        <f t="shared" si="46"/>
        <v>0</v>
      </c>
      <c r="AJ107" s="29">
        <f t="shared" si="54"/>
        <v>245593.81280000001</v>
      </c>
      <c r="AK107" s="29">
        <v>215358.54</v>
      </c>
      <c r="AL107" s="29">
        <f>AB107-AK107</f>
        <v>3921.6499999999942</v>
      </c>
      <c r="AM107" s="29"/>
      <c r="AN107" s="41"/>
      <c r="AO107" s="41">
        <v>219280.18669138136</v>
      </c>
      <c r="AP107" s="41"/>
      <c r="AQ107" s="41">
        <v>215908.05</v>
      </c>
      <c r="AR107" s="41"/>
      <c r="AS107" s="41"/>
      <c r="AT107" s="41"/>
      <c r="AU107" s="41"/>
      <c r="AV107" s="41"/>
      <c r="AW107" s="41"/>
      <c r="AX107" s="41"/>
      <c r="AY107" s="41"/>
      <c r="AZ107" s="41"/>
      <c r="BA107" s="59">
        <v>42559</v>
      </c>
      <c r="BB107" s="25" t="s">
        <v>556</v>
      </c>
      <c r="BC107" s="41">
        <v>18772.18</v>
      </c>
      <c r="BD107" s="37"/>
      <c r="BE107" s="37">
        <v>20079.448649999998</v>
      </c>
      <c r="BF107" s="29">
        <f>AB107-AQ107</f>
        <v>3372.140000000014</v>
      </c>
      <c r="BG107" s="29">
        <f t="shared" si="48"/>
        <v>-35479.488649999985</v>
      </c>
      <c r="BH107" s="37" t="s">
        <v>594</v>
      </c>
      <c r="BI107" s="29" t="s">
        <v>570</v>
      </c>
      <c r="BJ107" s="29" t="s">
        <v>570</v>
      </c>
      <c r="BK107" s="29" t="s">
        <v>570</v>
      </c>
      <c r="BL107" s="29" t="s">
        <v>570</v>
      </c>
      <c r="BM107" s="29" t="s">
        <v>570</v>
      </c>
      <c r="BN107" s="23">
        <v>42244</v>
      </c>
      <c r="BO107" s="23">
        <v>42250</v>
      </c>
      <c r="BP107" s="23">
        <v>42258</v>
      </c>
      <c r="BQ107" s="23">
        <v>42272</v>
      </c>
      <c r="BR107" s="13" t="s">
        <v>570</v>
      </c>
      <c r="BS107" s="23">
        <v>42277</v>
      </c>
      <c r="BT107" s="23">
        <v>42284</v>
      </c>
      <c r="BU107" s="13" t="s">
        <v>570</v>
      </c>
      <c r="BV107" s="13" t="s">
        <v>570</v>
      </c>
      <c r="BW107" s="224" t="s">
        <v>570</v>
      </c>
      <c r="BX107" s="23">
        <v>42353</v>
      </c>
      <c r="BY107" s="13" t="s">
        <v>570</v>
      </c>
      <c r="BZ107" s="13" t="s">
        <v>503</v>
      </c>
      <c r="CA107" s="23">
        <v>42402</v>
      </c>
      <c r="CB107" s="224" t="s">
        <v>570</v>
      </c>
      <c r="CC107" s="224" t="s">
        <v>570</v>
      </c>
      <c r="CD107" s="224" t="s">
        <v>570</v>
      </c>
      <c r="CE107" s="23"/>
      <c r="CF107" s="127" t="s">
        <v>829</v>
      </c>
      <c r="CG107" s="23"/>
      <c r="CH107" s="23"/>
      <c r="CI107" s="23"/>
      <c r="CJ107" s="23"/>
      <c r="CK107" s="23"/>
      <c r="CL107" s="23"/>
      <c r="CM107" s="23"/>
      <c r="CN107" s="23"/>
      <c r="CO107" s="23"/>
      <c r="CP107" s="23"/>
      <c r="CQ107" s="23"/>
      <c r="CR107" s="127" t="s">
        <v>829</v>
      </c>
      <c r="CS107" s="13" t="s">
        <v>570</v>
      </c>
      <c r="CT107" s="37" t="s">
        <v>455</v>
      </c>
      <c r="CU107" s="25">
        <v>0.05</v>
      </c>
      <c r="CV107" s="23">
        <v>42530</v>
      </c>
      <c r="CW107" s="30">
        <f>AQ107*0.5</f>
        <v>107954.02499999999</v>
      </c>
      <c r="CX107" s="30"/>
      <c r="CY107" s="155">
        <v>42648</v>
      </c>
      <c r="CZ107" s="60">
        <f>32225.21-16112.61</f>
        <v>16112.599999999999</v>
      </c>
      <c r="DA107" s="13"/>
      <c r="DB107" s="155">
        <v>42703</v>
      </c>
      <c r="DC107" s="60">
        <f>40952.8-20476.4</f>
        <v>20476.400000000001</v>
      </c>
      <c r="DD107" s="13"/>
      <c r="DE107" s="155">
        <v>42732</v>
      </c>
      <c r="DF107" s="60">
        <f>29670.64-14835.32</f>
        <v>14835.32</v>
      </c>
      <c r="DG107" s="13"/>
      <c r="DH107" s="13"/>
      <c r="DI107" s="13"/>
      <c r="DJ107" s="13"/>
      <c r="DK107" s="13"/>
      <c r="DL107" s="13"/>
      <c r="DM107" s="13"/>
      <c r="DN107" s="13"/>
      <c r="DO107" s="13"/>
      <c r="DP107" s="13"/>
      <c r="DQ107" s="13"/>
      <c r="DR107" s="13"/>
      <c r="DS107" s="13"/>
      <c r="DT107" s="13"/>
      <c r="DU107" s="13"/>
      <c r="DV107" s="13"/>
      <c r="DW107" s="13"/>
      <c r="DX107" s="13"/>
      <c r="DY107" s="31">
        <f t="shared" si="49"/>
        <v>159378.345</v>
      </c>
      <c r="DZ107" s="13"/>
      <c r="EA107" s="13"/>
      <c r="EB107" s="13"/>
      <c r="EC107" s="13"/>
      <c r="ED107" s="13"/>
      <c r="EE107" s="13"/>
      <c r="EF107" s="13"/>
      <c r="EG107" s="13">
        <v>90</v>
      </c>
      <c r="EH107" s="13" t="s">
        <v>588</v>
      </c>
      <c r="EI107" s="23">
        <f>CV107+1</f>
        <v>42531</v>
      </c>
      <c r="EJ107" s="23">
        <f>EI107+EG107</f>
        <v>42621</v>
      </c>
      <c r="EK107" s="23">
        <v>42620</v>
      </c>
      <c r="EL107" s="44">
        <v>30</v>
      </c>
      <c r="EM107" s="23">
        <f>EK107+EL107</f>
        <v>42650</v>
      </c>
      <c r="EN107" s="23"/>
      <c r="EO107" s="23"/>
      <c r="EP107" s="23"/>
      <c r="EQ107" s="23"/>
      <c r="ER107" s="23"/>
      <c r="ES107" s="23"/>
      <c r="ET107" s="23"/>
      <c r="EU107" s="23"/>
      <c r="EV107" s="23"/>
      <c r="EW107" s="13"/>
      <c r="EX107" s="23">
        <v>42683</v>
      </c>
      <c r="EY107" s="23"/>
      <c r="EZ107" s="23"/>
      <c r="FA107" s="23"/>
      <c r="FB107" s="23"/>
      <c r="FC107" s="23"/>
      <c r="FD107" s="23"/>
      <c r="FE107" s="13"/>
      <c r="FF107" s="13"/>
      <c r="FG107" s="13"/>
      <c r="FH107" s="25"/>
      <c r="FI107" s="25"/>
      <c r="FJ107" s="25"/>
      <c r="FK107" s="25"/>
      <c r="FL107" s="25"/>
      <c r="FM107" s="25">
        <v>0.05</v>
      </c>
      <c r="FN107" s="25">
        <v>0.06</v>
      </c>
      <c r="FO107" s="25">
        <v>0.09</v>
      </c>
      <c r="FP107" s="25">
        <v>0.114</v>
      </c>
      <c r="FQ107" s="25">
        <v>0.13</v>
      </c>
      <c r="FR107" s="25">
        <v>0.158</v>
      </c>
      <c r="FS107" s="25">
        <v>0.16</v>
      </c>
      <c r="FT107" s="25">
        <v>0.21</v>
      </c>
      <c r="FU107" s="25">
        <v>1</v>
      </c>
      <c r="FV107" s="25">
        <v>1</v>
      </c>
      <c r="FW107" s="25">
        <v>1</v>
      </c>
      <c r="FX107" s="25">
        <v>1</v>
      </c>
      <c r="FY107" s="25">
        <v>1</v>
      </c>
      <c r="FZ107" s="25">
        <v>1</v>
      </c>
      <c r="GA107" s="25">
        <v>1</v>
      </c>
      <c r="GB107" s="25">
        <v>1</v>
      </c>
      <c r="GC107" s="25">
        <v>1</v>
      </c>
      <c r="GD107" s="25">
        <v>1</v>
      </c>
      <c r="GE107" s="25">
        <v>1</v>
      </c>
      <c r="GF107" s="25">
        <v>1</v>
      </c>
      <c r="GG107" s="25">
        <v>1</v>
      </c>
      <c r="GH107" s="25">
        <v>1</v>
      </c>
      <c r="GI107" s="25">
        <v>1</v>
      </c>
      <c r="GJ107" s="25">
        <v>1</v>
      </c>
      <c r="GK107" s="25">
        <v>1</v>
      </c>
      <c r="GL107" s="25">
        <v>1</v>
      </c>
      <c r="GM107" s="25">
        <v>1</v>
      </c>
      <c r="GN107" s="25">
        <v>1</v>
      </c>
      <c r="GO107" s="25">
        <v>1</v>
      </c>
      <c r="GP107" s="25">
        <v>1</v>
      </c>
      <c r="GQ107" s="25">
        <v>1</v>
      </c>
      <c r="GR107" s="25">
        <v>1</v>
      </c>
      <c r="GS107" s="25">
        <v>1</v>
      </c>
      <c r="GT107" s="25">
        <v>1</v>
      </c>
      <c r="GU107" s="25">
        <v>1</v>
      </c>
      <c r="GV107" s="25" t="s">
        <v>455</v>
      </c>
      <c r="GW107" s="25" t="s">
        <v>455</v>
      </c>
      <c r="GX107" s="25" t="s">
        <v>455</v>
      </c>
      <c r="GY107" s="25" t="s">
        <v>455</v>
      </c>
      <c r="GZ107" s="25" t="s">
        <v>455</v>
      </c>
      <c r="HA107" s="25" t="s">
        <v>455</v>
      </c>
      <c r="HB107" s="25" t="s">
        <v>455</v>
      </c>
      <c r="HC107" s="25" t="s">
        <v>455</v>
      </c>
      <c r="HD107" s="25" t="s">
        <v>455</v>
      </c>
      <c r="HE107" s="25" t="s">
        <v>455</v>
      </c>
      <c r="HF107" s="25" t="s">
        <v>455</v>
      </c>
      <c r="HG107" s="25" t="s">
        <v>455</v>
      </c>
      <c r="HH107" s="25" t="s">
        <v>455</v>
      </c>
      <c r="HI107" s="25"/>
      <c r="HJ107" s="25"/>
      <c r="HK107" s="25"/>
      <c r="HL107" s="25"/>
      <c r="HM107" s="25" t="s">
        <v>1739</v>
      </c>
      <c r="HN107" s="25"/>
      <c r="HO107" s="25"/>
      <c r="HP107" s="25"/>
      <c r="HQ107" s="25"/>
      <c r="HR107" s="25"/>
      <c r="HS107" s="25"/>
      <c r="HT107" s="25"/>
      <c r="HU107" s="13"/>
      <c r="HV107" s="13"/>
      <c r="HW107" s="32"/>
      <c r="HX107" s="55"/>
      <c r="HY107" s="55"/>
      <c r="HZ107" s="55"/>
      <c r="IA107" s="55"/>
      <c r="IB107" s="55"/>
      <c r="IC107" s="55"/>
      <c r="ID107" s="55"/>
      <c r="IE107" s="55"/>
      <c r="IF107" s="107">
        <v>219280.19</v>
      </c>
      <c r="IG107" s="107">
        <v>215358.54</v>
      </c>
      <c r="IH107" s="250">
        <f t="shared" si="55"/>
        <v>0</v>
      </c>
      <c r="II107" s="55"/>
      <c r="IJ107" s="55"/>
      <c r="IK107" s="55"/>
      <c r="IL107" s="55"/>
      <c r="IM107" s="55"/>
      <c r="IN107" s="55"/>
      <c r="IO107" s="55"/>
      <c r="IP107" s="55"/>
      <c r="IQ107" s="55"/>
      <c r="IR107" s="55"/>
      <c r="IS107" s="55"/>
      <c r="IT107" s="55"/>
      <c r="IU107" s="55"/>
      <c r="IV107" s="55"/>
      <c r="IW107" s="55"/>
      <c r="IX107" s="55"/>
      <c r="IY107" s="55"/>
      <c r="IZ107" s="55"/>
      <c r="JA107" s="55"/>
      <c r="JB107" s="55"/>
      <c r="JC107" s="55"/>
      <c r="JD107" s="55">
        <v>2017</v>
      </c>
    </row>
    <row r="108" spans="1:264" s="5" customFormat="1" ht="24.95" hidden="1" customHeight="1">
      <c r="A108" s="26" t="s">
        <v>86</v>
      </c>
      <c r="B108" s="26" t="s">
        <v>27</v>
      </c>
      <c r="C108" s="13" t="s">
        <v>352</v>
      </c>
      <c r="D108" s="13" t="s">
        <v>377</v>
      </c>
      <c r="E108" s="16" t="s">
        <v>378</v>
      </c>
      <c r="F108" s="13" t="s">
        <v>378</v>
      </c>
      <c r="G108" s="26" t="s">
        <v>354</v>
      </c>
      <c r="H108" s="13" t="s">
        <v>1547</v>
      </c>
      <c r="I108" s="21" t="s">
        <v>975</v>
      </c>
      <c r="J108" s="26">
        <v>6</v>
      </c>
      <c r="K108" s="49" t="s">
        <v>375</v>
      </c>
      <c r="L108" s="26" t="s">
        <v>93</v>
      </c>
      <c r="M108" s="20" t="s">
        <v>94</v>
      </c>
      <c r="N108" s="20" t="s">
        <v>1969</v>
      </c>
      <c r="O108" s="13" t="s">
        <v>3</v>
      </c>
      <c r="P108" s="13" t="s">
        <v>4</v>
      </c>
      <c r="Q108" s="22" t="s">
        <v>1118</v>
      </c>
      <c r="R108" s="26" t="s">
        <v>559</v>
      </c>
      <c r="S108" s="13" t="s">
        <v>552</v>
      </c>
      <c r="T108" s="13" t="s">
        <v>1387</v>
      </c>
      <c r="U108" s="13" t="s">
        <v>477</v>
      </c>
      <c r="V108" s="24">
        <v>13086680766001</v>
      </c>
      <c r="W108" s="13" t="s">
        <v>753</v>
      </c>
      <c r="X108" s="13" t="s">
        <v>754</v>
      </c>
      <c r="Y108" s="13" t="s">
        <v>757</v>
      </c>
      <c r="Z108" s="13" t="s">
        <v>758</v>
      </c>
      <c r="AA108" s="41"/>
      <c r="AB108" s="45">
        <v>317896.40000000002</v>
      </c>
      <c r="AC108" s="29">
        <v>0</v>
      </c>
      <c r="AD108" s="41">
        <v>317896.40000000002</v>
      </c>
      <c r="AE108" s="29">
        <v>0</v>
      </c>
      <c r="AF108" s="29">
        <f t="shared" si="47"/>
        <v>317896.40000000002</v>
      </c>
      <c r="AG108" s="25">
        <v>0.12</v>
      </c>
      <c r="AH108" s="29">
        <f t="shared" si="56"/>
        <v>38147.567999999999</v>
      </c>
      <c r="AI108" s="29">
        <f t="shared" si="46"/>
        <v>0</v>
      </c>
      <c r="AJ108" s="29">
        <f t="shared" si="54"/>
        <v>356043.96800000005</v>
      </c>
      <c r="AK108" s="29">
        <v>304762.53000000003</v>
      </c>
      <c r="AL108" s="29">
        <f>AB108-AK108</f>
        <v>13133.869999999995</v>
      </c>
      <c r="AM108" s="29"/>
      <c r="AN108" s="41"/>
      <c r="AO108" s="41">
        <v>317896.40000000002</v>
      </c>
      <c r="AP108" s="41"/>
      <c r="AQ108" s="41">
        <v>311717.67</v>
      </c>
      <c r="AR108" s="41"/>
      <c r="AS108" s="41"/>
      <c r="AT108" s="41"/>
      <c r="AU108" s="41"/>
      <c r="AV108" s="41"/>
      <c r="AW108" s="41"/>
      <c r="AX108" s="41"/>
      <c r="AY108" s="41"/>
      <c r="AZ108" s="41"/>
      <c r="BA108" s="41"/>
      <c r="BB108" s="41"/>
      <c r="BC108" s="41"/>
      <c r="BD108" s="37"/>
      <c r="BE108" s="37">
        <v>9800</v>
      </c>
      <c r="BF108" s="29">
        <f>AB108-AQ108</f>
        <v>6178.7300000000396</v>
      </c>
      <c r="BG108" s="29">
        <f t="shared" si="48"/>
        <v>-3621.2699999999604</v>
      </c>
      <c r="BH108" s="37" t="s">
        <v>594</v>
      </c>
      <c r="BI108" s="29" t="s">
        <v>570</v>
      </c>
      <c r="BJ108" s="29" t="s">
        <v>570</v>
      </c>
      <c r="BK108" s="29" t="s">
        <v>570</v>
      </c>
      <c r="BL108" s="29" t="s">
        <v>570</v>
      </c>
      <c r="BM108" s="29" t="s">
        <v>570</v>
      </c>
      <c r="BN108" s="23">
        <v>42244</v>
      </c>
      <c r="BO108" s="23">
        <v>42250</v>
      </c>
      <c r="BP108" s="23">
        <v>42258</v>
      </c>
      <c r="BQ108" s="23">
        <v>42272</v>
      </c>
      <c r="BR108" s="13" t="s">
        <v>570</v>
      </c>
      <c r="BS108" s="23">
        <v>42277</v>
      </c>
      <c r="BT108" s="23">
        <v>42284</v>
      </c>
      <c r="BU108" s="13" t="s">
        <v>570</v>
      </c>
      <c r="BV108" s="13" t="s">
        <v>570</v>
      </c>
      <c r="BW108" s="224" t="s">
        <v>570</v>
      </c>
      <c r="BX108" s="23">
        <v>42333</v>
      </c>
      <c r="BY108" s="13" t="s">
        <v>570</v>
      </c>
      <c r="BZ108" s="13" t="s">
        <v>503</v>
      </c>
      <c r="CA108" s="23">
        <v>42348</v>
      </c>
      <c r="CB108" s="224" t="s">
        <v>570</v>
      </c>
      <c r="CC108" s="224" t="s">
        <v>570</v>
      </c>
      <c r="CD108" s="224" t="s">
        <v>570</v>
      </c>
      <c r="CE108" s="23"/>
      <c r="CF108" s="127" t="s">
        <v>829</v>
      </c>
      <c r="CG108" s="23"/>
      <c r="CH108" s="23"/>
      <c r="CI108" s="23"/>
      <c r="CJ108" s="23"/>
      <c r="CK108" s="23"/>
      <c r="CL108" s="23"/>
      <c r="CM108" s="23"/>
      <c r="CN108" s="23"/>
      <c r="CO108" s="23"/>
      <c r="CP108" s="23"/>
      <c r="CQ108" s="23"/>
      <c r="CR108" s="127" t="s">
        <v>829</v>
      </c>
      <c r="CS108" s="13" t="s">
        <v>570</v>
      </c>
      <c r="CT108" s="37" t="s">
        <v>455</v>
      </c>
      <c r="CU108" s="25">
        <v>0.05</v>
      </c>
      <c r="CV108" s="23">
        <v>42425</v>
      </c>
      <c r="CW108" s="30">
        <f>AQ108*0.5</f>
        <v>155858.83499999999</v>
      </c>
      <c r="CX108" s="30"/>
      <c r="CY108" s="23">
        <v>42559</v>
      </c>
      <c r="CZ108" s="37">
        <v>24102.36</v>
      </c>
      <c r="DA108" s="37"/>
      <c r="DB108" s="23">
        <v>42725</v>
      </c>
      <c r="DC108" s="37">
        <f>44520.02-22260.01</f>
        <v>22260.01</v>
      </c>
      <c r="DD108" s="37"/>
      <c r="DE108" s="13"/>
      <c r="DF108" s="13"/>
      <c r="DG108" s="13"/>
      <c r="DH108" s="13"/>
      <c r="DI108" s="13"/>
      <c r="DJ108" s="13"/>
      <c r="DK108" s="13"/>
      <c r="DL108" s="13"/>
      <c r="DM108" s="13"/>
      <c r="DN108" s="13"/>
      <c r="DO108" s="13"/>
      <c r="DP108" s="13"/>
      <c r="DQ108" s="13"/>
      <c r="DR108" s="13"/>
      <c r="DS108" s="13"/>
      <c r="DT108" s="13"/>
      <c r="DU108" s="13"/>
      <c r="DV108" s="13"/>
      <c r="DW108" s="13"/>
      <c r="DX108" s="13"/>
      <c r="DY108" s="31">
        <f t="shared" si="49"/>
        <v>202221.20500000002</v>
      </c>
      <c r="DZ108" s="30"/>
      <c r="EA108" s="30"/>
      <c r="EB108" s="30"/>
      <c r="EC108" s="30"/>
      <c r="ED108" s="30"/>
      <c r="EE108" s="30"/>
      <c r="EF108" s="30"/>
      <c r="EG108" s="13">
        <v>120</v>
      </c>
      <c r="EH108" s="13" t="s">
        <v>588</v>
      </c>
      <c r="EI108" s="23">
        <f>CV108+1</f>
        <v>42426</v>
      </c>
      <c r="EJ108" s="23">
        <f>EI108+EG108</f>
        <v>42546</v>
      </c>
      <c r="EK108" s="23"/>
      <c r="EL108" s="23"/>
      <c r="EM108" s="23"/>
      <c r="EN108" s="23"/>
      <c r="EO108" s="23"/>
      <c r="EP108" s="23"/>
      <c r="EQ108" s="23"/>
      <c r="ER108" s="23"/>
      <c r="ES108" s="23"/>
      <c r="ET108" s="23"/>
      <c r="EU108" s="23"/>
      <c r="EV108" s="23"/>
      <c r="EW108" s="23">
        <v>42535</v>
      </c>
      <c r="EX108" s="23">
        <v>42611</v>
      </c>
      <c r="EY108" s="23"/>
      <c r="EZ108" s="23"/>
      <c r="FA108" s="23"/>
      <c r="FB108" s="23"/>
      <c r="FC108" s="23"/>
      <c r="FD108" s="23"/>
      <c r="FE108" s="23">
        <v>42766</v>
      </c>
      <c r="FF108" s="13"/>
      <c r="FG108" s="13"/>
      <c r="FH108" s="25"/>
      <c r="FI108" s="25"/>
      <c r="FJ108" s="25">
        <v>0.1</v>
      </c>
      <c r="FK108" s="25">
        <v>0.186</v>
      </c>
      <c r="FL108" s="25">
        <v>0.188</v>
      </c>
      <c r="FM108" s="25">
        <v>0.192</v>
      </c>
      <c r="FN108" s="25">
        <v>0.192</v>
      </c>
      <c r="FO108" s="25">
        <v>0.25</v>
      </c>
      <c r="FP108" s="25">
        <v>0.25</v>
      </c>
      <c r="FQ108" s="25">
        <v>0.25</v>
      </c>
      <c r="FR108" s="25">
        <v>0.25</v>
      </c>
      <c r="FS108" s="25">
        <v>0.25</v>
      </c>
      <c r="FT108" s="25">
        <v>0.25</v>
      </c>
      <c r="FU108" s="61">
        <v>0.68300000000000005</v>
      </c>
      <c r="FV108" s="25">
        <v>1</v>
      </c>
      <c r="FW108" s="25">
        <v>1</v>
      </c>
      <c r="FX108" s="25">
        <v>1</v>
      </c>
      <c r="FY108" s="25">
        <v>0.71</v>
      </c>
      <c r="FZ108" s="25">
        <v>0.71</v>
      </c>
      <c r="GA108" s="25">
        <v>0.95</v>
      </c>
      <c r="GB108" s="25">
        <v>0.95</v>
      </c>
      <c r="GC108" s="25">
        <v>0.95</v>
      </c>
      <c r="GD108" s="25">
        <v>0.95</v>
      </c>
      <c r="GE108" s="25">
        <v>0.95</v>
      </c>
      <c r="GF108" s="25">
        <v>1</v>
      </c>
      <c r="GG108" s="25">
        <v>1</v>
      </c>
      <c r="GH108" s="25">
        <v>1</v>
      </c>
      <c r="GI108" s="25">
        <v>1</v>
      </c>
      <c r="GJ108" s="25">
        <v>1</v>
      </c>
      <c r="GK108" s="25">
        <v>1</v>
      </c>
      <c r="GL108" s="25">
        <v>1</v>
      </c>
      <c r="GM108" s="25">
        <v>1</v>
      </c>
      <c r="GN108" s="25">
        <v>1</v>
      </c>
      <c r="GO108" s="25">
        <v>1</v>
      </c>
      <c r="GP108" s="25">
        <v>1</v>
      </c>
      <c r="GQ108" s="25">
        <v>1</v>
      </c>
      <c r="GR108" s="25">
        <v>1</v>
      </c>
      <c r="GS108" s="25">
        <v>1</v>
      </c>
      <c r="GT108" s="25">
        <v>1</v>
      </c>
      <c r="GU108" s="25">
        <v>1</v>
      </c>
      <c r="GV108" s="25" t="s">
        <v>1588</v>
      </c>
      <c r="GW108" s="25" t="s">
        <v>455</v>
      </c>
      <c r="GX108" s="25" t="s">
        <v>455</v>
      </c>
      <c r="GY108" s="25" t="s">
        <v>455</v>
      </c>
      <c r="GZ108" s="25" t="s">
        <v>455</v>
      </c>
      <c r="HA108" s="25" t="s">
        <v>455</v>
      </c>
      <c r="HB108" s="25" t="s">
        <v>455</v>
      </c>
      <c r="HC108" s="25" t="s">
        <v>455</v>
      </c>
      <c r="HD108" s="25" t="s">
        <v>455</v>
      </c>
      <c r="HE108" s="25" t="s">
        <v>455</v>
      </c>
      <c r="HF108" s="25" t="s">
        <v>455</v>
      </c>
      <c r="HG108" s="25" t="s">
        <v>455</v>
      </c>
      <c r="HH108" s="25" t="s">
        <v>455</v>
      </c>
      <c r="HI108" s="25"/>
      <c r="HJ108" s="25"/>
      <c r="HK108" s="25"/>
      <c r="HL108" s="25"/>
      <c r="HM108" s="25"/>
      <c r="HN108" s="25"/>
      <c r="HO108" s="25"/>
      <c r="HP108" s="25"/>
      <c r="HQ108" s="25"/>
      <c r="HR108" s="25"/>
      <c r="HS108" s="25"/>
      <c r="HT108" s="25"/>
      <c r="HU108" s="13" t="s">
        <v>1505</v>
      </c>
      <c r="HV108" s="13"/>
      <c r="HW108" s="32"/>
      <c r="HX108" s="55"/>
      <c r="HY108" s="55"/>
      <c r="HZ108" s="55"/>
      <c r="IA108" s="55"/>
      <c r="IB108" s="55"/>
      <c r="IC108" s="55"/>
      <c r="ID108" s="55"/>
      <c r="IE108" s="55"/>
      <c r="IF108" s="107">
        <v>317896.40000000002</v>
      </c>
      <c r="IG108" s="107">
        <v>304762.53000000003</v>
      </c>
      <c r="IH108" s="250">
        <f t="shared" si="55"/>
        <v>0</v>
      </c>
      <c r="II108" s="55"/>
      <c r="IJ108" s="55"/>
      <c r="IK108" s="55"/>
      <c r="IL108" s="55"/>
      <c r="IM108" s="55"/>
      <c r="IN108" s="55"/>
      <c r="IO108" s="55"/>
      <c r="IP108" s="55"/>
      <c r="IQ108" s="55"/>
      <c r="IR108" s="55"/>
      <c r="IS108" s="55"/>
      <c r="IT108" s="55"/>
      <c r="IU108" s="55"/>
      <c r="IV108" s="55"/>
      <c r="IW108" s="55"/>
      <c r="IX108" s="55"/>
      <c r="IY108" s="55"/>
      <c r="IZ108" s="55"/>
      <c r="JA108" s="55"/>
      <c r="JB108" s="55"/>
      <c r="JC108" s="55"/>
      <c r="JD108" s="55">
        <v>2017</v>
      </c>
    </row>
    <row r="109" spans="1:264" s="10" customFormat="1" ht="24.95" hidden="1" customHeight="1">
      <c r="A109" s="26" t="s">
        <v>86</v>
      </c>
      <c r="B109" s="26" t="s">
        <v>27</v>
      </c>
      <c r="C109" s="13" t="s">
        <v>352</v>
      </c>
      <c r="D109" s="13" t="s">
        <v>377</v>
      </c>
      <c r="E109" s="16" t="s">
        <v>378</v>
      </c>
      <c r="F109" s="13" t="s">
        <v>378</v>
      </c>
      <c r="G109" s="26" t="s">
        <v>354</v>
      </c>
      <c r="H109" s="13" t="s">
        <v>1547</v>
      </c>
      <c r="I109" s="21" t="s">
        <v>976</v>
      </c>
      <c r="J109" s="26">
        <v>7</v>
      </c>
      <c r="K109" s="49" t="s">
        <v>375</v>
      </c>
      <c r="L109" s="26" t="s">
        <v>93</v>
      </c>
      <c r="M109" s="20" t="s">
        <v>94</v>
      </c>
      <c r="N109" s="20" t="s">
        <v>1973</v>
      </c>
      <c r="O109" s="13" t="s">
        <v>3</v>
      </c>
      <c r="P109" s="13" t="s">
        <v>4</v>
      </c>
      <c r="Q109" s="22" t="s">
        <v>1118</v>
      </c>
      <c r="R109" s="26" t="s">
        <v>559</v>
      </c>
      <c r="S109" s="13" t="s">
        <v>552</v>
      </c>
      <c r="T109" s="13" t="s">
        <v>1387</v>
      </c>
      <c r="U109" s="13" t="s">
        <v>477</v>
      </c>
      <c r="V109" s="24">
        <v>13086680766001</v>
      </c>
      <c r="W109" s="13" t="s">
        <v>753</v>
      </c>
      <c r="X109" s="13" t="s">
        <v>754</v>
      </c>
      <c r="Y109" s="13" t="s">
        <v>757</v>
      </c>
      <c r="Z109" s="13" t="s">
        <v>758</v>
      </c>
      <c r="AA109" s="41"/>
      <c r="AB109" s="45">
        <v>0</v>
      </c>
      <c r="AC109" s="29">
        <v>0</v>
      </c>
      <c r="AD109" s="41"/>
      <c r="AE109" s="29">
        <v>0</v>
      </c>
      <c r="AF109" s="29">
        <f t="shared" si="47"/>
        <v>0</v>
      </c>
      <c r="AG109" s="25">
        <v>0.12</v>
      </c>
      <c r="AH109" s="29">
        <f t="shared" si="56"/>
        <v>0</v>
      </c>
      <c r="AI109" s="29">
        <f t="shared" si="46"/>
        <v>0</v>
      </c>
      <c r="AJ109" s="29">
        <f t="shared" si="54"/>
        <v>0</v>
      </c>
      <c r="AK109" s="29"/>
      <c r="AL109" s="29"/>
      <c r="AM109" s="29"/>
      <c r="AN109" s="41"/>
      <c r="AO109" s="41"/>
      <c r="AP109" s="41"/>
      <c r="AQ109" s="41"/>
      <c r="AR109" s="41"/>
      <c r="AS109" s="41"/>
      <c r="AT109" s="41"/>
      <c r="AU109" s="41"/>
      <c r="AV109" s="41"/>
      <c r="AW109" s="41"/>
      <c r="AX109" s="41"/>
      <c r="AY109" s="41"/>
      <c r="AZ109" s="41"/>
      <c r="BA109" s="41"/>
      <c r="BB109" s="41"/>
      <c r="BC109" s="41"/>
      <c r="BD109" s="37"/>
      <c r="BE109" s="37"/>
      <c r="BF109" s="29">
        <f>AB109-AQ109</f>
        <v>0</v>
      </c>
      <c r="BG109" s="29">
        <f t="shared" si="48"/>
        <v>0</v>
      </c>
      <c r="BH109" s="37" t="s">
        <v>594</v>
      </c>
      <c r="BI109" s="29" t="s">
        <v>570</v>
      </c>
      <c r="BJ109" s="29" t="s">
        <v>570</v>
      </c>
      <c r="BK109" s="29" t="s">
        <v>570</v>
      </c>
      <c r="BL109" s="29" t="s">
        <v>570</v>
      </c>
      <c r="BM109" s="29" t="s">
        <v>570</v>
      </c>
      <c r="BN109" s="23">
        <v>42244</v>
      </c>
      <c r="BO109" s="23">
        <v>42250</v>
      </c>
      <c r="BP109" s="23">
        <v>42258</v>
      </c>
      <c r="BQ109" s="23">
        <v>42272</v>
      </c>
      <c r="BR109" s="13" t="s">
        <v>570</v>
      </c>
      <c r="BS109" s="23">
        <v>42277</v>
      </c>
      <c r="BT109" s="23">
        <v>42284</v>
      </c>
      <c r="BU109" s="13" t="s">
        <v>570</v>
      </c>
      <c r="BV109" s="13" t="s">
        <v>570</v>
      </c>
      <c r="BW109" s="224" t="s">
        <v>570</v>
      </c>
      <c r="BX109" s="23">
        <v>42333</v>
      </c>
      <c r="BY109" s="13" t="s">
        <v>570</v>
      </c>
      <c r="BZ109" s="13" t="s">
        <v>503</v>
      </c>
      <c r="CA109" s="23">
        <v>42348</v>
      </c>
      <c r="CB109" s="224" t="s">
        <v>570</v>
      </c>
      <c r="CC109" s="224" t="s">
        <v>570</v>
      </c>
      <c r="CD109" s="224" t="s">
        <v>570</v>
      </c>
      <c r="CE109" s="23"/>
      <c r="CF109" s="127" t="s">
        <v>829</v>
      </c>
      <c r="CG109" s="23"/>
      <c r="CH109" s="23"/>
      <c r="CI109" s="23"/>
      <c r="CJ109" s="23"/>
      <c r="CK109" s="23"/>
      <c r="CL109" s="23"/>
      <c r="CM109" s="23"/>
      <c r="CN109" s="23"/>
      <c r="CO109" s="23"/>
      <c r="CP109" s="23"/>
      <c r="CQ109" s="23"/>
      <c r="CR109" s="127" t="s">
        <v>829</v>
      </c>
      <c r="CS109" s="13" t="s">
        <v>570</v>
      </c>
      <c r="CT109" s="37" t="s">
        <v>455</v>
      </c>
      <c r="CU109" s="25">
        <v>0.05</v>
      </c>
      <c r="CV109" s="23">
        <v>42425</v>
      </c>
      <c r="CW109" s="30">
        <f>AQ109*0.5</f>
        <v>0</v>
      </c>
      <c r="CX109" s="30"/>
      <c r="CY109" s="23">
        <v>42559</v>
      </c>
      <c r="CZ109" s="37"/>
      <c r="DA109" s="37"/>
      <c r="DB109" s="23">
        <v>42725</v>
      </c>
      <c r="DC109" s="37"/>
      <c r="DD109" s="37"/>
      <c r="DE109" s="13"/>
      <c r="DF109" s="13"/>
      <c r="DG109" s="13"/>
      <c r="DH109" s="13"/>
      <c r="DI109" s="13"/>
      <c r="DJ109" s="13"/>
      <c r="DK109" s="13"/>
      <c r="DL109" s="13"/>
      <c r="DM109" s="13"/>
      <c r="DN109" s="13"/>
      <c r="DO109" s="13"/>
      <c r="DP109" s="13"/>
      <c r="DQ109" s="13"/>
      <c r="DR109" s="13"/>
      <c r="DS109" s="13"/>
      <c r="DT109" s="13"/>
      <c r="DU109" s="13"/>
      <c r="DV109" s="13"/>
      <c r="DW109" s="13"/>
      <c r="DX109" s="13"/>
      <c r="DY109" s="31">
        <f t="shared" si="49"/>
        <v>0</v>
      </c>
      <c r="DZ109" s="30"/>
      <c r="EA109" s="30"/>
      <c r="EB109" s="30"/>
      <c r="EC109" s="30"/>
      <c r="ED109" s="30"/>
      <c r="EE109" s="30"/>
      <c r="EF109" s="30"/>
      <c r="EG109" s="13">
        <v>120</v>
      </c>
      <c r="EH109" s="13" t="s">
        <v>588</v>
      </c>
      <c r="EI109" s="23">
        <f>CV109+1</f>
        <v>42426</v>
      </c>
      <c r="EJ109" s="23">
        <f>EI109+EG109</f>
        <v>42546</v>
      </c>
      <c r="EK109" s="23"/>
      <c r="EL109" s="23"/>
      <c r="EM109" s="23"/>
      <c r="EN109" s="23"/>
      <c r="EO109" s="23"/>
      <c r="EP109" s="23"/>
      <c r="EQ109" s="23"/>
      <c r="ER109" s="23"/>
      <c r="ES109" s="23"/>
      <c r="ET109" s="23"/>
      <c r="EU109" s="23"/>
      <c r="EV109" s="23"/>
      <c r="EW109" s="23">
        <v>42535</v>
      </c>
      <c r="EX109" s="23">
        <v>42611</v>
      </c>
      <c r="EY109" s="23"/>
      <c r="EZ109" s="23"/>
      <c r="FA109" s="23"/>
      <c r="FB109" s="23"/>
      <c r="FC109" s="23"/>
      <c r="FD109" s="23"/>
      <c r="FE109" s="23">
        <v>42766</v>
      </c>
      <c r="FF109" s="13"/>
      <c r="FG109" s="13"/>
      <c r="FH109" s="25"/>
      <c r="FI109" s="25"/>
      <c r="FJ109" s="61">
        <v>0.1</v>
      </c>
      <c r="FK109" s="61">
        <v>0.186</v>
      </c>
      <c r="FL109" s="61">
        <v>0.188</v>
      </c>
      <c r="FM109" s="61">
        <v>0.192</v>
      </c>
      <c r="FN109" s="61">
        <v>0.192</v>
      </c>
      <c r="FO109" s="61">
        <v>0.25</v>
      </c>
      <c r="FP109" s="61">
        <v>0.25</v>
      </c>
      <c r="FQ109" s="61">
        <v>0.25</v>
      </c>
      <c r="FR109" s="61">
        <v>0.25</v>
      </c>
      <c r="FS109" s="61">
        <v>0.25</v>
      </c>
      <c r="FT109" s="61">
        <v>0.25</v>
      </c>
      <c r="FU109" s="61">
        <v>0.68300000000000005</v>
      </c>
      <c r="FV109" s="25">
        <v>1</v>
      </c>
      <c r="FW109" s="25">
        <v>1</v>
      </c>
      <c r="FX109" s="25">
        <v>1</v>
      </c>
      <c r="FY109" s="25">
        <v>0.71</v>
      </c>
      <c r="FZ109" s="25">
        <v>0.71</v>
      </c>
      <c r="GA109" s="25">
        <v>0.95</v>
      </c>
      <c r="GB109" s="25">
        <v>0.95</v>
      </c>
      <c r="GC109" s="25">
        <v>0.95</v>
      </c>
      <c r="GD109" s="25">
        <v>0.95</v>
      </c>
      <c r="GE109" s="25">
        <v>0.95</v>
      </c>
      <c r="GF109" s="25">
        <v>1</v>
      </c>
      <c r="GG109" s="25">
        <v>1</v>
      </c>
      <c r="GH109" s="25">
        <v>1</v>
      </c>
      <c r="GI109" s="25">
        <v>1</v>
      </c>
      <c r="GJ109" s="25">
        <v>1</v>
      </c>
      <c r="GK109" s="25">
        <v>1</v>
      </c>
      <c r="GL109" s="25">
        <v>1</v>
      </c>
      <c r="GM109" s="25">
        <v>1</v>
      </c>
      <c r="GN109" s="25">
        <v>1</v>
      </c>
      <c r="GO109" s="25">
        <v>1</v>
      </c>
      <c r="GP109" s="25">
        <v>1</v>
      </c>
      <c r="GQ109" s="25">
        <v>1</v>
      </c>
      <c r="GR109" s="25">
        <v>1</v>
      </c>
      <c r="GS109" s="25">
        <v>1</v>
      </c>
      <c r="GT109" s="25">
        <v>1</v>
      </c>
      <c r="GU109" s="25">
        <v>1</v>
      </c>
      <c r="GV109" s="25" t="s">
        <v>1588</v>
      </c>
      <c r="GW109" s="25" t="s">
        <v>455</v>
      </c>
      <c r="GX109" s="25" t="s">
        <v>455</v>
      </c>
      <c r="GY109" s="25" t="s">
        <v>455</v>
      </c>
      <c r="GZ109" s="25" t="s">
        <v>455</v>
      </c>
      <c r="HA109" s="25" t="s">
        <v>455</v>
      </c>
      <c r="HB109" s="25" t="s">
        <v>455</v>
      </c>
      <c r="HC109" s="25" t="s">
        <v>455</v>
      </c>
      <c r="HD109" s="25" t="s">
        <v>455</v>
      </c>
      <c r="HE109" s="25" t="s">
        <v>455</v>
      </c>
      <c r="HF109" s="25" t="s">
        <v>455</v>
      </c>
      <c r="HG109" s="25" t="s">
        <v>455</v>
      </c>
      <c r="HH109" s="25" t="s">
        <v>455</v>
      </c>
      <c r="HI109" s="25"/>
      <c r="HJ109" s="25"/>
      <c r="HK109" s="25"/>
      <c r="HL109" s="25"/>
      <c r="HM109" s="25"/>
      <c r="HN109" s="25"/>
      <c r="HO109" s="25"/>
      <c r="HP109" s="25"/>
      <c r="HQ109" s="25"/>
      <c r="HR109" s="25"/>
      <c r="HS109" s="25"/>
      <c r="HT109" s="25"/>
      <c r="HU109" s="13" t="s">
        <v>1505</v>
      </c>
      <c r="HV109" s="13"/>
      <c r="HW109" s="32"/>
      <c r="HX109" s="55"/>
      <c r="HY109" s="55"/>
      <c r="HZ109" s="55"/>
      <c r="IA109" s="251"/>
      <c r="IB109" s="251"/>
      <c r="IC109" s="251"/>
      <c r="ID109" s="251"/>
      <c r="IE109" s="251"/>
      <c r="IF109" s="107">
        <v>0</v>
      </c>
      <c r="IG109" s="107"/>
      <c r="IH109" s="250">
        <f t="shared" si="55"/>
        <v>0</v>
      </c>
      <c r="II109" s="251"/>
      <c r="IJ109" s="251"/>
      <c r="IK109" s="251"/>
      <c r="IL109" s="251"/>
      <c r="IM109" s="251"/>
      <c r="IN109" s="251"/>
      <c r="IO109" s="251"/>
      <c r="IP109" s="251"/>
      <c r="IQ109" s="251"/>
      <c r="IR109" s="251"/>
      <c r="IS109" s="251"/>
      <c r="IT109" s="251"/>
      <c r="IU109" s="251"/>
      <c r="IV109" s="251"/>
      <c r="IW109" s="251"/>
      <c r="IX109" s="251"/>
      <c r="IY109" s="251"/>
      <c r="IZ109" s="251"/>
      <c r="JA109" s="251"/>
      <c r="JB109" s="251"/>
      <c r="JC109" s="251"/>
      <c r="JD109" s="251">
        <v>2018</v>
      </c>
    </row>
    <row r="110" spans="1:264" s="10" customFormat="1" ht="24.95" hidden="1" customHeight="1">
      <c r="A110" s="26" t="s">
        <v>86</v>
      </c>
      <c r="B110" s="26" t="s">
        <v>27</v>
      </c>
      <c r="C110" s="13" t="s">
        <v>352</v>
      </c>
      <c r="D110" s="13" t="s">
        <v>377</v>
      </c>
      <c r="E110" s="16" t="s">
        <v>378</v>
      </c>
      <c r="F110" s="13" t="s">
        <v>378</v>
      </c>
      <c r="G110" s="26" t="s">
        <v>354</v>
      </c>
      <c r="H110" s="13" t="s">
        <v>1547</v>
      </c>
      <c r="I110" s="21" t="s">
        <v>977</v>
      </c>
      <c r="J110" s="26">
        <v>8</v>
      </c>
      <c r="K110" s="49" t="s">
        <v>375</v>
      </c>
      <c r="L110" s="26" t="s">
        <v>93</v>
      </c>
      <c r="M110" s="20" t="s">
        <v>94</v>
      </c>
      <c r="N110" s="20" t="s">
        <v>1974</v>
      </c>
      <c r="O110" s="13" t="s">
        <v>3</v>
      </c>
      <c r="P110" s="13" t="s">
        <v>4</v>
      </c>
      <c r="Q110" s="22" t="s">
        <v>1118</v>
      </c>
      <c r="R110" s="26" t="s">
        <v>559</v>
      </c>
      <c r="S110" s="13" t="s">
        <v>552</v>
      </c>
      <c r="T110" s="13" t="s">
        <v>1387</v>
      </c>
      <c r="U110" s="13" t="s">
        <v>477</v>
      </c>
      <c r="V110" s="24">
        <v>13086680766001</v>
      </c>
      <c r="W110" s="13" t="s">
        <v>753</v>
      </c>
      <c r="X110" s="13" t="s">
        <v>754</v>
      </c>
      <c r="Y110" s="13" t="s">
        <v>757</v>
      </c>
      <c r="Z110" s="13" t="s">
        <v>758</v>
      </c>
      <c r="AA110" s="41"/>
      <c r="AB110" s="45">
        <v>0</v>
      </c>
      <c r="AC110" s="29">
        <v>0</v>
      </c>
      <c r="AD110" s="41"/>
      <c r="AE110" s="29">
        <v>0</v>
      </c>
      <c r="AF110" s="29">
        <f t="shared" si="47"/>
        <v>0</v>
      </c>
      <c r="AG110" s="25">
        <v>0.12</v>
      </c>
      <c r="AH110" s="29">
        <f t="shared" si="56"/>
        <v>0</v>
      </c>
      <c r="AI110" s="29">
        <f t="shared" si="46"/>
        <v>0</v>
      </c>
      <c r="AJ110" s="29">
        <f t="shared" si="54"/>
        <v>0</v>
      </c>
      <c r="AK110" s="29"/>
      <c r="AL110" s="29"/>
      <c r="AM110" s="29"/>
      <c r="AN110" s="41"/>
      <c r="AO110" s="41"/>
      <c r="AP110" s="41"/>
      <c r="AQ110" s="41"/>
      <c r="AR110" s="41"/>
      <c r="AS110" s="41"/>
      <c r="AT110" s="41"/>
      <c r="AU110" s="41"/>
      <c r="AV110" s="41"/>
      <c r="AW110" s="41"/>
      <c r="AX110" s="41"/>
      <c r="AY110" s="41"/>
      <c r="AZ110" s="41"/>
      <c r="BA110" s="41"/>
      <c r="BB110" s="41"/>
      <c r="BC110" s="41"/>
      <c r="BD110" s="37"/>
      <c r="BE110" s="37"/>
      <c r="BF110" s="29">
        <f>AB110-AQ110</f>
        <v>0</v>
      </c>
      <c r="BG110" s="29">
        <f t="shared" si="48"/>
        <v>0</v>
      </c>
      <c r="BH110" s="37" t="s">
        <v>594</v>
      </c>
      <c r="BI110" s="29" t="s">
        <v>570</v>
      </c>
      <c r="BJ110" s="29" t="s">
        <v>570</v>
      </c>
      <c r="BK110" s="29" t="s">
        <v>570</v>
      </c>
      <c r="BL110" s="29" t="s">
        <v>570</v>
      </c>
      <c r="BM110" s="29" t="s">
        <v>570</v>
      </c>
      <c r="BN110" s="23">
        <v>42244</v>
      </c>
      <c r="BO110" s="23">
        <v>42250</v>
      </c>
      <c r="BP110" s="23">
        <v>42258</v>
      </c>
      <c r="BQ110" s="23">
        <v>42272</v>
      </c>
      <c r="BR110" s="13" t="s">
        <v>570</v>
      </c>
      <c r="BS110" s="23">
        <v>42277</v>
      </c>
      <c r="BT110" s="23">
        <v>42284</v>
      </c>
      <c r="BU110" s="13" t="s">
        <v>570</v>
      </c>
      <c r="BV110" s="13" t="s">
        <v>570</v>
      </c>
      <c r="BW110" s="224" t="s">
        <v>570</v>
      </c>
      <c r="BX110" s="23">
        <v>42333</v>
      </c>
      <c r="BY110" s="13" t="s">
        <v>570</v>
      </c>
      <c r="BZ110" s="13" t="s">
        <v>503</v>
      </c>
      <c r="CA110" s="23">
        <v>42348</v>
      </c>
      <c r="CB110" s="224" t="s">
        <v>570</v>
      </c>
      <c r="CC110" s="224" t="s">
        <v>570</v>
      </c>
      <c r="CD110" s="224" t="s">
        <v>570</v>
      </c>
      <c r="CE110" s="23"/>
      <c r="CF110" s="127" t="s">
        <v>829</v>
      </c>
      <c r="CG110" s="23"/>
      <c r="CH110" s="23"/>
      <c r="CI110" s="23"/>
      <c r="CJ110" s="23"/>
      <c r="CK110" s="23"/>
      <c r="CL110" s="23"/>
      <c r="CM110" s="23"/>
      <c r="CN110" s="23"/>
      <c r="CO110" s="23"/>
      <c r="CP110" s="23"/>
      <c r="CQ110" s="23"/>
      <c r="CR110" s="127" t="s">
        <v>829</v>
      </c>
      <c r="CS110" s="13" t="s">
        <v>570</v>
      </c>
      <c r="CT110" s="37" t="s">
        <v>455</v>
      </c>
      <c r="CU110" s="25">
        <v>0.05</v>
      </c>
      <c r="CV110" s="23">
        <v>42425</v>
      </c>
      <c r="CW110" s="30">
        <f>AQ110*0.5</f>
        <v>0</v>
      </c>
      <c r="CX110" s="30"/>
      <c r="CY110" s="23">
        <v>42559</v>
      </c>
      <c r="CZ110" s="37"/>
      <c r="DA110" s="37"/>
      <c r="DB110" s="23">
        <v>42725</v>
      </c>
      <c r="DC110" s="37"/>
      <c r="DD110" s="37"/>
      <c r="DE110" s="13"/>
      <c r="DF110" s="13"/>
      <c r="DG110" s="13"/>
      <c r="DH110" s="13"/>
      <c r="DI110" s="13"/>
      <c r="DJ110" s="13"/>
      <c r="DK110" s="13"/>
      <c r="DL110" s="13"/>
      <c r="DM110" s="13"/>
      <c r="DN110" s="13"/>
      <c r="DO110" s="13"/>
      <c r="DP110" s="13"/>
      <c r="DQ110" s="13"/>
      <c r="DR110" s="13"/>
      <c r="DS110" s="13"/>
      <c r="DT110" s="13"/>
      <c r="DU110" s="13"/>
      <c r="DV110" s="13"/>
      <c r="DW110" s="13"/>
      <c r="DX110" s="13"/>
      <c r="DY110" s="31">
        <f t="shared" si="49"/>
        <v>0</v>
      </c>
      <c r="DZ110" s="30"/>
      <c r="EA110" s="30"/>
      <c r="EB110" s="30"/>
      <c r="EC110" s="30"/>
      <c r="ED110" s="30"/>
      <c r="EE110" s="30"/>
      <c r="EF110" s="30"/>
      <c r="EG110" s="13">
        <v>120</v>
      </c>
      <c r="EH110" s="13" t="s">
        <v>588</v>
      </c>
      <c r="EI110" s="23">
        <f>CV110+1</f>
        <v>42426</v>
      </c>
      <c r="EJ110" s="23">
        <f>EI110+EG110</f>
        <v>42546</v>
      </c>
      <c r="EK110" s="23"/>
      <c r="EL110" s="23"/>
      <c r="EM110" s="23"/>
      <c r="EN110" s="23"/>
      <c r="EO110" s="23"/>
      <c r="EP110" s="23"/>
      <c r="EQ110" s="23"/>
      <c r="ER110" s="23"/>
      <c r="ES110" s="23"/>
      <c r="ET110" s="23"/>
      <c r="EU110" s="23"/>
      <c r="EV110" s="23"/>
      <c r="EW110" s="23">
        <v>42535</v>
      </c>
      <c r="EX110" s="23">
        <v>42611</v>
      </c>
      <c r="EY110" s="23"/>
      <c r="EZ110" s="23"/>
      <c r="FA110" s="23"/>
      <c r="FB110" s="23"/>
      <c r="FC110" s="23"/>
      <c r="FD110" s="23"/>
      <c r="FE110" s="23">
        <v>42766</v>
      </c>
      <c r="FF110" s="13"/>
      <c r="FG110" s="13"/>
      <c r="FH110" s="25"/>
      <c r="FI110" s="25"/>
      <c r="FJ110" s="61">
        <v>0.1</v>
      </c>
      <c r="FK110" s="61">
        <v>0.186</v>
      </c>
      <c r="FL110" s="61">
        <v>0.188</v>
      </c>
      <c r="FM110" s="61">
        <v>0.192</v>
      </c>
      <c r="FN110" s="61">
        <v>0.192</v>
      </c>
      <c r="FO110" s="61">
        <v>0.25</v>
      </c>
      <c r="FP110" s="61">
        <v>0.25</v>
      </c>
      <c r="FQ110" s="61">
        <v>0.25</v>
      </c>
      <c r="FR110" s="61">
        <v>0.25</v>
      </c>
      <c r="FS110" s="61">
        <v>0.25</v>
      </c>
      <c r="FT110" s="61">
        <v>0.25</v>
      </c>
      <c r="FU110" s="61">
        <v>0.68300000000000005</v>
      </c>
      <c r="FV110" s="25">
        <v>1</v>
      </c>
      <c r="FW110" s="25">
        <v>1</v>
      </c>
      <c r="FX110" s="25">
        <v>1</v>
      </c>
      <c r="FY110" s="25">
        <v>0.71</v>
      </c>
      <c r="FZ110" s="25">
        <v>0.71</v>
      </c>
      <c r="GA110" s="25">
        <v>0.95</v>
      </c>
      <c r="GB110" s="25">
        <v>0.95</v>
      </c>
      <c r="GC110" s="25">
        <v>0.95</v>
      </c>
      <c r="GD110" s="25">
        <v>0.95</v>
      </c>
      <c r="GE110" s="25">
        <v>0.95</v>
      </c>
      <c r="GF110" s="25">
        <v>1</v>
      </c>
      <c r="GG110" s="25">
        <v>1</v>
      </c>
      <c r="GH110" s="25">
        <v>1</v>
      </c>
      <c r="GI110" s="25">
        <v>1</v>
      </c>
      <c r="GJ110" s="25">
        <v>1</v>
      </c>
      <c r="GK110" s="25">
        <v>1</v>
      </c>
      <c r="GL110" s="25">
        <v>1</v>
      </c>
      <c r="GM110" s="25">
        <v>1</v>
      </c>
      <c r="GN110" s="25">
        <v>1</v>
      </c>
      <c r="GO110" s="25">
        <v>1</v>
      </c>
      <c r="GP110" s="25">
        <v>1</v>
      </c>
      <c r="GQ110" s="25">
        <v>1</v>
      </c>
      <c r="GR110" s="25">
        <v>1</v>
      </c>
      <c r="GS110" s="25">
        <v>1</v>
      </c>
      <c r="GT110" s="25">
        <v>1</v>
      </c>
      <c r="GU110" s="25">
        <v>1</v>
      </c>
      <c r="GV110" s="25" t="s">
        <v>1588</v>
      </c>
      <c r="GW110" s="25" t="s">
        <v>455</v>
      </c>
      <c r="GX110" s="25" t="s">
        <v>455</v>
      </c>
      <c r="GY110" s="25" t="s">
        <v>455</v>
      </c>
      <c r="GZ110" s="25" t="s">
        <v>455</v>
      </c>
      <c r="HA110" s="25" t="s">
        <v>455</v>
      </c>
      <c r="HB110" s="25" t="s">
        <v>455</v>
      </c>
      <c r="HC110" s="25" t="s">
        <v>455</v>
      </c>
      <c r="HD110" s="25" t="s">
        <v>455</v>
      </c>
      <c r="HE110" s="25" t="s">
        <v>455</v>
      </c>
      <c r="HF110" s="25" t="s">
        <v>455</v>
      </c>
      <c r="HG110" s="25" t="s">
        <v>455</v>
      </c>
      <c r="HH110" s="25" t="s">
        <v>455</v>
      </c>
      <c r="HI110" s="25"/>
      <c r="HJ110" s="25"/>
      <c r="HK110" s="25"/>
      <c r="HL110" s="25"/>
      <c r="HM110" s="25"/>
      <c r="HN110" s="25"/>
      <c r="HO110" s="25"/>
      <c r="HP110" s="25"/>
      <c r="HQ110" s="25"/>
      <c r="HR110" s="25"/>
      <c r="HS110" s="25"/>
      <c r="HT110" s="25"/>
      <c r="HU110" s="13" t="s">
        <v>1505</v>
      </c>
      <c r="HV110" s="13"/>
      <c r="HW110" s="32"/>
      <c r="HX110" s="55"/>
      <c r="HY110" s="55"/>
      <c r="HZ110" s="55"/>
      <c r="IA110" s="251"/>
      <c r="IB110" s="251"/>
      <c r="IC110" s="251"/>
      <c r="ID110" s="251"/>
      <c r="IE110" s="251"/>
      <c r="IF110" s="107">
        <v>0</v>
      </c>
      <c r="IG110" s="107"/>
      <c r="IH110" s="250">
        <f t="shared" si="55"/>
        <v>0</v>
      </c>
      <c r="II110" s="251"/>
      <c r="IJ110" s="251"/>
      <c r="IK110" s="251"/>
      <c r="IL110" s="251"/>
      <c r="IM110" s="251"/>
      <c r="IN110" s="251"/>
      <c r="IO110" s="251"/>
      <c r="IP110" s="251"/>
      <c r="IQ110" s="251"/>
      <c r="IR110" s="251"/>
      <c r="IS110" s="251"/>
      <c r="IT110" s="251"/>
      <c r="IU110" s="251"/>
      <c r="IV110" s="251"/>
      <c r="IW110" s="251"/>
      <c r="IX110" s="251"/>
      <c r="IY110" s="251"/>
      <c r="IZ110" s="251"/>
      <c r="JA110" s="251"/>
      <c r="JB110" s="251"/>
      <c r="JC110" s="251"/>
      <c r="JD110" s="251">
        <v>2018</v>
      </c>
    </row>
    <row r="111" spans="1:264" s="5" customFormat="1" ht="49.5" hidden="1" customHeight="1">
      <c r="A111" s="26" t="s">
        <v>86</v>
      </c>
      <c r="B111" s="26" t="s">
        <v>203</v>
      </c>
      <c r="C111" s="13" t="s">
        <v>352</v>
      </c>
      <c r="D111" s="13" t="s">
        <v>377</v>
      </c>
      <c r="E111" s="16" t="s">
        <v>378</v>
      </c>
      <c r="F111" s="13" t="s">
        <v>356</v>
      </c>
      <c r="G111" s="26" t="s">
        <v>354</v>
      </c>
      <c r="H111" s="13" t="s">
        <v>1547</v>
      </c>
      <c r="I111" s="21" t="s">
        <v>975</v>
      </c>
      <c r="J111" s="26">
        <v>6</v>
      </c>
      <c r="K111" s="49" t="s">
        <v>375</v>
      </c>
      <c r="L111" s="46" t="s">
        <v>243</v>
      </c>
      <c r="M111" s="15" t="s">
        <v>244</v>
      </c>
      <c r="N111" s="15" t="s">
        <v>1975</v>
      </c>
      <c r="O111" s="13" t="s">
        <v>206</v>
      </c>
      <c r="P111" s="13" t="s">
        <v>4</v>
      </c>
      <c r="Q111" s="22" t="s">
        <v>794</v>
      </c>
      <c r="R111" s="22"/>
      <c r="S111" s="13"/>
      <c r="T111" s="13"/>
      <c r="U111" s="13"/>
      <c r="V111" s="13"/>
      <c r="W111" s="13" t="s">
        <v>570</v>
      </c>
      <c r="X111" s="13" t="s">
        <v>570</v>
      </c>
      <c r="Y111" s="13"/>
      <c r="Z111" s="13"/>
      <c r="AA111" s="29">
        <v>3302.0520242680241</v>
      </c>
      <c r="AB111" s="164">
        <v>13273.3</v>
      </c>
      <c r="AC111" s="29">
        <v>0</v>
      </c>
      <c r="AD111" s="164">
        <v>13273.3</v>
      </c>
      <c r="AE111" s="29">
        <v>0</v>
      </c>
      <c r="AF111" s="29">
        <f t="shared" si="47"/>
        <v>13273.3</v>
      </c>
      <c r="AG111" s="25">
        <v>0.12</v>
      </c>
      <c r="AH111" s="29">
        <f t="shared" si="56"/>
        <v>1592.7959999999998</v>
      </c>
      <c r="AI111" s="29">
        <f t="shared" si="46"/>
        <v>0</v>
      </c>
      <c r="AJ111" s="29">
        <f t="shared" si="54"/>
        <v>14866.096000000001</v>
      </c>
      <c r="AK111" s="29">
        <v>0</v>
      </c>
      <c r="AL111" s="29">
        <f>AB111-AK111</f>
        <v>13273.3</v>
      </c>
      <c r="AM111" s="29"/>
      <c r="AN111" s="41"/>
      <c r="AO111" s="41">
        <v>0</v>
      </c>
      <c r="AP111" s="41"/>
      <c r="AQ111" s="41"/>
      <c r="AR111" s="41"/>
      <c r="AS111" s="41"/>
      <c r="AT111" s="41"/>
      <c r="AU111" s="41"/>
      <c r="AV111" s="41"/>
      <c r="AW111" s="41"/>
      <c r="AX111" s="41"/>
      <c r="AY111" s="41"/>
      <c r="AZ111" s="41"/>
      <c r="BA111" s="41"/>
      <c r="BB111" s="41"/>
      <c r="BC111" s="41"/>
      <c r="BD111" s="37"/>
      <c r="BE111" s="37"/>
      <c r="BF111" s="68"/>
      <c r="BG111" s="29">
        <f t="shared" si="48"/>
        <v>0</v>
      </c>
      <c r="BH111" s="37"/>
      <c r="BI111" s="37"/>
      <c r="BJ111" s="29" t="s">
        <v>570</v>
      </c>
      <c r="BK111" s="37"/>
      <c r="BL111" s="37"/>
      <c r="BM111" s="37"/>
      <c r="BN111" s="13"/>
      <c r="BO111" s="13"/>
      <c r="BP111" s="13"/>
      <c r="BQ111" s="13"/>
      <c r="BR111" s="13"/>
      <c r="BS111" s="13"/>
      <c r="BT111" s="13"/>
      <c r="BU111" s="13"/>
      <c r="BV111" s="13"/>
      <c r="BW111" s="13"/>
      <c r="BX111" s="13"/>
      <c r="BY111" s="13"/>
      <c r="BZ111" s="13"/>
      <c r="CA111" s="13"/>
      <c r="CB111" s="224" t="s">
        <v>570</v>
      </c>
      <c r="CC111" s="224" t="s">
        <v>570</v>
      </c>
      <c r="CD111" s="224" t="s">
        <v>570</v>
      </c>
      <c r="CE111" s="13"/>
      <c r="CF111" s="13"/>
      <c r="CG111" s="13"/>
      <c r="CH111" s="13"/>
      <c r="CI111" s="13"/>
      <c r="CJ111" s="13"/>
      <c r="CK111" s="13"/>
      <c r="CL111" s="13"/>
      <c r="CM111" s="13"/>
      <c r="CN111" s="13"/>
      <c r="CO111" s="13"/>
      <c r="CP111" s="13"/>
      <c r="CQ111" s="13"/>
      <c r="CR111" s="13"/>
      <c r="CS111" s="29" t="s">
        <v>570</v>
      </c>
      <c r="CT111" s="29" t="s">
        <v>570</v>
      </c>
      <c r="CU111" s="29" t="s">
        <v>570</v>
      </c>
      <c r="CV111" s="23"/>
      <c r="CW111" s="30"/>
      <c r="CX111" s="30"/>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31">
        <f t="shared" si="49"/>
        <v>0</v>
      </c>
      <c r="DZ111" s="30"/>
      <c r="EA111" s="30"/>
      <c r="EB111" s="30"/>
      <c r="EC111" s="30"/>
      <c r="ED111" s="30"/>
      <c r="EE111" s="30"/>
      <c r="EF111" s="30"/>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61"/>
      <c r="FV111" s="25">
        <v>1</v>
      </c>
      <c r="FW111" s="25">
        <v>1</v>
      </c>
      <c r="FX111" s="25">
        <v>1</v>
      </c>
      <c r="FY111" s="25">
        <v>1</v>
      </c>
      <c r="FZ111" s="25">
        <v>1</v>
      </c>
      <c r="GA111" s="25">
        <v>1</v>
      </c>
      <c r="GB111" s="25">
        <v>1</v>
      </c>
      <c r="GC111" s="25">
        <v>1</v>
      </c>
      <c r="GD111" s="25">
        <v>1</v>
      </c>
      <c r="GE111" s="25">
        <v>1</v>
      </c>
      <c r="GF111" s="25">
        <v>1</v>
      </c>
      <c r="GG111" s="25">
        <v>1</v>
      </c>
      <c r="GH111" s="25">
        <v>1</v>
      </c>
      <c r="GI111" s="25">
        <v>1</v>
      </c>
      <c r="GJ111" s="25">
        <v>1</v>
      </c>
      <c r="GK111" s="25">
        <v>1</v>
      </c>
      <c r="GL111" s="25">
        <v>1</v>
      </c>
      <c r="GM111" s="25">
        <v>1</v>
      </c>
      <c r="GN111" s="25">
        <v>1</v>
      </c>
      <c r="GO111" s="25">
        <v>1</v>
      </c>
      <c r="GP111" s="25">
        <v>1</v>
      </c>
      <c r="GQ111" s="25">
        <v>1</v>
      </c>
      <c r="GR111" s="25">
        <v>1</v>
      </c>
      <c r="GS111" s="25">
        <v>1</v>
      </c>
      <c r="GT111" s="25">
        <v>1</v>
      </c>
      <c r="GU111" s="25">
        <v>1</v>
      </c>
      <c r="GV111" s="25" t="s">
        <v>1588</v>
      </c>
      <c r="GW111" s="25" t="s">
        <v>1588</v>
      </c>
      <c r="GX111" s="25" t="s">
        <v>1588</v>
      </c>
      <c r="GY111" s="25" t="s">
        <v>1588</v>
      </c>
      <c r="GZ111" s="25" t="s">
        <v>1588</v>
      </c>
      <c r="HA111" s="25" t="s">
        <v>1588</v>
      </c>
      <c r="HB111" s="25" t="s">
        <v>1588</v>
      </c>
      <c r="HC111" s="25" t="s">
        <v>1889</v>
      </c>
      <c r="HD111" s="25" t="s">
        <v>1889</v>
      </c>
      <c r="HE111" s="25" t="s">
        <v>1889</v>
      </c>
      <c r="HF111" s="25" t="s">
        <v>1889</v>
      </c>
      <c r="HG111" s="25" t="s">
        <v>1889</v>
      </c>
      <c r="HH111" s="25" t="s">
        <v>1889</v>
      </c>
      <c r="HI111" s="25"/>
      <c r="HJ111" s="25"/>
      <c r="HK111" s="25"/>
      <c r="HL111" s="25"/>
      <c r="HM111" s="25"/>
      <c r="HN111" s="25"/>
      <c r="HO111" s="25"/>
      <c r="HP111" s="25"/>
      <c r="HQ111" s="25"/>
      <c r="HR111" s="25"/>
      <c r="HS111" s="25"/>
      <c r="HT111" s="25"/>
      <c r="HU111" s="13" t="s">
        <v>837</v>
      </c>
      <c r="HV111" s="13"/>
      <c r="HW111" s="32"/>
      <c r="HX111" s="55"/>
      <c r="HY111" s="55"/>
      <c r="HZ111" s="55"/>
      <c r="IA111" s="55"/>
      <c r="IB111" s="55"/>
      <c r="IC111" s="55"/>
      <c r="ID111" s="55"/>
      <c r="IE111" s="55"/>
      <c r="IF111" s="107">
        <v>13273.3</v>
      </c>
      <c r="IG111" s="107">
        <v>0</v>
      </c>
      <c r="IH111" s="250">
        <f t="shared" si="55"/>
        <v>0</v>
      </c>
      <c r="II111" s="55"/>
      <c r="IJ111" s="55"/>
      <c r="IK111" s="55"/>
      <c r="IL111" s="55"/>
      <c r="IM111" s="55"/>
      <c r="IN111" s="55"/>
      <c r="IO111" s="55"/>
      <c r="IP111" s="55"/>
      <c r="IQ111" s="55"/>
      <c r="IR111" s="55"/>
      <c r="IS111" s="55"/>
      <c r="IT111" s="55"/>
      <c r="IU111" s="55"/>
      <c r="IV111" s="55"/>
      <c r="IW111" s="55"/>
      <c r="IX111" s="55"/>
      <c r="IY111" s="55"/>
      <c r="IZ111" s="55"/>
      <c r="JA111" s="55"/>
      <c r="JB111" s="55"/>
      <c r="JC111" s="55"/>
      <c r="JD111" s="55">
        <v>2017</v>
      </c>
    </row>
    <row r="112" spans="1:264" s="10" customFormat="1" ht="57" hidden="1" customHeight="1">
      <c r="A112" s="26" t="s">
        <v>86</v>
      </c>
      <c r="B112" s="26" t="s">
        <v>203</v>
      </c>
      <c r="C112" s="13" t="s">
        <v>352</v>
      </c>
      <c r="D112" s="13" t="s">
        <v>377</v>
      </c>
      <c r="E112" s="16" t="s">
        <v>378</v>
      </c>
      <c r="F112" s="13" t="s">
        <v>356</v>
      </c>
      <c r="G112" s="26" t="s">
        <v>354</v>
      </c>
      <c r="H112" s="13" t="s">
        <v>1547</v>
      </c>
      <c r="I112" s="21" t="s">
        <v>976</v>
      </c>
      <c r="J112" s="26">
        <v>7</v>
      </c>
      <c r="K112" s="49" t="s">
        <v>375</v>
      </c>
      <c r="L112" s="46" t="s">
        <v>243</v>
      </c>
      <c r="M112" s="15" t="s">
        <v>244</v>
      </c>
      <c r="N112" s="20" t="s">
        <v>1976</v>
      </c>
      <c r="O112" s="13" t="s">
        <v>206</v>
      </c>
      <c r="P112" s="13" t="s">
        <v>4</v>
      </c>
      <c r="Q112" s="22" t="s">
        <v>794</v>
      </c>
      <c r="R112" s="22"/>
      <c r="S112" s="13"/>
      <c r="T112" s="13"/>
      <c r="U112" s="13"/>
      <c r="V112" s="13"/>
      <c r="W112" s="13" t="s">
        <v>570</v>
      </c>
      <c r="X112" s="13" t="s">
        <v>570</v>
      </c>
      <c r="Y112" s="13"/>
      <c r="Z112" s="13"/>
      <c r="AA112" s="29">
        <v>2550.6892139632655</v>
      </c>
      <c r="AB112" s="164">
        <v>0</v>
      </c>
      <c r="AC112" s="29">
        <v>0</v>
      </c>
      <c r="AD112" s="164"/>
      <c r="AE112" s="29">
        <v>0</v>
      </c>
      <c r="AF112" s="29">
        <f t="shared" si="47"/>
        <v>0</v>
      </c>
      <c r="AG112" s="25">
        <v>0.12</v>
      </c>
      <c r="AH112" s="29">
        <f t="shared" si="56"/>
        <v>0</v>
      </c>
      <c r="AI112" s="29">
        <f t="shared" si="46"/>
        <v>0</v>
      </c>
      <c r="AJ112" s="29">
        <f t="shared" si="54"/>
        <v>0</v>
      </c>
      <c r="AK112" s="29"/>
      <c r="AL112" s="29"/>
      <c r="AM112" s="29"/>
      <c r="AN112" s="41"/>
      <c r="AO112" s="41">
        <v>0</v>
      </c>
      <c r="AP112" s="41"/>
      <c r="AQ112" s="41"/>
      <c r="AR112" s="41"/>
      <c r="AS112" s="41"/>
      <c r="AT112" s="41"/>
      <c r="AU112" s="41"/>
      <c r="AV112" s="41"/>
      <c r="AW112" s="41"/>
      <c r="AX112" s="41"/>
      <c r="AY112" s="41"/>
      <c r="AZ112" s="41"/>
      <c r="BA112" s="41"/>
      <c r="BB112" s="41"/>
      <c r="BC112" s="41"/>
      <c r="BD112" s="37"/>
      <c r="BE112" s="37"/>
      <c r="BF112" s="68"/>
      <c r="BG112" s="29">
        <f t="shared" ref="BG112:BG137" si="57">BF112-AW112-AZ112-BC112-BE112</f>
        <v>0</v>
      </c>
      <c r="BH112" s="37"/>
      <c r="BI112" s="37"/>
      <c r="BJ112" s="29" t="s">
        <v>570</v>
      </c>
      <c r="BK112" s="37"/>
      <c r="BL112" s="37"/>
      <c r="BM112" s="37"/>
      <c r="BN112" s="13"/>
      <c r="BO112" s="13"/>
      <c r="BP112" s="13"/>
      <c r="BQ112" s="13"/>
      <c r="BR112" s="13"/>
      <c r="BS112" s="13"/>
      <c r="BT112" s="13"/>
      <c r="BU112" s="13"/>
      <c r="BV112" s="13"/>
      <c r="BW112" s="13"/>
      <c r="BX112" s="13"/>
      <c r="BY112" s="13"/>
      <c r="BZ112" s="13"/>
      <c r="CA112" s="13"/>
      <c r="CB112" s="224" t="s">
        <v>570</v>
      </c>
      <c r="CC112" s="224" t="s">
        <v>570</v>
      </c>
      <c r="CD112" s="224" t="s">
        <v>570</v>
      </c>
      <c r="CE112" s="13"/>
      <c r="CF112" s="13"/>
      <c r="CG112" s="13"/>
      <c r="CH112" s="13"/>
      <c r="CI112" s="13"/>
      <c r="CJ112" s="13"/>
      <c r="CK112" s="13"/>
      <c r="CL112" s="13"/>
      <c r="CM112" s="13"/>
      <c r="CN112" s="13"/>
      <c r="CO112" s="13"/>
      <c r="CP112" s="13"/>
      <c r="CQ112" s="13"/>
      <c r="CR112" s="13"/>
      <c r="CS112" s="29" t="s">
        <v>570</v>
      </c>
      <c r="CT112" s="29" t="s">
        <v>570</v>
      </c>
      <c r="CU112" s="29" t="s">
        <v>570</v>
      </c>
      <c r="CV112" s="23"/>
      <c r="CW112" s="30"/>
      <c r="CX112" s="30"/>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31">
        <f t="shared" ref="DY112:DY113" si="58">CW112+CZ112+DC112+DF112+DI112+DL112+DO112+DR112+DU112+DX112</f>
        <v>0</v>
      </c>
      <c r="DZ112" s="30"/>
      <c r="EA112" s="30"/>
      <c r="EB112" s="30"/>
      <c r="EC112" s="30"/>
      <c r="ED112" s="30"/>
      <c r="EE112" s="30"/>
      <c r="EF112" s="30"/>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61"/>
      <c r="FV112" s="25">
        <v>1</v>
      </c>
      <c r="FW112" s="25">
        <v>1</v>
      </c>
      <c r="FX112" s="25">
        <v>1</v>
      </c>
      <c r="FY112" s="25">
        <v>1</v>
      </c>
      <c r="FZ112" s="25">
        <v>1</v>
      </c>
      <c r="GA112" s="25">
        <v>1</v>
      </c>
      <c r="GB112" s="25">
        <v>1</v>
      </c>
      <c r="GC112" s="25">
        <v>1</v>
      </c>
      <c r="GD112" s="25">
        <v>1</v>
      </c>
      <c r="GE112" s="25">
        <v>1</v>
      </c>
      <c r="GF112" s="25">
        <v>1</v>
      </c>
      <c r="GG112" s="25">
        <v>1</v>
      </c>
      <c r="GH112" s="25">
        <v>1</v>
      </c>
      <c r="GI112" s="25">
        <v>1</v>
      </c>
      <c r="GJ112" s="25">
        <v>1</v>
      </c>
      <c r="GK112" s="25">
        <v>1</v>
      </c>
      <c r="GL112" s="25">
        <v>1</v>
      </c>
      <c r="GM112" s="25">
        <v>1</v>
      </c>
      <c r="GN112" s="25">
        <v>1</v>
      </c>
      <c r="GO112" s="25">
        <v>1</v>
      </c>
      <c r="GP112" s="25">
        <v>1</v>
      </c>
      <c r="GQ112" s="25">
        <v>1</v>
      </c>
      <c r="GR112" s="25">
        <v>1</v>
      </c>
      <c r="GS112" s="25">
        <v>1</v>
      </c>
      <c r="GT112" s="25">
        <v>1</v>
      </c>
      <c r="GU112" s="25">
        <v>1</v>
      </c>
      <c r="GV112" s="25" t="s">
        <v>1588</v>
      </c>
      <c r="GW112" s="25" t="s">
        <v>1588</v>
      </c>
      <c r="GX112" s="25" t="s">
        <v>1588</v>
      </c>
      <c r="GY112" s="25" t="s">
        <v>1588</v>
      </c>
      <c r="GZ112" s="25" t="s">
        <v>1588</v>
      </c>
      <c r="HA112" s="25" t="s">
        <v>1588</v>
      </c>
      <c r="HB112" s="25" t="s">
        <v>1588</v>
      </c>
      <c r="HC112" s="25" t="s">
        <v>1588</v>
      </c>
      <c r="HD112" s="25" t="s">
        <v>1889</v>
      </c>
      <c r="HE112" s="25" t="s">
        <v>1889</v>
      </c>
      <c r="HF112" s="25" t="s">
        <v>1889</v>
      </c>
      <c r="HG112" s="25" t="s">
        <v>1889</v>
      </c>
      <c r="HH112" s="25" t="s">
        <v>1889</v>
      </c>
      <c r="HI112" s="25"/>
      <c r="HJ112" s="25"/>
      <c r="HK112" s="25"/>
      <c r="HL112" s="25"/>
      <c r="HM112" s="25"/>
      <c r="HN112" s="25"/>
      <c r="HO112" s="25"/>
      <c r="HP112" s="25"/>
      <c r="HQ112" s="25"/>
      <c r="HR112" s="25"/>
      <c r="HS112" s="25"/>
      <c r="HT112" s="25"/>
      <c r="HU112" s="13" t="s">
        <v>837</v>
      </c>
      <c r="HV112" s="13"/>
      <c r="HW112" s="32"/>
      <c r="HX112" s="55"/>
      <c r="HY112" s="55"/>
      <c r="HZ112" s="55"/>
      <c r="IA112" s="251"/>
      <c r="IB112" s="251"/>
      <c r="IC112" s="251"/>
      <c r="ID112" s="251"/>
      <c r="IE112" s="251"/>
      <c r="IF112" s="107">
        <v>0</v>
      </c>
      <c r="IG112" s="107"/>
      <c r="IH112" s="250">
        <f t="shared" si="55"/>
        <v>0</v>
      </c>
      <c r="II112" s="251"/>
      <c r="IJ112" s="251"/>
      <c r="IK112" s="251"/>
      <c r="IL112" s="251"/>
      <c r="IM112" s="251"/>
      <c r="IN112" s="251"/>
      <c r="IO112" s="251"/>
      <c r="IP112" s="251"/>
      <c r="IQ112" s="251"/>
      <c r="IR112" s="251"/>
      <c r="IS112" s="251"/>
      <c r="IT112" s="251"/>
      <c r="IU112" s="251"/>
      <c r="IV112" s="251"/>
      <c r="IW112" s="251"/>
      <c r="IX112" s="251"/>
      <c r="IY112" s="251"/>
      <c r="IZ112" s="251"/>
      <c r="JA112" s="251"/>
      <c r="JB112" s="251"/>
      <c r="JC112" s="251"/>
      <c r="JD112" s="251">
        <v>2018</v>
      </c>
    </row>
    <row r="113" spans="1:265" s="10" customFormat="1" ht="51.75" hidden="1" customHeight="1">
      <c r="A113" s="26" t="s">
        <v>86</v>
      </c>
      <c r="B113" s="26" t="s">
        <v>203</v>
      </c>
      <c r="C113" s="13" t="s">
        <v>352</v>
      </c>
      <c r="D113" s="13" t="s">
        <v>377</v>
      </c>
      <c r="E113" s="16" t="s">
        <v>378</v>
      </c>
      <c r="F113" s="13" t="s">
        <v>356</v>
      </c>
      <c r="G113" s="26" t="s">
        <v>354</v>
      </c>
      <c r="H113" s="13" t="s">
        <v>1547</v>
      </c>
      <c r="I113" s="21" t="s">
        <v>977</v>
      </c>
      <c r="J113" s="26">
        <v>8</v>
      </c>
      <c r="K113" s="49" t="s">
        <v>375</v>
      </c>
      <c r="L113" s="46" t="s">
        <v>243</v>
      </c>
      <c r="M113" s="15" t="s">
        <v>244</v>
      </c>
      <c r="N113" s="20" t="s">
        <v>1977</v>
      </c>
      <c r="O113" s="13" t="s">
        <v>206</v>
      </c>
      <c r="P113" s="13" t="s">
        <v>4</v>
      </c>
      <c r="Q113" s="22" t="s">
        <v>794</v>
      </c>
      <c r="R113" s="22"/>
      <c r="S113" s="13"/>
      <c r="T113" s="13"/>
      <c r="U113" s="13"/>
      <c r="V113" s="13"/>
      <c r="W113" s="13" t="s">
        <v>570</v>
      </c>
      <c r="X113" s="13" t="s">
        <v>570</v>
      </c>
      <c r="Y113" s="13"/>
      <c r="Z113" s="13"/>
      <c r="AA113" s="29">
        <v>2002.2838531500299</v>
      </c>
      <c r="AB113" s="164">
        <v>0</v>
      </c>
      <c r="AC113" s="29">
        <v>0</v>
      </c>
      <c r="AD113" s="164"/>
      <c r="AE113" s="29">
        <v>0</v>
      </c>
      <c r="AF113" s="29">
        <f t="shared" si="47"/>
        <v>0</v>
      </c>
      <c r="AG113" s="25">
        <v>0.12</v>
      </c>
      <c r="AH113" s="29">
        <f t="shared" si="56"/>
        <v>0</v>
      </c>
      <c r="AI113" s="29">
        <f t="shared" si="46"/>
        <v>0</v>
      </c>
      <c r="AJ113" s="29">
        <f t="shared" si="54"/>
        <v>0</v>
      </c>
      <c r="AK113" s="29"/>
      <c r="AL113" s="29"/>
      <c r="AM113" s="29"/>
      <c r="AN113" s="41"/>
      <c r="AO113" s="41">
        <v>0</v>
      </c>
      <c r="AP113" s="41"/>
      <c r="AQ113" s="41"/>
      <c r="AR113" s="41"/>
      <c r="AS113" s="41"/>
      <c r="AT113" s="41"/>
      <c r="AU113" s="41"/>
      <c r="AV113" s="41"/>
      <c r="AW113" s="41"/>
      <c r="AX113" s="41"/>
      <c r="AY113" s="41"/>
      <c r="AZ113" s="41"/>
      <c r="BA113" s="41"/>
      <c r="BB113" s="41"/>
      <c r="BC113" s="41"/>
      <c r="BD113" s="37"/>
      <c r="BE113" s="37"/>
      <c r="BF113" s="68"/>
      <c r="BG113" s="29">
        <f t="shared" si="57"/>
        <v>0</v>
      </c>
      <c r="BH113" s="37"/>
      <c r="BI113" s="37"/>
      <c r="BJ113" s="29" t="s">
        <v>570</v>
      </c>
      <c r="BK113" s="37"/>
      <c r="BL113" s="37"/>
      <c r="BM113" s="37"/>
      <c r="BN113" s="13"/>
      <c r="BO113" s="13"/>
      <c r="BP113" s="13"/>
      <c r="BQ113" s="13"/>
      <c r="BR113" s="13"/>
      <c r="BS113" s="13"/>
      <c r="BT113" s="13"/>
      <c r="BU113" s="13"/>
      <c r="BV113" s="13"/>
      <c r="BW113" s="13"/>
      <c r="BX113" s="13"/>
      <c r="BY113" s="13"/>
      <c r="BZ113" s="13"/>
      <c r="CA113" s="13"/>
      <c r="CB113" s="224" t="s">
        <v>570</v>
      </c>
      <c r="CC113" s="224" t="s">
        <v>570</v>
      </c>
      <c r="CD113" s="224" t="s">
        <v>570</v>
      </c>
      <c r="CE113" s="13"/>
      <c r="CF113" s="13"/>
      <c r="CG113" s="13"/>
      <c r="CH113" s="13"/>
      <c r="CI113" s="13"/>
      <c r="CJ113" s="13"/>
      <c r="CK113" s="13"/>
      <c r="CL113" s="13"/>
      <c r="CM113" s="13"/>
      <c r="CN113" s="13"/>
      <c r="CO113" s="13"/>
      <c r="CP113" s="13"/>
      <c r="CQ113" s="13"/>
      <c r="CR113" s="13"/>
      <c r="CS113" s="29" t="s">
        <v>570</v>
      </c>
      <c r="CT113" s="29" t="s">
        <v>570</v>
      </c>
      <c r="CU113" s="29" t="s">
        <v>570</v>
      </c>
      <c r="CV113" s="23"/>
      <c r="CW113" s="30"/>
      <c r="CX113" s="30"/>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31">
        <f t="shared" si="58"/>
        <v>0</v>
      </c>
      <c r="DZ113" s="30"/>
      <c r="EA113" s="30"/>
      <c r="EB113" s="30"/>
      <c r="EC113" s="30"/>
      <c r="ED113" s="30"/>
      <c r="EE113" s="30"/>
      <c r="EF113" s="30"/>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61"/>
      <c r="FV113" s="25">
        <v>1</v>
      </c>
      <c r="FW113" s="25">
        <v>1</v>
      </c>
      <c r="FX113" s="25">
        <v>1</v>
      </c>
      <c r="FY113" s="25">
        <v>1</v>
      </c>
      <c r="FZ113" s="25">
        <v>1</v>
      </c>
      <c r="GA113" s="25">
        <v>1</v>
      </c>
      <c r="GB113" s="25">
        <v>1</v>
      </c>
      <c r="GC113" s="25">
        <v>1</v>
      </c>
      <c r="GD113" s="25">
        <v>1</v>
      </c>
      <c r="GE113" s="25">
        <v>1</v>
      </c>
      <c r="GF113" s="25">
        <v>1</v>
      </c>
      <c r="GG113" s="25">
        <v>1</v>
      </c>
      <c r="GH113" s="25">
        <v>1</v>
      </c>
      <c r="GI113" s="25">
        <v>1</v>
      </c>
      <c r="GJ113" s="25">
        <v>1</v>
      </c>
      <c r="GK113" s="25">
        <v>1</v>
      </c>
      <c r="GL113" s="25">
        <v>1</v>
      </c>
      <c r="GM113" s="25">
        <v>1</v>
      </c>
      <c r="GN113" s="25">
        <v>1</v>
      </c>
      <c r="GO113" s="25">
        <v>1</v>
      </c>
      <c r="GP113" s="25">
        <v>1</v>
      </c>
      <c r="GQ113" s="25">
        <v>1</v>
      </c>
      <c r="GR113" s="25">
        <v>1</v>
      </c>
      <c r="GS113" s="25">
        <v>1</v>
      </c>
      <c r="GT113" s="25">
        <v>1</v>
      </c>
      <c r="GU113" s="25">
        <v>1</v>
      </c>
      <c r="GV113" s="25" t="s">
        <v>1588</v>
      </c>
      <c r="GW113" s="25" t="s">
        <v>1588</v>
      </c>
      <c r="GX113" s="25" t="s">
        <v>1588</v>
      </c>
      <c r="GY113" s="25" t="s">
        <v>1588</v>
      </c>
      <c r="GZ113" s="25" t="s">
        <v>1588</v>
      </c>
      <c r="HA113" s="25" t="s">
        <v>1588</v>
      </c>
      <c r="HB113" s="25" t="s">
        <v>1588</v>
      </c>
      <c r="HC113" s="25" t="s">
        <v>1588</v>
      </c>
      <c r="HD113" s="25" t="s">
        <v>1889</v>
      </c>
      <c r="HE113" s="25" t="s">
        <v>1889</v>
      </c>
      <c r="HF113" s="25" t="s">
        <v>1889</v>
      </c>
      <c r="HG113" s="25" t="s">
        <v>1889</v>
      </c>
      <c r="HH113" s="25" t="s">
        <v>1889</v>
      </c>
      <c r="HI113" s="25"/>
      <c r="HJ113" s="25"/>
      <c r="HK113" s="25"/>
      <c r="HL113" s="25"/>
      <c r="HM113" s="25"/>
      <c r="HN113" s="25"/>
      <c r="HO113" s="25"/>
      <c r="HP113" s="25"/>
      <c r="HQ113" s="25"/>
      <c r="HR113" s="25"/>
      <c r="HS113" s="25"/>
      <c r="HT113" s="25"/>
      <c r="HU113" s="13" t="s">
        <v>837</v>
      </c>
      <c r="HV113" s="13"/>
      <c r="HW113" s="32"/>
      <c r="HX113" s="55"/>
      <c r="HY113" s="55"/>
      <c r="HZ113" s="55"/>
      <c r="IA113" s="251"/>
      <c r="IB113" s="251"/>
      <c r="IC113" s="251"/>
      <c r="ID113" s="251"/>
      <c r="IE113" s="251"/>
      <c r="IF113" s="107">
        <v>0</v>
      </c>
      <c r="IG113" s="107"/>
      <c r="IH113" s="250">
        <f t="shared" si="55"/>
        <v>0</v>
      </c>
      <c r="II113" s="251"/>
      <c r="IJ113" s="251"/>
      <c r="IK113" s="251"/>
      <c r="IL113" s="251"/>
      <c r="IM113" s="251"/>
      <c r="IN113" s="251"/>
      <c r="IO113" s="251"/>
      <c r="IP113" s="251"/>
      <c r="IQ113" s="251"/>
      <c r="IR113" s="251"/>
      <c r="IS113" s="251"/>
      <c r="IT113" s="251"/>
      <c r="IU113" s="251"/>
      <c r="IV113" s="251"/>
      <c r="IW113" s="251"/>
      <c r="IX113" s="251"/>
      <c r="IY113" s="251"/>
      <c r="IZ113" s="251"/>
      <c r="JA113" s="251"/>
      <c r="JB113" s="251"/>
      <c r="JC113" s="251"/>
      <c r="JD113" s="251">
        <v>2018</v>
      </c>
    </row>
    <row r="114" spans="1:265" s="10" customFormat="1" ht="53.25" hidden="1" customHeight="1">
      <c r="A114" s="26" t="s">
        <v>86</v>
      </c>
      <c r="B114" s="26" t="s">
        <v>203</v>
      </c>
      <c r="C114" s="13" t="s">
        <v>352</v>
      </c>
      <c r="D114" s="13" t="s">
        <v>377</v>
      </c>
      <c r="E114" s="16" t="s">
        <v>378</v>
      </c>
      <c r="F114" s="13" t="s">
        <v>356</v>
      </c>
      <c r="G114" s="26" t="s">
        <v>354</v>
      </c>
      <c r="H114" s="13" t="s">
        <v>1547</v>
      </c>
      <c r="I114" s="14" t="s">
        <v>1038</v>
      </c>
      <c r="J114" s="26">
        <v>5</v>
      </c>
      <c r="K114" s="49" t="s">
        <v>375</v>
      </c>
      <c r="L114" s="46" t="s">
        <v>243</v>
      </c>
      <c r="M114" s="15" t="s">
        <v>244</v>
      </c>
      <c r="N114" s="20" t="s">
        <v>1978</v>
      </c>
      <c r="O114" s="13" t="s">
        <v>206</v>
      </c>
      <c r="P114" s="13" t="s">
        <v>4</v>
      </c>
      <c r="Q114" s="22" t="s">
        <v>794</v>
      </c>
      <c r="R114" s="22"/>
      <c r="S114" s="13"/>
      <c r="T114" s="13"/>
      <c r="U114" s="13"/>
      <c r="V114" s="13"/>
      <c r="W114" s="13" t="s">
        <v>570</v>
      </c>
      <c r="X114" s="13" t="s">
        <v>570</v>
      </c>
      <c r="Y114" s="13"/>
      <c r="Z114" s="13"/>
      <c r="AA114" s="29">
        <v>5418.2789086186813</v>
      </c>
      <c r="AB114" s="164">
        <v>0</v>
      </c>
      <c r="AC114" s="29">
        <v>0</v>
      </c>
      <c r="AD114" s="164"/>
      <c r="AE114" s="29">
        <v>0</v>
      </c>
      <c r="AF114" s="29">
        <f t="shared" si="47"/>
        <v>0</v>
      </c>
      <c r="AG114" s="25">
        <v>0.12</v>
      </c>
      <c r="AH114" s="29">
        <f t="shared" si="56"/>
        <v>0</v>
      </c>
      <c r="AI114" s="29">
        <f t="shared" si="46"/>
        <v>0</v>
      </c>
      <c r="AJ114" s="29">
        <f t="shared" si="54"/>
        <v>0</v>
      </c>
      <c r="AK114" s="29"/>
      <c r="AL114" s="29"/>
      <c r="AM114" s="29"/>
      <c r="AN114" s="41"/>
      <c r="AO114" s="41"/>
      <c r="AP114" s="41"/>
      <c r="AQ114" s="41"/>
      <c r="AR114" s="41"/>
      <c r="AS114" s="41"/>
      <c r="AT114" s="41"/>
      <c r="AU114" s="41"/>
      <c r="AV114" s="41"/>
      <c r="AW114" s="41"/>
      <c r="AX114" s="41"/>
      <c r="AY114" s="41"/>
      <c r="AZ114" s="41"/>
      <c r="BA114" s="41"/>
      <c r="BB114" s="41"/>
      <c r="BC114" s="41"/>
      <c r="BD114" s="37"/>
      <c r="BE114" s="37"/>
      <c r="BF114" s="68"/>
      <c r="BG114" s="29">
        <f t="shared" si="57"/>
        <v>0</v>
      </c>
      <c r="BH114" s="37"/>
      <c r="BI114" s="37"/>
      <c r="BJ114" s="29" t="s">
        <v>570</v>
      </c>
      <c r="BK114" s="37"/>
      <c r="BL114" s="37"/>
      <c r="BM114" s="37"/>
      <c r="BN114" s="13"/>
      <c r="BO114" s="13"/>
      <c r="BP114" s="13"/>
      <c r="BQ114" s="13"/>
      <c r="BR114" s="13"/>
      <c r="BS114" s="13"/>
      <c r="BT114" s="13"/>
      <c r="BU114" s="13"/>
      <c r="BV114" s="13"/>
      <c r="BW114" s="13"/>
      <c r="BX114" s="13"/>
      <c r="BY114" s="13"/>
      <c r="BZ114" s="13"/>
      <c r="CA114" s="13"/>
      <c r="CB114" s="224" t="s">
        <v>570</v>
      </c>
      <c r="CC114" s="224" t="s">
        <v>570</v>
      </c>
      <c r="CD114" s="224" t="s">
        <v>570</v>
      </c>
      <c r="CE114" s="13"/>
      <c r="CF114" s="13"/>
      <c r="CG114" s="13"/>
      <c r="CH114" s="13"/>
      <c r="CI114" s="13"/>
      <c r="CJ114" s="13"/>
      <c r="CK114" s="13"/>
      <c r="CL114" s="13"/>
      <c r="CM114" s="13"/>
      <c r="CN114" s="13"/>
      <c r="CO114" s="13"/>
      <c r="CP114" s="13"/>
      <c r="CQ114" s="13"/>
      <c r="CR114" s="13"/>
      <c r="CS114" s="29" t="s">
        <v>570</v>
      </c>
      <c r="CT114" s="29" t="s">
        <v>570</v>
      </c>
      <c r="CU114" s="29" t="s">
        <v>570</v>
      </c>
      <c r="CV114" s="23"/>
      <c r="CW114" s="30"/>
      <c r="CX114" s="30"/>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31"/>
      <c r="DZ114" s="30"/>
      <c r="EA114" s="30"/>
      <c r="EB114" s="30"/>
      <c r="EC114" s="30"/>
      <c r="ED114" s="30"/>
      <c r="EE114" s="30"/>
      <c r="EF114" s="30"/>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61"/>
      <c r="FV114" s="25">
        <v>1</v>
      </c>
      <c r="FW114" s="25">
        <v>1</v>
      </c>
      <c r="FX114" s="25">
        <v>1</v>
      </c>
      <c r="FY114" s="25">
        <v>1</v>
      </c>
      <c r="FZ114" s="25">
        <v>1</v>
      </c>
      <c r="GA114" s="25">
        <v>1</v>
      </c>
      <c r="GB114" s="25">
        <v>1</v>
      </c>
      <c r="GC114" s="25">
        <v>1</v>
      </c>
      <c r="GD114" s="25">
        <v>1</v>
      </c>
      <c r="GE114" s="25">
        <v>1</v>
      </c>
      <c r="GF114" s="25">
        <v>1</v>
      </c>
      <c r="GG114" s="25">
        <v>1</v>
      </c>
      <c r="GH114" s="25">
        <v>1</v>
      </c>
      <c r="GI114" s="25">
        <v>1</v>
      </c>
      <c r="GJ114" s="25">
        <v>1</v>
      </c>
      <c r="GK114" s="25">
        <v>1</v>
      </c>
      <c r="GL114" s="25">
        <v>1</v>
      </c>
      <c r="GM114" s="25">
        <v>1</v>
      </c>
      <c r="GN114" s="25">
        <v>1</v>
      </c>
      <c r="GO114" s="25">
        <v>1</v>
      </c>
      <c r="GP114" s="25">
        <v>1</v>
      </c>
      <c r="GQ114" s="25">
        <v>1</v>
      </c>
      <c r="GR114" s="25">
        <v>1</v>
      </c>
      <c r="GS114" s="25">
        <v>1</v>
      </c>
      <c r="GT114" s="25">
        <v>1</v>
      </c>
      <c r="GU114" s="25">
        <v>1</v>
      </c>
      <c r="GV114" s="25" t="s">
        <v>1588</v>
      </c>
      <c r="GW114" s="25" t="s">
        <v>1588</v>
      </c>
      <c r="GX114" s="25" t="s">
        <v>1588</v>
      </c>
      <c r="GY114" s="25" t="s">
        <v>1588</v>
      </c>
      <c r="GZ114" s="25" t="s">
        <v>1588</v>
      </c>
      <c r="HA114" s="25" t="s">
        <v>1588</v>
      </c>
      <c r="HB114" s="25" t="s">
        <v>1588</v>
      </c>
      <c r="HC114" s="25" t="s">
        <v>1588</v>
      </c>
      <c r="HD114" s="25" t="s">
        <v>1889</v>
      </c>
      <c r="HE114" s="25" t="s">
        <v>1889</v>
      </c>
      <c r="HF114" s="25" t="s">
        <v>1889</v>
      </c>
      <c r="HG114" s="25" t="s">
        <v>1889</v>
      </c>
      <c r="HH114" s="25" t="s">
        <v>1889</v>
      </c>
      <c r="HI114" s="25"/>
      <c r="HJ114" s="25"/>
      <c r="HK114" s="25"/>
      <c r="HL114" s="25"/>
      <c r="HM114" s="25"/>
      <c r="HN114" s="25"/>
      <c r="HO114" s="25"/>
      <c r="HP114" s="25"/>
      <c r="HQ114" s="25"/>
      <c r="HR114" s="25"/>
      <c r="HS114" s="25"/>
      <c r="HT114" s="25"/>
      <c r="HU114" s="13"/>
      <c r="HV114" s="13"/>
      <c r="HW114" s="32"/>
      <c r="HX114" s="55"/>
      <c r="HY114" s="55"/>
      <c r="HZ114" s="55"/>
      <c r="IA114" s="251"/>
      <c r="IB114" s="251"/>
      <c r="IC114" s="251"/>
      <c r="ID114" s="251"/>
      <c r="IE114" s="251"/>
      <c r="IF114" s="107">
        <v>0</v>
      </c>
      <c r="IG114" s="107"/>
      <c r="IH114" s="250">
        <f t="shared" si="55"/>
        <v>0</v>
      </c>
      <c r="II114" s="251"/>
      <c r="IJ114" s="251"/>
      <c r="IK114" s="251"/>
      <c r="IL114" s="251"/>
      <c r="IM114" s="251"/>
      <c r="IN114" s="251"/>
      <c r="IO114" s="251"/>
      <c r="IP114" s="251"/>
      <c r="IQ114" s="251"/>
      <c r="IR114" s="251"/>
      <c r="IS114" s="251"/>
      <c r="IT114" s="251"/>
      <c r="IU114" s="251"/>
      <c r="IV114" s="251"/>
      <c r="IW114" s="251"/>
      <c r="IX114" s="251"/>
      <c r="IY114" s="251"/>
      <c r="IZ114" s="251"/>
      <c r="JA114" s="251"/>
      <c r="JB114" s="251"/>
      <c r="JC114" s="251"/>
      <c r="JD114" s="251">
        <v>2017</v>
      </c>
    </row>
    <row r="115" spans="1:265" s="5" customFormat="1" ht="24.95" hidden="1" customHeight="1">
      <c r="A115" s="26" t="s">
        <v>95</v>
      </c>
      <c r="B115" s="26" t="s">
        <v>27</v>
      </c>
      <c r="C115" s="13" t="s">
        <v>349</v>
      </c>
      <c r="D115" s="13" t="s">
        <v>380</v>
      </c>
      <c r="E115" s="16" t="s">
        <v>350</v>
      </c>
      <c r="F115" s="13" t="s">
        <v>350</v>
      </c>
      <c r="G115" s="26" t="s">
        <v>351</v>
      </c>
      <c r="H115" s="13" t="s">
        <v>1516</v>
      </c>
      <c r="I115" s="62" t="s">
        <v>422</v>
      </c>
      <c r="J115" s="40">
        <v>1</v>
      </c>
      <c r="K115" s="49" t="s">
        <v>375</v>
      </c>
      <c r="L115" s="26" t="s">
        <v>96</v>
      </c>
      <c r="M115" s="62" t="s">
        <v>422</v>
      </c>
      <c r="N115" s="62"/>
      <c r="O115" s="13" t="s">
        <v>3</v>
      </c>
      <c r="P115" s="13" t="s">
        <v>4</v>
      </c>
      <c r="Q115" s="22" t="s">
        <v>364</v>
      </c>
      <c r="R115" s="26" t="s">
        <v>96</v>
      </c>
      <c r="S115" s="13" t="s">
        <v>762</v>
      </c>
      <c r="T115" s="13" t="s">
        <v>1387</v>
      </c>
      <c r="U115" s="13" t="s">
        <v>479</v>
      </c>
      <c r="V115" s="24">
        <v>1791734920001</v>
      </c>
      <c r="W115" s="22" t="s">
        <v>503</v>
      </c>
      <c r="X115" s="22" t="s">
        <v>503</v>
      </c>
      <c r="Y115" s="13" t="s">
        <v>898</v>
      </c>
      <c r="Z115" s="22" t="s">
        <v>503</v>
      </c>
      <c r="AA115" s="41"/>
      <c r="AB115" s="45">
        <v>2250888.48</v>
      </c>
      <c r="AC115" s="29">
        <v>0</v>
      </c>
      <c r="AD115" s="41">
        <v>2250888.48</v>
      </c>
      <c r="AE115" s="29">
        <v>511761.88</v>
      </c>
      <c r="AF115" s="29">
        <f t="shared" si="47"/>
        <v>2762650.36</v>
      </c>
      <c r="AG115" s="25">
        <v>0.12</v>
      </c>
      <c r="AH115" s="29">
        <f t="shared" si="56"/>
        <v>270106.6176</v>
      </c>
      <c r="AI115" s="29"/>
      <c r="AJ115" s="29">
        <f t="shared" si="54"/>
        <v>3094168.4032000001</v>
      </c>
      <c r="AK115" s="29"/>
      <c r="AL115" s="29"/>
      <c r="AM115" s="29"/>
      <c r="AN115" s="41"/>
      <c r="AO115" s="41">
        <v>2250888.48</v>
      </c>
      <c r="AP115" s="41"/>
      <c r="AQ115" s="41">
        <v>2210356.2000000002</v>
      </c>
      <c r="AR115" s="35">
        <v>0.14000000000000001</v>
      </c>
      <c r="AS115" s="41">
        <f>AQ115*0.14</f>
        <v>309449.86800000007</v>
      </c>
      <c r="AT115" s="41">
        <f>AQ115*1.14</f>
        <v>2519806.068</v>
      </c>
      <c r="AU115" s="41"/>
      <c r="AV115" s="41"/>
      <c r="AW115" s="41"/>
      <c r="AX115" s="41"/>
      <c r="AY115" s="41"/>
      <c r="AZ115" s="41"/>
      <c r="BA115" s="41"/>
      <c r="BB115" s="41"/>
      <c r="BC115" s="41"/>
      <c r="BD115" s="37"/>
      <c r="BE115" s="37">
        <v>552294.16</v>
      </c>
      <c r="BF115" s="29">
        <f t="shared" ref="BF115:BF137" si="59">AB115-AQ115</f>
        <v>40532.279999999795</v>
      </c>
      <c r="BG115" s="29">
        <f t="shared" si="57"/>
        <v>-511761.88000000024</v>
      </c>
      <c r="BH115" s="37" t="s">
        <v>594</v>
      </c>
      <c r="BI115" s="29" t="s">
        <v>570</v>
      </c>
      <c r="BJ115" s="29" t="s">
        <v>570</v>
      </c>
      <c r="BK115" s="29" t="s">
        <v>570</v>
      </c>
      <c r="BL115" s="29" t="s">
        <v>570</v>
      </c>
      <c r="BM115" s="29" t="s">
        <v>570</v>
      </c>
      <c r="BN115" s="23">
        <v>42569</v>
      </c>
      <c r="BO115" s="13" t="s">
        <v>503</v>
      </c>
      <c r="BP115" s="13" t="s">
        <v>503</v>
      </c>
      <c r="BQ115" s="23">
        <v>42597</v>
      </c>
      <c r="BR115" s="13" t="s">
        <v>570</v>
      </c>
      <c r="BS115" s="13" t="s">
        <v>503</v>
      </c>
      <c r="BT115" s="13" t="s">
        <v>503</v>
      </c>
      <c r="BU115" s="13" t="s">
        <v>570</v>
      </c>
      <c r="BV115" s="13" t="s">
        <v>570</v>
      </c>
      <c r="BW115" s="224" t="s">
        <v>570</v>
      </c>
      <c r="BX115" s="23">
        <v>42632</v>
      </c>
      <c r="BY115" s="13" t="s">
        <v>570</v>
      </c>
      <c r="BZ115" s="23">
        <v>42632</v>
      </c>
      <c r="CA115" s="23">
        <v>42639</v>
      </c>
      <c r="CB115" s="224" t="s">
        <v>570</v>
      </c>
      <c r="CC115" s="224" t="s">
        <v>570</v>
      </c>
      <c r="CD115" s="224" t="s">
        <v>570</v>
      </c>
      <c r="CE115" s="23"/>
      <c r="CF115" s="127" t="s">
        <v>829</v>
      </c>
      <c r="CG115" s="23"/>
      <c r="CH115" s="23"/>
      <c r="CI115" s="23"/>
      <c r="CJ115" s="23"/>
      <c r="CK115" s="23"/>
      <c r="CL115" s="23"/>
      <c r="CM115" s="23"/>
      <c r="CN115" s="23"/>
      <c r="CO115" s="23"/>
      <c r="CP115" s="23"/>
      <c r="CQ115" s="23"/>
      <c r="CR115" s="127" t="s">
        <v>829</v>
      </c>
      <c r="CS115" s="13" t="s">
        <v>570</v>
      </c>
      <c r="CT115" s="37" t="s">
        <v>452</v>
      </c>
      <c r="CU115" s="25">
        <v>0.05</v>
      </c>
      <c r="CV115" s="23">
        <v>42648</v>
      </c>
      <c r="CW115" s="30">
        <f t="shared" ref="CW115:CW121" si="60">AQ115*0.5</f>
        <v>1105178.1000000001</v>
      </c>
      <c r="CX115" s="30"/>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31">
        <f t="shared" ref="DY115:DY130" si="61">CW115+CZ115+DC115+DF115+DI115+DL115+DO115+DR115+DU115+DX115</f>
        <v>1105178.1000000001</v>
      </c>
      <c r="DZ115" s="13"/>
      <c r="EA115" s="13"/>
      <c r="EB115" s="13"/>
      <c r="EC115" s="13"/>
      <c r="ED115" s="13"/>
      <c r="EE115" s="13"/>
      <c r="EF115" s="13"/>
      <c r="EG115" s="13">
        <v>365</v>
      </c>
      <c r="EH115" s="13" t="s">
        <v>588</v>
      </c>
      <c r="EI115" s="23">
        <f t="shared" ref="EI115:EI122" si="62">CV115+1</f>
        <v>42649</v>
      </c>
      <c r="EJ115" s="23">
        <f>EI115+EG115</f>
        <v>43014</v>
      </c>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25"/>
      <c r="FN115" s="25"/>
      <c r="FO115" s="25"/>
      <c r="FP115" s="25"/>
      <c r="FQ115" s="25"/>
      <c r="FR115" s="25"/>
      <c r="FS115" s="25"/>
      <c r="FT115" s="25">
        <v>2.3E-2</v>
      </c>
      <c r="FU115" s="25">
        <v>5.8799999999999998E-2</v>
      </c>
      <c r="FV115" s="25">
        <v>5.8799999999999998E-2</v>
      </c>
      <c r="FW115" s="25">
        <v>0.36</v>
      </c>
      <c r="FX115" s="25">
        <v>0.5</v>
      </c>
      <c r="FY115" s="25">
        <v>0.43</v>
      </c>
      <c r="FZ115" s="25">
        <v>0.5</v>
      </c>
      <c r="GA115" s="25">
        <v>0.5</v>
      </c>
      <c r="GB115" s="25">
        <v>0.5</v>
      </c>
      <c r="GC115" s="25">
        <v>0.83</v>
      </c>
      <c r="GD115" s="25">
        <v>0.87</v>
      </c>
      <c r="GE115" s="25">
        <v>0.87</v>
      </c>
      <c r="GF115" s="25">
        <v>0.87</v>
      </c>
      <c r="GG115" s="25">
        <v>0.87</v>
      </c>
      <c r="GH115" s="25">
        <v>0.9</v>
      </c>
      <c r="GI115" s="25">
        <v>0.9</v>
      </c>
      <c r="GJ115" s="25">
        <v>0.9</v>
      </c>
      <c r="GK115" s="25">
        <v>0.9</v>
      </c>
      <c r="GL115" s="25">
        <v>0.9</v>
      </c>
      <c r="GM115" s="25">
        <v>0.9</v>
      </c>
      <c r="GN115" s="25">
        <v>0.9</v>
      </c>
      <c r="GO115" s="25">
        <v>0.95</v>
      </c>
      <c r="GP115" s="25">
        <v>1</v>
      </c>
      <c r="GQ115" s="25">
        <v>1</v>
      </c>
      <c r="GR115" s="25">
        <v>1</v>
      </c>
      <c r="GS115" s="25">
        <v>1</v>
      </c>
      <c r="GT115" s="25">
        <v>1</v>
      </c>
      <c r="GU115" s="25">
        <v>1</v>
      </c>
      <c r="GV115" s="25" t="s">
        <v>1588</v>
      </c>
      <c r="GW115" s="25" t="s">
        <v>1588</v>
      </c>
      <c r="GX115" s="25" t="s">
        <v>1588</v>
      </c>
      <c r="GY115" s="25" t="s">
        <v>1588</v>
      </c>
      <c r="GZ115" s="25" t="s">
        <v>1588</v>
      </c>
      <c r="HA115" s="25" t="s">
        <v>1588</v>
      </c>
      <c r="HB115" s="25" t="s">
        <v>1588</v>
      </c>
      <c r="HC115" s="25" t="s">
        <v>1588</v>
      </c>
      <c r="HD115" s="25" t="s">
        <v>1588</v>
      </c>
      <c r="HE115" s="25" t="s">
        <v>1588</v>
      </c>
      <c r="HF115" s="25" t="s">
        <v>1588</v>
      </c>
      <c r="HG115" s="25" t="s">
        <v>1588</v>
      </c>
      <c r="HH115" s="25" t="s">
        <v>1588</v>
      </c>
      <c r="HI115" s="25" t="s">
        <v>1655</v>
      </c>
      <c r="HJ115" s="25" t="s">
        <v>1681</v>
      </c>
      <c r="HK115" s="25"/>
      <c r="HL115" s="25" t="s">
        <v>1706</v>
      </c>
      <c r="HM115" s="25" t="s">
        <v>1746</v>
      </c>
      <c r="HN115" s="25"/>
      <c r="HO115" s="25"/>
      <c r="HP115" s="25"/>
      <c r="HQ115" s="25"/>
      <c r="HR115" s="25"/>
      <c r="HS115" s="25"/>
      <c r="HT115" s="25"/>
      <c r="HU115" s="13"/>
      <c r="HV115" s="13"/>
      <c r="HW115" s="32"/>
      <c r="HX115" s="55"/>
      <c r="HY115" s="55"/>
      <c r="HZ115" s="55"/>
      <c r="IA115" s="55"/>
      <c r="IB115" s="55"/>
      <c r="IC115" s="55"/>
      <c r="ID115" s="55"/>
      <c r="IE115" s="55"/>
      <c r="IF115" s="107">
        <v>2250888.48</v>
      </c>
      <c r="IG115" s="107"/>
      <c r="IH115" s="250">
        <f t="shared" si="55"/>
        <v>0</v>
      </c>
      <c r="II115" s="55"/>
      <c r="IJ115" s="55"/>
      <c r="IK115" s="55"/>
      <c r="IL115" s="55"/>
      <c r="IM115" s="55"/>
      <c r="IN115" s="55"/>
      <c r="IO115" s="55"/>
      <c r="IP115" s="55"/>
      <c r="IQ115" s="55"/>
      <c r="IR115" s="55"/>
      <c r="IS115" s="55"/>
      <c r="IT115" s="55"/>
      <c r="IU115" s="55"/>
      <c r="IV115" s="55"/>
      <c r="IW115" s="55"/>
      <c r="IX115" s="55"/>
      <c r="IY115" s="55"/>
      <c r="IZ115" s="55"/>
      <c r="JA115" s="55"/>
      <c r="JB115" s="55"/>
      <c r="JC115" s="55"/>
      <c r="JD115" s="55">
        <v>2019</v>
      </c>
      <c r="JE115" s="5" t="s">
        <v>2014</v>
      </c>
    </row>
    <row r="116" spans="1:265" s="5" customFormat="1" ht="24.95" hidden="1" customHeight="1">
      <c r="A116" s="26" t="s">
        <v>95</v>
      </c>
      <c r="B116" s="26" t="s">
        <v>27</v>
      </c>
      <c r="C116" s="13" t="s">
        <v>349</v>
      </c>
      <c r="D116" s="13" t="s">
        <v>380</v>
      </c>
      <c r="E116" s="16" t="s">
        <v>350</v>
      </c>
      <c r="F116" s="13" t="s">
        <v>350</v>
      </c>
      <c r="G116" s="26" t="s">
        <v>351</v>
      </c>
      <c r="H116" s="13" t="s">
        <v>1518</v>
      </c>
      <c r="I116" s="21" t="s">
        <v>98</v>
      </c>
      <c r="J116" s="26">
        <v>2</v>
      </c>
      <c r="K116" s="49" t="s">
        <v>375</v>
      </c>
      <c r="L116" s="26" t="s">
        <v>97</v>
      </c>
      <c r="M116" s="20" t="s">
        <v>98</v>
      </c>
      <c r="N116" s="20"/>
      <c r="O116" s="13" t="s">
        <v>3</v>
      </c>
      <c r="P116" s="13" t="s">
        <v>4</v>
      </c>
      <c r="Q116" s="22" t="s">
        <v>1118</v>
      </c>
      <c r="R116" s="26" t="s">
        <v>97</v>
      </c>
      <c r="S116" s="13" t="s">
        <v>762</v>
      </c>
      <c r="T116" s="13" t="s">
        <v>1387</v>
      </c>
      <c r="U116" s="13" t="s">
        <v>479</v>
      </c>
      <c r="V116" s="24">
        <v>1791734920001</v>
      </c>
      <c r="W116" s="22" t="s">
        <v>503</v>
      </c>
      <c r="X116" s="22" t="s">
        <v>503</v>
      </c>
      <c r="Y116" s="13" t="s">
        <v>821</v>
      </c>
      <c r="Z116" s="13" t="s">
        <v>822</v>
      </c>
      <c r="AA116" s="41"/>
      <c r="AB116" s="45">
        <v>2859248.75</v>
      </c>
      <c r="AC116" s="29">
        <v>0</v>
      </c>
      <c r="AD116" s="41">
        <v>2859248.75</v>
      </c>
      <c r="AE116" s="29">
        <v>0</v>
      </c>
      <c r="AF116" s="29">
        <f t="shared" si="47"/>
        <v>2859248.75</v>
      </c>
      <c r="AG116" s="25">
        <v>0.12</v>
      </c>
      <c r="AH116" s="29">
        <f t="shared" si="56"/>
        <v>343109.85</v>
      </c>
      <c r="AI116" s="29">
        <f t="shared" ref="AI116:AI147" si="63">AE116*0.12</f>
        <v>0</v>
      </c>
      <c r="AJ116" s="29">
        <f t="shared" si="54"/>
        <v>3202358.6</v>
      </c>
      <c r="AK116" s="29">
        <v>2826560.4299999997</v>
      </c>
      <c r="AL116" s="29">
        <f>AB116-AK116</f>
        <v>32688.320000000298</v>
      </c>
      <c r="AM116" s="29"/>
      <c r="AN116" s="41"/>
      <c r="AO116" s="41">
        <v>2859248.75</v>
      </c>
      <c r="AP116" s="41"/>
      <c r="AQ116" s="41">
        <v>2670022.46</v>
      </c>
      <c r="AR116" s="25">
        <v>0.14000000000000001</v>
      </c>
      <c r="AS116" s="41">
        <f>AQ116*0.14</f>
        <v>373803.14440000005</v>
      </c>
      <c r="AT116" s="41">
        <f>AQ116*1.14</f>
        <v>3043825.6043999996</v>
      </c>
      <c r="AU116" s="41"/>
      <c r="AV116" s="41"/>
      <c r="AW116" s="41"/>
      <c r="AX116" s="41"/>
      <c r="AY116" s="41"/>
      <c r="AZ116" s="41"/>
      <c r="BA116" s="41"/>
      <c r="BB116" s="41"/>
      <c r="BC116" s="41"/>
      <c r="BD116" s="37"/>
      <c r="BE116" s="37"/>
      <c r="BF116" s="29">
        <f t="shared" si="59"/>
        <v>189226.29000000004</v>
      </c>
      <c r="BG116" s="29">
        <f t="shared" si="57"/>
        <v>189226.29000000004</v>
      </c>
      <c r="BH116" s="37" t="s">
        <v>594</v>
      </c>
      <c r="BI116" s="29" t="s">
        <v>570</v>
      </c>
      <c r="BJ116" s="29" t="s">
        <v>570</v>
      </c>
      <c r="BK116" s="29" t="s">
        <v>570</v>
      </c>
      <c r="BL116" s="29" t="s">
        <v>570</v>
      </c>
      <c r="BM116" s="29" t="s">
        <v>570</v>
      </c>
      <c r="BN116" s="23">
        <v>42569</v>
      </c>
      <c r="BO116" s="13" t="s">
        <v>503</v>
      </c>
      <c r="BP116" s="13" t="s">
        <v>503</v>
      </c>
      <c r="BQ116" s="23">
        <v>42598</v>
      </c>
      <c r="BR116" s="13" t="s">
        <v>570</v>
      </c>
      <c r="BS116" s="13" t="s">
        <v>503</v>
      </c>
      <c r="BT116" s="13" t="s">
        <v>503</v>
      </c>
      <c r="BU116" s="13" t="s">
        <v>570</v>
      </c>
      <c r="BV116" s="13" t="s">
        <v>570</v>
      </c>
      <c r="BW116" s="224" t="s">
        <v>570</v>
      </c>
      <c r="BX116" s="23">
        <v>42632</v>
      </c>
      <c r="BY116" s="13" t="s">
        <v>570</v>
      </c>
      <c r="BZ116" s="23">
        <v>42632</v>
      </c>
      <c r="CA116" s="23">
        <v>42639</v>
      </c>
      <c r="CB116" s="224" t="s">
        <v>570</v>
      </c>
      <c r="CC116" s="224" t="s">
        <v>570</v>
      </c>
      <c r="CD116" s="224" t="s">
        <v>570</v>
      </c>
      <c r="CE116" s="23"/>
      <c r="CF116" s="127" t="s">
        <v>829</v>
      </c>
      <c r="CG116" s="23"/>
      <c r="CH116" s="23"/>
      <c r="CI116" s="23"/>
      <c r="CJ116" s="23"/>
      <c r="CK116" s="23"/>
      <c r="CL116" s="23"/>
      <c r="CM116" s="23"/>
      <c r="CN116" s="23"/>
      <c r="CO116" s="23"/>
      <c r="CP116" s="23"/>
      <c r="CQ116" s="23"/>
      <c r="CR116" s="127" t="s">
        <v>829</v>
      </c>
      <c r="CS116" s="13" t="s">
        <v>570</v>
      </c>
      <c r="CT116" s="37" t="s">
        <v>452</v>
      </c>
      <c r="CU116" s="25">
        <v>0.05</v>
      </c>
      <c r="CV116" s="23">
        <v>42648</v>
      </c>
      <c r="CW116" s="30">
        <f t="shared" si="60"/>
        <v>1335011.23</v>
      </c>
      <c r="CX116" s="30"/>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31">
        <f t="shared" si="61"/>
        <v>1335011.23</v>
      </c>
      <c r="DZ116" s="13"/>
      <c r="EA116" s="13"/>
      <c r="EB116" s="13"/>
      <c r="EC116" s="13"/>
      <c r="ED116" s="13"/>
      <c r="EE116" s="13"/>
      <c r="EF116" s="13"/>
      <c r="EG116" s="13">
        <v>365</v>
      </c>
      <c r="EH116" s="13" t="s">
        <v>588</v>
      </c>
      <c r="EI116" s="23">
        <f t="shared" si="62"/>
        <v>42649</v>
      </c>
      <c r="EJ116" s="23">
        <f>EI116+EG116</f>
        <v>43014</v>
      </c>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25"/>
      <c r="FQ116" s="25"/>
      <c r="FR116" s="25"/>
      <c r="FS116" s="25"/>
      <c r="FT116" s="25">
        <v>1E-4</v>
      </c>
      <c r="FU116" s="25">
        <v>8.0000000000000004E-4</v>
      </c>
      <c r="FV116" s="25">
        <v>8.0000000000000004E-4</v>
      </c>
      <c r="FW116" s="25">
        <v>0.4</v>
      </c>
      <c r="FX116" s="25">
        <v>0.5</v>
      </c>
      <c r="FY116" s="25">
        <v>0.42</v>
      </c>
      <c r="FZ116" s="25">
        <v>0.6</v>
      </c>
      <c r="GA116" s="25">
        <v>0.76</v>
      </c>
      <c r="GB116" s="25">
        <v>0.76</v>
      </c>
      <c r="GC116" s="25">
        <v>0.9</v>
      </c>
      <c r="GD116" s="25">
        <v>1</v>
      </c>
      <c r="GE116" s="25">
        <v>1</v>
      </c>
      <c r="GF116" s="25">
        <v>1</v>
      </c>
      <c r="GG116" s="25">
        <v>1</v>
      </c>
      <c r="GH116" s="25">
        <v>0.99</v>
      </c>
      <c r="GI116" s="25">
        <v>1</v>
      </c>
      <c r="GJ116" s="25">
        <v>1</v>
      </c>
      <c r="GK116" s="25">
        <v>1</v>
      </c>
      <c r="GL116" s="25">
        <v>1</v>
      </c>
      <c r="GM116" s="25">
        <v>1</v>
      </c>
      <c r="GN116" s="25">
        <v>1</v>
      </c>
      <c r="GO116" s="25">
        <v>1</v>
      </c>
      <c r="GP116" s="25">
        <v>1</v>
      </c>
      <c r="GQ116" s="25">
        <v>1</v>
      </c>
      <c r="GR116" s="25">
        <v>1</v>
      </c>
      <c r="GS116" s="25">
        <v>1</v>
      </c>
      <c r="GT116" s="25">
        <v>1</v>
      </c>
      <c r="GU116" s="25">
        <v>1</v>
      </c>
      <c r="GV116" s="25" t="s">
        <v>1588</v>
      </c>
      <c r="GW116" s="25" t="s">
        <v>1588</v>
      </c>
      <c r="GX116" s="25" t="s">
        <v>1588</v>
      </c>
      <c r="GY116" s="25" t="s">
        <v>1588</v>
      </c>
      <c r="GZ116" s="25" t="s">
        <v>1588</v>
      </c>
      <c r="HA116" s="25" t="s">
        <v>1588</v>
      </c>
      <c r="HB116" s="25" t="s">
        <v>455</v>
      </c>
      <c r="HC116" s="25" t="s">
        <v>455</v>
      </c>
      <c r="HD116" s="25" t="s">
        <v>455</v>
      </c>
      <c r="HE116" s="25" t="s">
        <v>455</v>
      </c>
      <c r="HF116" s="25" t="s">
        <v>455</v>
      </c>
      <c r="HG116" s="25" t="s">
        <v>455</v>
      </c>
      <c r="HH116" s="25" t="s">
        <v>455</v>
      </c>
      <c r="HI116" s="25" t="s">
        <v>1656</v>
      </c>
      <c r="HJ116" s="25"/>
      <c r="HK116" s="25"/>
      <c r="HL116" s="25" t="s">
        <v>1707</v>
      </c>
      <c r="HM116" s="25" t="s">
        <v>1707</v>
      </c>
      <c r="HN116" s="25"/>
      <c r="HO116" s="25" t="s">
        <v>1846</v>
      </c>
      <c r="HP116" s="25"/>
      <c r="HQ116" s="25"/>
      <c r="HR116" s="25"/>
      <c r="HS116" s="25"/>
      <c r="HT116" s="25"/>
      <c r="HU116" s="13"/>
      <c r="HV116" s="13"/>
      <c r="HW116" s="32"/>
      <c r="HX116" s="55"/>
      <c r="HY116" s="55"/>
      <c r="HZ116" s="55"/>
      <c r="IA116" s="55"/>
      <c r="IB116" s="55"/>
      <c r="IC116" s="55"/>
      <c r="ID116" s="55"/>
      <c r="IE116" s="55"/>
      <c r="IF116" s="107">
        <v>2859248.75</v>
      </c>
      <c r="IG116" s="107"/>
      <c r="IH116" s="250">
        <f t="shared" si="55"/>
        <v>2826560.4299999997</v>
      </c>
      <c r="II116" s="55"/>
      <c r="IJ116" s="55"/>
      <c r="IK116" s="55"/>
      <c r="IL116" s="55"/>
      <c r="IM116" s="55"/>
      <c r="IN116" s="55"/>
      <c r="IO116" s="55"/>
      <c r="IP116" s="55"/>
      <c r="IQ116" s="55"/>
      <c r="IR116" s="55"/>
      <c r="IS116" s="55"/>
      <c r="IT116" s="55"/>
      <c r="IU116" s="55"/>
      <c r="IV116" s="55"/>
      <c r="IW116" s="55"/>
      <c r="IX116" s="55"/>
      <c r="IY116" s="55"/>
      <c r="IZ116" s="55"/>
      <c r="JA116" s="55"/>
      <c r="JB116" s="55"/>
      <c r="JC116" s="55"/>
      <c r="JD116" s="55">
        <v>2018</v>
      </c>
    </row>
    <row r="117" spans="1:265" s="5" customFormat="1" ht="24.95" hidden="1" customHeight="1">
      <c r="A117" s="26" t="s">
        <v>95</v>
      </c>
      <c r="B117" s="26" t="s">
        <v>27</v>
      </c>
      <c r="C117" s="13" t="s">
        <v>352</v>
      </c>
      <c r="D117" s="13" t="s">
        <v>377</v>
      </c>
      <c r="E117" s="16" t="s">
        <v>378</v>
      </c>
      <c r="F117" s="13" t="s">
        <v>378</v>
      </c>
      <c r="G117" s="26" t="s">
        <v>354</v>
      </c>
      <c r="H117" s="13" t="s">
        <v>1516</v>
      </c>
      <c r="I117" s="21" t="s">
        <v>100</v>
      </c>
      <c r="J117" s="26">
        <v>3</v>
      </c>
      <c r="K117" s="49" t="s">
        <v>375</v>
      </c>
      <c r="L117" s="26" t="s">
        <v>99</v>
      </c>
      <c r="M117" s="20" t="s">
        <v>100</v>
      </c>
      <c r="N117" s="20"/>
      <c r="O117" s="13" t="s">
        <v>3</v>
      </c>
      <c r="P117" s="13" t="s">
        <v>4</v>
      </c>
      <c r="Q117" s="22" t="s">
        <v>1118</v>
      </c>
      <c r="R117" s="26" t="s">
        <v>99</v>
      </c>
      <c r="S117" s="13" t="s">
        <v>782</v>
      </c>
      <c r="T117" s="13" t="s">
        <v>1387</v>
      </c>
      <c r="U117" s="13" t="s">
        <v>479</v>
      </c>
      <c r="V117" s="24" t="s">
        <v>905</v>
      </c>
      <c r="W117" s="22" t="s">
        <v>503</v>
      </c>
      <c r="X117" s="22" t="s">
        <v>503</v>
      </c>
      <c r="Y117" s="13" t="s">
        <v>903</v>
      </c>
      <c r="Z117" s="13"/>
      <c r="AA117" s="41"/>
      <c r="AB117" s="45">
        <v>470000</v>
      </c>
      <c r="AC117" s="29">
        <v>0</v>
      </c>
      <c r="AD117" s="41">
        <v>469999.99999999994</v>
      </c>
      <c r="AE117" s="29">
        <v>0</v>
      </c>
      <c r="AF117" s="29">
        <f t="shared" si="47"/>
        <v>469999.99999999994</v>
      </c>
      <c r="AG117" s="25">
        <v>0.12</v>
      </c>
      <c r="AH117" s="29">
        <f t="shared" si="56"/>
        <v>56399.999999999993</v>
      </c>
      <c r="AI117" s="29">
        <f t="shared" si="63"/>
        <v>0</v>
      </c>
      <c r="AJ117" s="29">
        <f t="shared" si="54"/>
        <v>526400</v>
      </c>
      <c r="AK117" s="29">
        <v>469928.19</v>
      </c>
      <c r="AL117" s="29">
        <f>AB117-AK117</f>
        <v>71.809999999997672</v>
      </c>
      <c r="AM117" s="29"/>
      <c r="AN117" s="41"/>
      <c r="AO117" s="41">
        <v>469999.99999999994</v>
      </c>
      <c r="AP117" s="41"/>
      <c r="AQ117" s="41">
        <v>469928.18</v>
      </c>
      <c r="AR117" s="25">
        <v>0.14000000000000001</v>
      </c>
      <c r="AS117" s="41">
        <f>AQ117*0.14</f>
        <v>65789.945200000002</v>
      </c>
      <c r="AT117" s="41">
        <f>AQ117*1.14</f>
        <v>535718.12519999989</v>
      </c>
      <c r="AU117" s="41"/>
      <c r="AV117" s="41"/>
      <c r="AW117" s="41"/>
      <c r="AX117" s="41"/>
      <c r="AY117" s="41"/>
      <c r="AZ117" s="41"/>
      <c r="BA117" s="41"/>
      <c r="BB117" s="41"/>
      <c r="BC117" s="41"/>
      <c r="BD117" s="37"/>
      <c r="BE117" s="37"/>
      <c r="BF117" s="29">
        <f t="shared" si="59"/>
        <v>71.820000000006985</v>
      </c>
      <c r="BG117" s="29">
        <f t="shared" si="57"/>
        <v>71.820000000006985</v>
      </c>
      <c r="BH117" s="37" t="s">
        <v>594</v>
      </c>
      <c r="BI117" s="29" t="s">
        <v>570</v>
      </c>
      <c r="BJ117" s="29" t="s">
        <v>570</v>
      </c>
      <c r="BK117" s="29" t="s">
        <v>570</v>
      </c>
      <c r="BL117" s="29" t="s">
        <v>570</v>
      </c>
      <c r="BM117" s="29" t="s">
        <v>570</v>
      </c>
      <c r="BN117" s="23">
        <v>42246</v>
      </c>
      <c r="BO117" s="23">
        <v>42254</v>
      </c>
      <c r="BP117" s="23">
        <v>42261</v>
      </c>
      <c r="BQ117" s="23">
        <v>42276</v>
      </c>
      <c r="BR117" s="13" t="s">
        <v>570</v>
      </c>
      <c r="BS117" s="23">
        <v>42283</v>
      </c>
      <c r="BT117" s="23">
        <v>42290</v>
      </c>
      <c r="BU117" s="13" t="s">
        <v>570</v>
      </c>
      <c r="BV117" s="13" t="s">
        <v>570</v>
      </c>
      <c r="BW117" s="224" t="s">
        <v>570</v>
      </c>
      <c r="BX117" s="23">
        <v>42314</v>
      </c>
      <c r="BY117" s="13" t="s">
        <v>570</v>
      </c>
      <c r="BZ117" s="23">
        <v>42338</v>
      </c>
      <c r="CA117" s="23">
        <v>42341</v>
      </c>
      <c r="CB117" s="224" t="s">
        <v>570</v>
      </c>
      <c r="CC117" s="224" t="s">
        <v>570</v>
      </c>
      <c r="CD117" s="224" t="s">
        <v>570</v>
      </c>
      <c r="CE117" s="23"/>
      <c r="CF117" s="127" t="s">
        <v>829</v>
      </c>
      <c r="CG117" s="23"/>
      <c r="CH117" s="23"/>
      <c r="CI117" s="23"/>
      <c r="CJ117" s="23"/>
      <c r="CK117" s="23"/>
      <c r="CL117" s="23"/>
      <c r="CM117" s="23"/>
      <c r="CN117" s="23"/>
      <c r="CO117" s="23"/>
      <c r="CP117" s="23"/>
      <c r="CQ117" s="23"/>
      <c r="CR117" s="127" t="s">
        <v>829</v>
      </c>
      <c r="CS117" s="13" t="s">
        <v>570</v>
      </c>
      <c r="CT117" s="37" t="s">
        <v>452</v>
      </c>
      <c r="CU117" s="25">
        <v>0.05</v>
      </c>
      <c r="CV117" s="23">
        <v>42417</v>
      </c>
      <c r="CW117" s="30">
        <f t="shared" si="60"/>
        <v>234964.09</v>
      </c>
      <c r="CX117" s="13"/>
      <c r="CY117" s="23">
        <v>42578</v>
      </c>
      <c r="CZ117" s="37">
        <v>106321.26</v>
      </c>
      <c r="DA117" s="13"/>
      <c r="DB117" s="23">
        <v>42640</v>
      </c>
      <c r="DC117" s="37">
        <v>61678.080000000002</v>
      </c>
      <c r="DD117" s="13"/>
      <c r="DE117" s="23">
        <v>42696</v>
      </c>
      <c r="DF117" s="37">
        <f>70489.23-23496.41</f>
        <v>46992.819999999992</v>
      </c>
      <c r="DG117" s="165" t="s">
        <v>798</v>
      </c>
      <c r="DH117" s="23">
        <v>42696</v>
      </c>
      <c r="DI117" s="37">
        <v>19971.939999999999</v>
      </c>
      <c r="DJ117" s="13"/>
      <c r="DK117" s="13"/>
      <c r="DL117" s="13"/>
      <c r="DM117" s="13"/>
      <c r="DN117" s="13"/>
      <c r="DO117" s="13"/>
      <c r="DP117" s="13"/>
      <c r="DQ117" s="13"/>
      <c r="DR117" s="13"/>
      <c r="DS117" s="13"/>
      <c r="DT117" s="13"/>
      <c r="DU117" s="13"/>
      <c r="DV117" s="13"/>
      <c r="DW117" s="13"/>
      <c r="DX117" s="13"/>
      <c r="DY117" s="31">
        <f t="shared" si="61"/>
        <v>469928.19</v>
      </c>
      <c r="DZ117" s="13"/>
      <c r="EA117" s="13"/>
      <c r="EB117" s="13"/>
      <c r="EC117" s="13"/>
      <c r="ED117" s="13"/>
      <c r="EE117" s="13"/>
      <c r="EF117" s="13"/>
      <c r="EG117" s="13">
        <v>180</v>
      </c>
      <c r="EH117" s="13" t="s">
        <v>588</v>
      </c>
      <c r="EI117" s="23">
        <f t="shared" si="62"/>
        <v>42418</v>
      </c>
      <c r="EJ117" s="23">
        <f>EI117+EG117</f>
        <v>42598</v>
      </c>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25">
        <v>1</v>
      </c>
      <c r="FT117" s="25">
        <v>1</v>
      </c>
      <c r="FU117" s="25">
        <v>1</v>
      </c>
      <c r="FV117" s="25">
        <v>1</v>
      </c>
      <c r="FW117" s="25">
        <v>1</v>
      </c>
      <c r="FX117" s="25">
        <v>1</v>
      </c>
      <c r="FY117" s="25">
        <v>1</v>
      </c>
      <c r="FZ117" s="25">
        <v>1</v>
      </c>
      <c r="GA117" s="25">
        <v>1</v>
      </c>
      <c r="GB117" s="25">
        <v>1</v>
      </c>
      <c r="GC117" s="25">
        <v>1</v>
      </c>
      <c r="GD117" s="25">
        <v>1</v>
      </c>
      <c r="GE117" s="25">
        <v>1</v>
      </c>
      <c r="GF117" s="25">
        <v>1</v>
      </c>
      <c r="GG117" s="25">
        <v>1</v>
      </c>
      <c r="GH117" s="25">
        <v>1</v>
      </c>
      <c r="GI117" s="25">
        <v>1</v>
      </c>
      <c r="GJ117" s="25">
        <v>1</v>
      </c>
      <c r="GK117" s="25">
        <v>1</v>
      </c>
      <c r="GL117" s="25">
        <v>1</v>
      </c>
      <c r="GM117" s="25">
        <v>1</v>
      </c>
      <c r="GN117" s="25">
        <v>1</v>
      </c>
      <c r="GO117" s="25">
        <v>1</v>
      </c>
      <c r="GP117" s="25">
        <v>1</v>
      </c>
      <c r="GQ117" s="25">
        <v>1</v>
      </c>
      <c r="GR117" s="25">
        <v>1</v>
      </c>
      <c r="GS117" s="25">
        <v>1</v>
      </c>
      <c r="GT117" s="25">
        <v>1</v>
      </c>
      <c r="GU117" s="25">
        <v>1</v>
      </c>
      <c r="GV117" s="25" t="s">
        <v>455</v>
      </c>
      <c r="GW117" s="25" t="s">
        <v>455</v>
      </c>
      <c r="GX117" s="25" t="s">
        <v>455</v>
      </c>
      <c r="GY117" s="25" t="s">
        <v>455</v>
      </c>
      <c r="GZ117" s="25" t="s">
        <v>455</v>
      </c>
      <c r="HA117" s="25" t="s">
        <v>455</v>
      </c>
      <c r="HB117" s="25" t="s">
        <v>455</v>
      </c>
      <c r="HC117" s="25" t="s">
        <v>455</v>
      </c>
      <c r="HD117" s="25" t="s">
        <v>455</v>
      </c>
      <c r="HE117" s="25" t="s">
        <v>455</v>
      </c>
      <c r="HF117" s="25" t="s">
        <v>455</v>
      </c>
      <c r="HG117" s="25" t="s">
        <v>455</v>
      </c>
      <c r="HH117" s="25" t="s">
        <v>455</v>
      </c>
      <c r="HI117" s="25"/>
      <c r="HJ117" s="25"/>
      <c r="HK117" s="25"/>
      <c r="HL117" s="25"/>
      <c r="HM117" s="25"/>
      <c r="HN117" s="25"/>
      <c r="HO117" s="25"/>
      <c r="HP117" s="25"/>
      <c r="HQ117" s="25"/>
      <c r="HR117" s="25"/>
      <c r="HS117" s="25"/>
      <c r="HT117" s="25"/>
      <c r="HU117" s="13"/>
      <c r="HV117" s="13"/>
      <c r="HW117" s="32"/>
      <c r="HX117" s="55"/>
      <c r="HY117" s="55"/>
      <c r="HZ117" s="55"/>
      <c r="IA117" s="55"/>
      <c r="IB117" s="55"/>
      <c r="IC117" s="55"/>
      <c r="ID117" s="55"/>
      <c r="IE117" s="55"/>
      <c r="IF117" s="107">
        <v>470000</v>
      </c>
      <c r="IG117" s="107">
        <v>469928.19</v>
      </c>
      <c r="IH117" s="250">
        <f t="shared" si="55"/>
        <v>0</v>
      </c>
      <c r="II117" s="55"/>
      <c r="IJ117" s="55"/>
      <c r="IK117" s="55"/>
      <c r="IL117" s="55"/>
      <c r="IM117" s="55"/>
      <c r="IN117" s="55"/>
      <c r="IO117" s="55"/>
      <c r="IP117" s="55"/>
      <c r="IQ117" s="55"/>
      <c r="IR117" s="55"/>
      <c r="IS117" s="55"/>
      <c r="IT117" s="55"/>
      <c r="IU117" s="55"/>
      <c r="IV117" s="55"/>
      <c r="IW117" s="55"/>
      <c r="IX117" s="55"/>
      <c r="IY117" s="55"/>
      <c r="IZ117" s="55"/>
      <c r="JA117" s="55"/>
      <c r="JB117" s="55"/>
      <c r="JC117" s="55"/>
      <c r="JD117" s="55">
        <v>2016</v>
      </c>
    </row>
    <row r="118" spans="1:265" s="5" customFormat="1" ht="71.25" hidden="1" customHeight="1">
      <c r="A118" s="26" t="s">
        <v>95</v>
      </c>
      <c r="B118" s="26" t="s">
        <v>27</v>
      </c>
      <c r="C118" s="13" t="s">
        <v>349</v>
      </c>
      <c r="D118" s="13" t="s">
        <v>380</v>
      </c>
      <c r="E118" s="16" t="s">
        <v>350</v>
      </c>
      <c r="F118" s="13" t="s">
        <v>350</v>
      </c>
      <c r="G118" s="26" t="s">
        <v>351</v>
      </c>
      <c r="H118" s="13" t="s">
        <v>1516</v>
      </c>
      <c r="I118" s="20" t="s">
        <v>102</v>
      </c>
      <c r="J118" s="26">
        <v>4</v>
      </c>
      <c r="K118" s="49" t="s">
        <v>375</v>
      </c>
      <c r="L118" s="26" t="s">
        <v>101</v>
      </c>
      <c r="M118" s="20" t="s">
        <v>102</v>
      </c>
      <c r="N118" s="20"/>
      <c r="O118" s="13" t="s">
        <v>3</v>
      </c>
      <c r="P118" s="13" t="s">
        <v>4</v>
      </c>
      <c r="Q118" s="22" t="s">
        <v>1118</v>
      </c>
      <c r="R118" s="26" t="s">
        <v>101</v>
      </c>
      <c r="S118" s="13" t="s">
        <v>727</v>
      </c>
      <c r="T118" s="13" t="s">
        <v>1387</v>
      </c>
      <c r="U118" s="13" t="s">
        <v>479</v>
      </c>
      <c r="V118" s="24">
        <v>1792706327001</v>
      </c>
      <c r="W118" s="22" t="s">
        <v>503</v>
      </c>
      <c r="X118" s="22" t="s">
        <v>503</v>
      </c>
      <c r="Y118" s="13" t="s">
        <v>897</v>
      </c>
      <c r="Z118" s="22" t="s">
        <v>503</v>
      </c>
      <c r="AA118" s="41"/>
      <c r="AB118" s="45">
        <v>277000</v>
      </c>
      <c r="AC118" s="29">
        <v>0</v>
      </c>
      <c r="AD118" s="41">
        <v>277000</v>
      </c>
      <c r="AE118" s="29">
        <v>0</v>
      </c>
      <c r="AF118" s="29">
        <f t="shared" si="47"/>
        <v>277000</v>
      </c>
      <c r="AG118" s="25">
        <v>0.12</v>
      </c>
      <c r="AH118" s="29">
        <f t="shared" si="56"/>
        <v>33240</v>
      </c>
      <c r="AI118" s="29">
        <f t="shared" si="63"/>
        <v>0</v>
      </c>
      <c r="AJ118" s="29">
        <f t="shared" si="54"/>
        <v>310240.00000000006</v>
      </c>
      <c r="AK118" s="29">
        <v>277000</v>
      </c>
      <c r="AL118" s="29">
        <f>AB118-AK118</f>
        <v>0</v>
      </c>
      <c r="AM118" s="29"/>
      <c r="AN118" s="41"/>
      <c r="AO118" s="41">
        <v>277000</v>
      </c>
      <c r="AP118" s="41"/>
      <c r="AQ118" s="41">
        <v>260000</v>
      </c>
      <c r="AR118" s="25">
        <v>0.14000000000000001</v>
      </c>
      <c r="AS118" s="41">
        <f>AQ118*0.14</f>
        <v>36400</v>
      </c>
      <c r="AT118" s="41">
        <f>AQ118*1.14</f>
        <v>296400</v>
      </c>
      <c r="AU118" s="41"/>
      <c r="AV118" s="41"/>
      <c r="AW118" s="41"/>
      <c r="AX118" s="41"/>
      <c r="AY118" s="41"/>
      <c r="AZ118" s="41"/>
      <c r="BA118" s="41"/>
      <c r="BB118" s="41"/>
      <c r="BC118" s="41"/>
      <c r="BD118" s="37"/>
      <c r="BE118" s="37"/>
      <c r="BF118" s="29">
        <f t="shared" si="59"/>
        <v>17000</v>
      </c>
      <c r="BG118" s="29">
        <f t="shared" si="57"/>
        <v>17000</v>
      </c>
      <c r="BH118" s="37" t="s">
        <v>594</v>
      </c>
      <c r="BI118" s="29" t="s">
        <v>570</v>
      </c>
      <c r="BJ118" s="29" t="s">
        <v>570</v>
      </c>
      <c r="BK118" s="29" t="s">
        <v>570</v>
      </c>
      <c r="BL118" s="29" t="s">
        <v>570</v>
      </c>
      <c r="BM118" s="29" t="s">
        <v>570</v>
      </c>
      <c r="BN118" s="23">
        <v>42569</v>
      </c>
      <c r="BO118" s="13" t="s">
        <v>503</v>
      </c>
      <c r="BP118" s="13" t="s">
        <v>503</v>
      </c>
      <c r="BQ118" s="23">
        <v>42599</v>
      </c>
      <c r="BR118" s="13" t="s">
        <v>570</v>
      </c>
      <c r="BS118" s="13"/>
      <c r="BT118" s="13"/>
      <c r="BU118" s="13" t="s">
        <v>570</v>
      </c>
      <c r="BV118" s="13" t="s">
        <v>570</v>
      </c>
      <c r="BW118" s="224" t="s">
        <v>570</v>
      </c>
      <c r="BX118" s="23">
        <v>42635</v>
      </c>
      <c r="BY118" s="13" t="s">
        <v>570</v>
      </c>
      <c r="BZ118" s="13" t="s">
        <v>570</v>
      </c>
      <c r="CA118" s="23">
        <v>42663</v>
      </c>
      <c r="CB118" s="224" t="s">
        <v>570</v>
      </c>
      <c r="CC118" s="224" t="s">
        <v>570</v>
      </c>
      <c r="CD118" s="224" t="s">
        <v>570</v>
      </c>
      <c r="CE118" s="23"/>
      <c r="CF118" s="127" t="s">
        <v>829</v>
      </c>
      <c r="CG118" s="23"/>
      <c r="CH118" s="23"/>
      <c r="CI118" s="23"/>
      <c r="CJ118" s="23"/>
      <c r="CK118" s="23"/>
      <c r="CL118" s="23"/>
      <c r="CM118" s="23"/>
      <c r="CN118" s="23"/>
      <c r="CO118" s="23"/>
      <c r="CP118" s="23"/>
      <c r="CQ118" s="23"/>
      <c r="CR118" s="127" t="s">
        <v>829</v>
      </c>
      <c r="CS118" s="13" t="s">
        <v>570</v>
      </c>
      <c r="CT118" s="37" t="s">
        <v>452</v>
      </c>
      <c r="CU118" s="25">
        <v>0.05</v>
      </c>
      <c r="CV118" s="23">
        <v>42686</v>
      </c>
      <c r="CW118" s="30">
        <f t="shared" si="60"/>
        <v>130000</v>
      </c>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31">
        <f t="shared" si="61"/>
        <v>130000</v>
      </c>
      <c r="DZ118" s="13"/>
      <c r="EA118" s="13"/>
      <c r="EB118" s="13"/>
      <c r="EC118" s="13"/>
      <c r="ED118" s="13"/>
      <c r="EE118" s="13"/>
      <c r="EF118" s="13"/>
      <c r="EG118" s="13">
        <v>180</v>
      </c>
      <c r="EH118" s="13" t="s">
        <v>588</v>
      </c>
      <c r="EI118" s="23">
        <f t="shared" si="62"/>
        <v>42687</v>
      </c>
      <c r="EJ118" s="23">
        <f>EI118+EG118</f>
        <v>42867</v>
      </c>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25">
        <v>0</v>
      </c>
      <c r="FT118" s="25">
        <v>0</v>
      </c>
      <c r="FU118" s="63">
        <v>0</v>
      </c>
      <c r="FV118" s="63">
        <v>0</v>
      </c>
      <c r="FW118" s="63">
        <v>0.1</v>
      </c>
      <c r="FX118" s="63">
        <v>0.1</v>
      </c>
      <c r="FY118" s="63">
        <v>0.35</v>
      </c>
      <c r="FZ118" s="63">
        <v>0.53</v>
      </c>
      <c r="GA118" s="63">
        <v>0.88</v>
      </c>
      <c r="GB118" s="63">
        <v>0.88</v>
      </c>
      <c r="GC118" s="25">
        <v>0.98</v>
      </c>
      <c r="GD118" s="25">
        <v>1</v>
      </c>
      <c r="GE118" s="25">
        <v>1</v>
      </c>
      <c r="GF118" s="25">
        <v>1</v>
      </c>
      <c r="GG118" s="25">
        <v>1</v>
      </c>
      <c r="GH118" s="25">
        <v>0.98</v>
      </c>
      <c r="GI118" s="25">
        <v>0.99</v>
      </c>
      <c r="GJ118" s="25">
        <v>0.99</v>
      </c>
      <c r="GK118" s="25">
        <v>0.99</v>
      </c>
      <c r="GL118" s="25">
        <v>1</v>
      </c>
      <c r="GM118" s="25">
        <v>1</v>
      </c>
      <c r="GN118" s="25">
        <v>1</v>
      </c>
      <c r="GO118" s="25">
        <v>1</v>
      </c>
      <c r="GP118" s="25">
        <v>1</v>
      </c>
      <c r="GQ118" s="25">
        <v>1</v>
      </c>
      <c r="GR118" s="25">
        <v>1</v>
      </c>
      <c r="GS118" s="25">
        <v>1</v>
      </c>
      <c r="GT118" s="25">
        <v>1</v>
      </c>
      <c r="GU118" s="25">
        <v>1</v>
      </c>
      <c r="GV118" s="25" t="s">
        <v>1588</v>
      </c>
      <c r="GW118" s="25" t="s">
        <v>1588</v>
      </c>
      <c r="GX118" s="25" t="s">
        <v>1588</v>
      </c>
      <c r="GY118" s="25" t="s">
        <v>1588</v>
      </c>
      <c r="GZ118" s="25" t="s">
        <v>1588</v>
      </c>
      <c r="HA118" s="25" t="s">
        <v>1588</v>
      </c>
      <c r="HB118" s="25" t="s">
        <v>1845</v>
      </c>
      <c r="HC118" s="25" t="s">
        <v>455</v>
      </c>
      <c r="HD118" s="25" t="s">
        <v>455</v>
      </c>
      <c r="HE118" s="25" t="s">
        <v>455</v>
      </c>
      <c r="HF118" s="25" t="s">
        <v>455</v>
      </c>
      <c r="HG118" s="25" t="s">
        <v>455</v>
      </c>
      <c r="HH118" s="25" t="s">
        <v>455</v>
      </c>
      <c r="HI118" s="25" t="s">
        <v>1654</v>
      </c>
      <c r="HJ118" s="25"/>
      <c r="HK118" s="25"/>
      <c r="HL118" s="25" t="s">
        <v>1708</v>
      </c>
      <c r="HM118" s="25" t="s">
        <v>1747</v>
      </c>
      <c r="HN118" s="25" t="s">
        <v>1773</v>
      </c>
      <c r="HO118" s="25" t="s">
        <v>1847</v>
      </c>
      <c r="HP118" s="25"/>
      <c r="HQ118" s="25"/>
      <c r="HR118" s="25"/>
      <c r="HS118" s="25"/>
      <c r="HT118" s="25"/>
      <c r="HU118" s="13"/>
      <c r="HV118" s="13"/>
      <c r="HW118" s="32"/>
      <c r="HX118" s="55"/>
      <c r="HY118" s="55"/>
      <c r="HZ118" s="55"/>
      <c r="IA118" s="55"/>
      <c r="IB118" s="55"/>
      <c r="IC118" s="55"/>
      <c r="ID118" s="55"/>
      <c r="IE118" s="55"/>
      <c r="IF118" s="107">
        <v>277000</v>
      </c>
      <c r="IG118" s="107"/>
      <c r="IH118" s="250">
        <f t="shared" si="55"/>
        <v>277000</v>
      </c>
      <c r="II118" s="55"/>
      <c r="IJ118" s="55"/>
      <c r="IK118" s="55"/>
      <c r="IL118" s="55"/>
      <c r="IM118" s="55"/>
      <c r="IN118" s="55"/>
      <c r="IO118" s="55"/>
      <c r="IP118" s="55"/>
      <c r="IQ118" s="55"/>
      <c r="IR118" s="55"/>
      <c r="IS118" s="55"/>
      <c r="IT118" s="55"/>
      <c r="IU118" s="55"/>
      <c r="IV118" s="55"/>
      <c r="IW118" s="55"/>
      <c r="IX118" s="55"/>
      <c r="IY118" s="55"/>
      <c r="IZ118" s="55"/>
      <c r="JA118" s="55"/>
      <c r="JB118" s="55"/>
      <c r="JC118" s="55"/>
      <c r="JD118" s="55">
        <v>2019</v>
      </c>
    </row>
    <row r="119" spans="1:265" s="5" customFormat="1" ht="24.95" hidden="1" customHeight="1">
      <c r="A119" s="26" t="s">
        <v>103</v>
      </c>
      <c r="B119" s="26" t="s">
        <v>27</v>
      </c>
      <c r="C119" s="13" t="s">
        <v>349</v>
      </c>
      <c r="D119" s="13" t="s">
        <v>380</v>
      </c>
      <c r="E119" s="16" t="s">
        <v>350</v>
      </c>
      <c r="F119" s="13" t="s">
        <v>350</v>
      </c>
      <c r="G119" s="26" t="s">
        <v>351</v>
      </c>
      <c r="H119" s="13" t="s">
        <v>1545</v>
      </c>
      <c r="I119" s="21" t="s">
        <v>105</v>
      </c>
      <c r="J119" s="26">
        <v>1</v>
      </c>
      <c r="K119" s="49" t="s">
        <v>375</v>
      </c>
      <c r="L119" s="26" t="s">
        <v>104</v>
      </c>
      <c r="M119" s="20" t="s">
        <v>105</v>
      </c>
      <c r="N119" s="20"/>
      <c r="O119" s="13" t="s">
        <v>3</v>
      </c>
      <c r="P119" s="13" t="s">
        <v>4</v>
      </c>
      <c r="Q119" s="22" t="s">
        <v>364</v>
      </c>
      <c r="R119" s="26" t="s">
        <v>104</v>
      </c>
      <c r="S119" s="22" t="s">
        <v>785</v>
      </c>
      <c r="T119" s="13" t="s">
        <v>1387</v>
      </c>
      <c r="U119" s="13" t="s">
        <v>479</v>
      </c>
      <c r="V119" s="24" t="s">
        <v>784</v>
      </c>
      <c r="W119" s="22" t="s">
        <v>1091</v>
      </c>
      <c r="X119" s="22" t="s">
        <v>503</v>
      </c>
      <c r="Y119" s="22" t="s">
        <v>1090</v>
      </c>
      <c r="Z119" s="22" t="s">
        <v>503</v>
      </c>
      <c r="AA119" s="41"/>
      <c r="AB119" s="45">
        <v>710714.29</v>
      </c>
      <c r="AC119" s="29">
        <v>0</v>
      </c>
      <c r="AD119" s="41">
        <v>730714.28599999996</v>
      </c>
      <c r="AE119" s="29">
        <v>0</v>
      </c>
      <c r="AF119" s="29">
        <f t="shared" si="47"/>
        <v>730714.28599999996</v>
      </c>
      <c r="AG119" s="25">
        <v>0.12</v>
      </c>
      <c r="AH119" s="29">
        <f t="shared" si="56"/>
        <v>87685.714319999999</v>
      </c>
      <c r="AI119" s="29">
        <f t="shared" si="63"/>
        <v>0</v>
      </c>
      <c r="AJ119" s="29">
        <f t="shared" si="54"/>
        <v>818400.00031999999</v>
      </c>
      <c r="AK119" s="29"/>
      <c r="AL119" s="29"/>
      <c r="AM119" s="29">
        <f>AB119-AQ119</f>
        <v>21246.340000000084</v>
      </c>
      <c r="AN119" s="41"/>
      <c r="AO119" s="41">
        <v>730714.28599999996</v>
      </c>
      <c r="AP119" s="41"/>
      <c r="AQ119" s="41">
        <v>689467.95</v>
      </c>
      <c r="AR119" s="25">
        <v>0.12</v>
      </c>
      <c r="AS119" s="41">
        <f>AQ119*0.12</f>
        <v>82736.153999999995</v>
      </c>
      <c r="AT119" s="41">
        <f>AQ119*1.14</f>
        <v>785993.46299999987</v>
      </c>
      <c r="AU119" s="41"/>
      <c r="AV119" s="41"/>
      <c r="AW119" s="41"/>
      <c r="AX119" s="41"/>
      <c r="AY119" s="41"/>
      <c r="AZ119" s="41"/>
      <c r="BA119" s="41"/>
      <c r="BB119" s="41"/>
      <c r="BC119" s="41"/>
      <c r="BD119" s="37"/>
      <c r="BE119" s="37"/>
      <c r="BF119" s="29">
        <f t="shared" si="59"/>
        <v>21246.340000000084</v>
      </c>
      <c r="BG119" s="29">
        <f t="shared" si="57"/>
        <v>21246.340000000084</v>
      </c>
      <c r="BH119" s="37" t="s">
        <v>594</v>
      </c>
      <c r="BI119" s="29" t="s">
        <v>570</v>
      </c>
      <c r="BJ119" s="29" t="s">
        <v>570</v>
      </c>
      <c r="BK119" s="29" t="s">
        <v>570</v>
      </c>
      <c r="BL119" s="29" t="s">
        <v>570</v>
      </c>
      <c r="BM119" s="29" t="s">
        <v>570</v>
      </c>
      <c r="BN119" s="23">
        <v>42255</v>
      </c>
      <c r="BO119" s="23">
        <v>42258</v>
      </c>
      <c r="BP119" s="23">
        <v>42263</v>
      </c>
      <c r="BQ119" s="23">
        <v>42275</v>
      </c>
      <c r="BR119" s="13" t="s">
        <v>570</v>
      </c>
      <c r="BS119" s="23">
        <v>42289</v>
      </c>
      <c r="BT119" s="23">
        <v>42303</v>
      </c>
      <c r="BU119" s="13" t="s">
        <v>570</v>
      </c>
      <c r="BV119" s="13" t="s">
        <v>570</v>
      </c>
      <c r="BW119" s="224" t="s">
        <v>570</v>
      </c>
      <c r="BX119" s="23">
        <v>42340</v>
      </c>
      <c r="BY119" s="13" t="s">
        <v>570</v>
      </c>
      <c r="BZ119" s="13" t="s">
        <v>570</v>
      </c>
      <c r="CA119" s="23">
        <v>42356</v>
      </c>
      <c r="CB119" s="224" t="s">
        <v>570</v>
      </c>
      <c r="CC119" s="224" t="s">
        <v>570</v>
      </c>
      <c r="CD119" s="224" t="s">
        <v>570</v>
      </c>
      <c r="CE119" s="23"/>
      <c r="CF119" s="127" t="s">
        <v>829</v>
      </c>
      <c r="CG119" s="23"/>
      <c r="CH119" s="23"/>
      <c r="CI119" s="23"/>
      <c r="CJ119" s="23"/>
      <c r="CK119" s="23"/>
      <c r="CL119" s="23"/>
      <c r="CM119" s="23"/>
      <c r="CN119" s="23"/>
      <c r="CO119" s="23"/>
      <c r="CP119" s="23"/>
      <c r="CQ119" s="23"/>
      <c r="CR119" s="127" t="s">
        <v>829</v>
      </c>
      <c r="CS119" s="13" t="s">
        <v>570</v>
      </c>
      <c r="CT119" s="37"/>
      <c r="CU119" s="37"/>
      <c r="CV119" s="23">
        <v>42403</v>
      </c>
      <c r="CW119" s="30">
        <f t="shared" si="60"/>
        <v>344733.97499999998</v>
      </c>
      <c r="CX119" s="30" t="s">
        <v>1270</v>
      </c>
      <c r="CY119" s="23">
        <v>42751</v>
      </c>
      <c r="CZ119" s="30">
        <f>506367.2-229822.65</f>
        <v>276544.55000000005</v>
      </c>
      <c r="DA119" s="184" t="s">
        <v>1454</v>
      </c>
      <c r="DB119" s="99">
        <v>42874</v>
      </c>
      <c r="DC119" s="79">
        <v>50294.81</v>
      </c>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31">
        <f t="shared" si="61"/>
        <v>671573.33499999996</v>
      </c>
      <c r="DZ119" s="13"/>
      <c r="EA119" s="13"/>
      <c r="EB119" s="13"/>
      <c r="EC119" s="13"/>
      <c r="ED119" s="13"/>
      <c r="EE119" s="13"/>
      <c r="EF119" s="13"/>
      <c r="EG119" s="13">
        <v>210</v>
      </c>
      <c r="EH119" s="13" t="s">
        <v>588</v>
      </c>
      <c r="EI119" s="23">
        <f t="shared" si="62"/>
        <v>42404</v>
      </c>
      <c r="EJ119" s="23">
        <f>EI119+EG119</f>
        <v>42614</v>
      </c>
      <c r="EK119" s="2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25"/>
      <c r="FI119" s="25"/>
      <c r="FJ119" s="25"/>
      <c r="FK119" s="25"/>
      <c r="FL119" s="25"/>
      <c r="FM119" s="25"/>
      <c r="FN119" s="25"/>
      <c r="FO119" s="25">
        <v>0.1</v>
      </c>
      <c r="FP119" s="25">
        <v>0.1</v>
      </c>
      <c r="FQ119" s="25">
        <v>0.1</v>
      </c>
      <c r="FR119" s="25">
        <v>0.73</v>
      </c>
      <c r="FS119" s="25">
        <v>0.92</v>
      </c>
      <c r="FT119" s="25">
        <v>0.92</v>
      </c>
      <c r="FU119" s="25">
        <v>0.92</v>
      </c>
      <c r="FV119" s="25">
        <v>0.92</v>
      </c>
      <c r="FW119" s="25">
        <v>0.92</v>
      </c>
      <c r="FX119" s="25">
        <v>0.92</v>
      </c>
      <c r="FY119" s="25">
        <v>0.92</v>
      </c>
      <c r="FZ119" s="25">
        <v>0.92</v>
      </c>
      <c r="GA119" s="25">
        <v>0.92</v>
      </c>
      <c r="GB119" s="25">
        <v>0.92</v>
      </c>
      <c r="GC119" s="25">
        <v>0.92</v>
      </c>
      <c r="GD119" s="25">
        <v>1</v>
      </c>
      <c r="GE119" s="25">
        <v>1</v>
      </c>
      <c r="GF119" s="25">
        <v>1</v>
      </c>
      <c r="GG119" s="25">
        <v>1</v>
      </c>
      <c r="GH119" s="25">
        <v>1</v>
      </c>
      <c r="GI119" s="25">
        <v>1</v>
      </c>
      <c r="GJ119" s="25">
        <v>1</v>
      </c>
      <c r="GK119" s="25">
        <v>1</v>
      </c>
      <c r="GL119" s="25">
        <v>1</v>
      </c>
      <c r="GM119" s="25">
        <v>1</v>
      </c>
      <c r="GN119" s="25">
        <v>1</v>
      </c>
      <c r="GO119" s="25">
        <v>1</v>
      </c>
      <c r="GP119" s="25">
        <v>1</v>
      </c>
      <c r="GQ119" s="25">
        <v>1</v>
      </c>
      <c r="GR119" s="25">
        <v>1</v>
      </c>
      <c r="GS119" s="25">
        <v>1</v>
      </c>
      <c r="GT119" s="25">
        <v>1</v>
      </c>
      <c r="GU119" s="25">
        <v>1</v>
      </c>
      <c r="GV119" s="25" t="s">
        <v>1588</v>
      </c>
      <c r="GW119" s="25" t="s">
        <v>1588</v>
      </c>
      <c r="GX119" s="25" t="s">
        <v>1588</v>
      </c>
      <c r="GY119" s="25" t="s">
        <v>1588</v>
      </c>
      <c r="GZ119" s="25" t="s">
        <v>1588</v>
      </c>
      <c r="HA119" s="25" t="s">
        <v>1588</v>
      </c>
      <c r="HB119" s="25" t="s">
        <v>1588</v>
      </c>
      <c r="HC119" s="25" t="s">
        <v>1588</v>
      </c>
      <c r="HD119" s="25" t="s">
        <v>1588</v>
      </c>
      <c r="HE119" s="25" t="s">
        <v>1588</v>
      </c>
      <c r="HF119" s="25" t="s">
        <v>1588</v>
      </c>
      <c r="HG119" s="25" t="s">
        <v>1588</v>
      </c>
      <c r="HH119" s="25" t="s">
        <v>1588</v>
      </c>
      <c r="HI119" s="13" t="s">
        <v>1639</v>
      </c>
      <c r="HJ119" s="25"/>
      <c r="HK119" s="25"/>
      <c r="HL119" s="25" t="s">
        <v>1713</v>
      </c>
      <c r="HM119" s="25" t="s">
        <v>1713</v>
      </c>
      <c r="HN119" s="25"/>
      <c r="HO119" s="25" t="s">
        <v>1848</v>
      </c>
      <c r="HP119" s="25"/>
      <c r="HQ119" s="25"/>
      <c r="HR119" s="25"/>
      <c r="HS119" s="25"/>
      <c r="HT119" s="25"/>
      <c r="HU119" s="13"/>
      <c r="HV119" s="13"/>
      <c r="HW119" s="32"/>
      <c r="HX119" s="55"/>
      <c r="HY119" s="55"/>
      <c r="HZ119" s="55"/>
      <c r="IA119" s="55"/>
      <c r="IB119" s="55"/>
      <c r="IC119" s="55"/>
      <c r="ID119" s="55"/>
      <c r="IE119" s="55"/>
      <c r="IF119" s="107">
        <v>710714.29</v>
      </c>
      <c r="IG119" s="107"/>
      <c r="IH119" s="250">
        <f t="shared" si="55"/>
        <v>0</v>
      </c>
      <c r="II119" s="55"/>
      <c r="IJ119" s="55"/>
      <c r="IK119" s="55"/>
      <c r="IL119" s="55"/>
      <c r="IM119" s="55"/>
      <c r="IN119" s="55"/>
      <c r="IO119" s="55"/>
      <c r="IP119" s="55"/>
      <c r="IQ119" s="55"/>
      <c r="IR119" s="55"/>
      <c r="IS119" s="55"/>
      <c r="IT119" s="55"/>
      <c r="IU119" s="55"/>
      <c r="IV119" s="55"/>
      <c r="IW119" s="55"/>
      <c r="IX119" s="55"/>
      <c r="IY119" s="55"/>
      <c r="IZ119" s="55"/>
      <c r="JA119" s="55"/>
      <c r="JB119" s="55"/>
      <c r="JC119" s="55"/>
      <c r="JD119" s="55">
        <v>2017</v>
      </c>
    </row>
    <row r="120" spans="1:265" s="5" customFormat="1" ht="24.95" hidden="1" customHeight="1">
      <c r="A120" s="26" t="s">
        <v>103</v>
      </c>
      <c r="B120" s="26" t="s">
        <v>27</v>
      </c>
      <c r="C120" s="13" t="s">
        <v>349</v>
      </c>
      <c r="D120" s="13" t="s">
        <v>380</v>
      </c>
      <c r="E120" s="16" t="s">
        <v>350</v>
      </c>
      <c r="F120" s="13" t="s">
        <v>350</v>
      </c>
      <c r="G120" s="26" t="s">
        <v>351</v>
      </c>
      <c r="H120" s="13" t="s">
        <v>1545</v>
      </c>
      <c r="I120" s="20" t="s">
        <v>107</v>
      </c>
      <c r="J120" s="26">
        <v>2</v>
      </c>
      <c r="K120" s="49" t="s">
        <v>375</v>
      </c>
      <c r="L120" s="26" t="s">
        <v>106</v>
      </c>
      <c r="M120" s="20" t="s">
        <v>107</v>
      </c>
      <c r="N120" s="20"/>
      <c r="O120" s="13" t="s">
        <v>3</v>
      </c>
      <c r="P120" s="13" t="s">
        <v>4</v>
      </c>
      <c r="Q120" s="22" t="s">
        <v>364</v>
      </c>
      <c r="R120" s="26" t="s">
        <v>106</v>
      </c>
      <c r="S120" s="22" t="s">
        <v>790</v>
      </c>
      <c r="T120" s="13" t="s">
        <v>1387</v>
      </c>
      <c r="U120" s="13" t="s">
        <v>479</v>
      </c>
      <c r="V120" s="24">
        <v>1792633915001</v>
      </c>
      <c r="W120" s="22" t="s">
        <v>1091</v>
      </c>
      <c r="X120" s="22" t="s">
        <v>503</v>
      </c>
      <c r="Y120" s="22" t="s">
        <v>1092</v>
      </c>
      <c r="Z120" s="22" t="s">
        <v>503</v>
      </c>
      <c r="AA120" s="41"/>
      <c r="AB120" s="45">
        <v>503571.43</v>
      </c>
      <c r="AC120" s="29">
        <v>0</v>
      </c>
      <c r="AD120" s="41">
        <v>523571.429</v>
      </c>
      <c r="AE120" s="29">
        <f>AQ120-AB120</f>
        <v>19569.330000000016</v>
      </c>
      <c r="AF120" s="29">
        <f t="shared" si="47"/>
        <v>543140.75900000008</v>
      </c>
      <c r="AG120" s="25">
        <v>0.12</v>
      </c>
      <c r="AH120" s="29">
        <f t="shared" si="56"/>
        <v>62828.571479999999</v>
      </c>
      <c r="AI120" s="29">
        <f t="shared" si="63"/>
        <v>2348.3196000000021</v>
      </c>
      <c r="AJ120" s="29">
        <f t="shared" si="54"/>
        <v>608317.65008000017</v>
      </c>
      <c r="AK120" s="29"/>
      <c r="AL120" s="29"/>
      <c r="AM120" s="29"/>
      <c r="AN120" s="41"/>
      <c r="AO120" s="41">
        <v>523571.429</v>
      </c>
      <c r="AP120" s="41"/>
      <c r="AQ120" s="41">
        <v>523140.76</v>
      </c>
      <c r="AR120" s="25">
        <v>0.12</v>
      </c>
      <c r="AS120" s="41">
        <f>AQ120*0.12</f>
        <v>62776.891199999998</v>
      </c>
      <c r="AT120" s="41">
        <f>AQ120*1.12</f>
        <v>585917.65120000008</v>
      </c>
      <c r="AU120" s="41"/>
      <c r="AV120" s="41"/>
      <c r="AW120" s="41"/>
      <c r="AX120" s="41"/>
      <c r="AY120" s="41"/>
      <c r="AZ120" s="41"/>
      <c r="BA120" s="41"/>
      <c r="BB120" s="41"/>
      <c r="BC120" s="41"/>
      <c r="BD120" s="37"/>
      <c r="BE120" s="37"/>
      <c r="BF120" s="29">
        <f t="shared" si="59"/>
        <v>-19569.330000000016</v>
      </c>
      <c r="BG120" s="29">
        <f t="shared" si="57"/>
        <v>-19569.330000000016</v>
      </c>
      <c r="BH120" s="37" t="s">
        <v>594</v>
      </c>
      <c r="BI120" s="29" t="s">
        <v>570</v>
      </c>
      <c r="BJ120" s="29" t="s">
        <v>570</v>
      </c>
      <c r="BK120" s="29" t="s">
        <v>570</v>
      </c>
      <c r="BL120" s="29" t="s">
        <v>570</v>
      </c>
      <c r="BM120" s="29" t="s">
        <v>570</v>
      </c>
      <c r="BN120" s="23">
        <v>42255</v>
      </c>
      <c r="BO120" s="23">
        <v>42258</v>
      </c>
      <c r="BP120" s="23">
        <v>42263</v>
      </c>
      <c r="BQ120" s="23">
        <v>42275</v>
      </c>
      <c r="BR120" s="13" t="s">
        <v>570</v>
      </c>
      <c r="BS120" s="23">
        <v>42289</v>
      </c>
      <c r="BT120" s="23">
        <v>42303</v>
      </c>
      <c r="BU120" s="13" t="s">
        <v>570</v>
      </c>
      <c r="BV120" s="13" t="s">
        <v>570</v>
      </c>
      <c r="BW120" s="224" t="s">
        <v>570</v>
      </c>
      <c r="BX120" s="23">
        <v>42324</v>
      </c>
      <c r="BY120" s="13" t="s">
        <v>570</v>
      </c>
      <c r="BZ120" s="23">
        <v>42324</v>
      </c>
      <c r="CA120" s="23">
        <v>42355</v>
      </c>
      <c r="CB120" s="224" t="s">
        <v>570</v>
      </c>
      <c r="CC120" s="224" t="s">
        <v>570</v>
      </c>
      <c r="CD120" s="224" t="s">
        <v>570</v>
      </c>
      <c r="CE120" s="13"/>
      <c r="CF120" s="127" t="s">
        <v>829</v>
      </c>
      <c r="CG120" s="13"/>
      <c r="CH120" s="13"/>
      <c r="CI120" s="13"/>
      <c r="CJ120" s="13"/>
      <c r="CK120" s="13"/>
      <c r="CL120" s="13"/>
      <c r="CM120" s="13"/>
      <c r="CN120" s="13"/>
      <c r="CO120" s="13"/>
      <c r="CP120" s="13"/>
      <c r="CQ120" s="13"/>
      <c r="CR120" s="127" t="s">
        <v>829</v>
      </c>
      <c r="CS120" s="13" t="s">
        <v>570</v>
      </c>
      <c r="CT120" s="37" t="s">
        <v>452</v>
      </c>
      <c r="CU120" s="25">
        <v>0.05</v>
      </c>
      <c r="CV120" s="23">
        <v>42457</v>
      </c>
      <c r="CW120" s="30">
        <f t="shared" si="60"/>
        <v>261570.38</v>
      </c>
      <c r="CX120" s="30"/>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31">
        <f t="shared" si="61"/>
        <v>261570.38</v>
      </c>
      <c r="DZ120" s="13"/>
      <c r="EA120" s="13"/>
      <c r="EB120" s="13"/>
      <c r="EC120" s="13"/>
      <c r="ED120" s="13"/>
      <c r="EE120" s="13"/>
      <c r="EF120" s="13"/>
      <c r="EG120" s="13">
        <v>210</v>
      </c>
      <c r="EH120" s="13" t="s">
        <v>588</v>
      </c>
      <c r="EI120" s="23">
        <f t="shared" si="62"/>
        <v>42458</v>
      </c>
      <c r="EJ120" s="23">
        <f>EG120+EI120</f>
        <v>42668</v>
      </c>
      <c r="EK120" s="2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25"/>
      <c r="FI120" s="25"/>
      <c r="FJ120" s="25"/>
      <c r="FK120" s="25"/>
      <c r="FL120" s="25"/>
      <c r="FM120" s="25"/>
      <c r="FN120" s="25"/>
      <c r="FO120" s="25"/>
      <c r="FP120" s="25"/>
      <c r="FQ120" s="25"/>
      <c r="FR120" s="25"/>
      <c r="FS120" s="25">
        <v>0.7</v>
      </c>
      <c r="FT120" s="25">
        <v>0.7</v>
      </c>
      <c r="FU120" s="25">
        <v>0.7</v>
      </c>
      <c r="FV120" s="25">
        <v>0.7</v>
      </c>
      <c r="FW120" s="25">
        <v>0.7</v>
      </c>
      <c r="FX120" s="25">
        <v>0.7</v>
      </c>
      <c r="FY120" s="25">
        <v>0.7</v>
      </c>
      <c r="FZ120" s="25">
        <v>0.7</v>
      </c>
      <c r="GA120" s="25">
        <v>0.7</v>
      </c>
      <c r="GB120" s="25">
        <v>0.9</v>
      </c>
      <c r="GC120" s="25">
        <v>0.9</v>
      </c>
      <c r="GD120" s="25">
        <v>1</v>
      </c>
      <c r="GE120" s="25">
        <v>1</v>
      </c>
      <c r="GF120" s="25">
        <v>1</v>
      </c>
      <c r="GG120" s="25">
        <v>1</v>
      </c>
      <c r="GH120" s="25">
        <v>1</v>
      </c>
      <c r="GI120" s="25">
        <v>1</v>
      </c>
      <c r="GJ120" s="25">
        <v>1</v>
      </c>
      <c r="GK120" s="25">
        <v>1</v>
      </c>
      <c r="GL120" s="25">
        <v>1</v>
      </c>
      <c r="GM120" s="25">
        <v>1</v>
      </c>
      <c r="GN120" s="25">
        <v>1</v>
      </c>
      <c r="GO120" s="25">
        <v>1</v>
      </c>
      <c r="GP120" s="25">
        <v>1</v>
      </c>
      <c r="GQ120" s="25">
        <v>1</v>
      </c>
      <c r="GR120" s="25">
        <v>1</v>
      </c>
      <c r="GS120" s="25">
        <v>1</v>
      </c>
      <c r="GT120" s="25">
        <v>1</v>
      </c>
      <c r="GU120" s="25">
        <v>1</v>
      </c>
      <c r="GV120" s="25" t="s">
        <v>1588</v>
      </c>
      <c r="GW120" s="25" t="s">
        <v>1588</v>
      </c>
      <c r="GX120" s="25" t="s">
        <v>1588</v>
      </c>
      <c r="GY120" s="25" t="s">
        <v>1588</v>
      </c>
      <c r="GZ120" s="25" t="s">
        <v>1588</v>
      </c>
      <c r="HA120" s="25" t="s">
        <v>1588</v>
      </c>
      <c r="HB120" s="25" t="s">
        <v>1588</v>
      </c>
      <c r="HC120" s="25" t="s">
        <v>1588</v>
      </c>
      <c r="HD120" s="25" t="s">
        <v>1588</v>
      </c>
      <c r="HE120" s="25" t="s">
        <v>1588</v>
      </c>
      <c r="HF120" s="25" t="s">
        <v>1588</v>
      </c>
      <c r="HG120" s="25" t="s">
        <v>1588</v>
      </c>
      <c r="HH120" s="25" t="s">
        <v>1588</v>
      </c>
      <c r="HI120" s="25" t="s">
        <v>1641</v>
      </c>
      <c r="HJ120" s="25"/>
      <c r="HK120" s="25"/>
      <c r="HL120" s="25" t="s">
        <v>1713</v>
      </c>
      <c r="HM120" s="25" t="s">
        <v>1713</v>
      </c>
      <c r="HN120" s="25"/>
      <c r="HO120" s="25" t="s">
        <v>1849</v>
      </c>
      <c r="HP120" s="25"/>
      <c r="HQ120" s="25"/>
      <c r="HR120" s="25"/>
      <c r="HS120" s="25"/>
      <c r="HT120" s="25"/>
      <c r="HU120" s="13"/>
      <c r="HV120" s="13"/>
      <c r="HW120" s="32"/>
      <c r="HX120" s="55"/>
      <c r="HY120" s="55"/>
      <c r="HZ120" s="55"/>
      <c r="IA120" s="55"/>
      <c r="IB120" s="55"/>
      <c r="IC120" s="55"/>
      <c r="ID120" s="55"/>
      <c r="IE120" s="55"/>
      <c r="IF120" s="107">
        <v>503571.43</v>
      </c>
      <c r="IG120" s="107"/>
      <c r="IH120" s="250">
        <f t="shared" si="55"/>
        <v>0</v>
      </c>
      <c r="II120" s="55"/>
      <c r="IJ120" s="55"/>
      <c r="IK120" s="55"/>
      <c r="IL120" s="55"/>
      <c r="IM120" s="55"/>
      <c r="IN120" s="55"/>
      <c r="IO120" s="55"/>
      <c r="IP120" s="55"/>
      <c r="IQ120" s="55"/>
      <c r="IR120" s="55"/>
      <c r="IS120" s="55"/>
      <c r="IT120" s="55"/>
      <c r="IU120" s="55"/>
      <c r="IV120" s="55"/>
      <c r="IW120" s="55"/>
      <c r="IX120" s="55"/>
      <c r="IY120" s="55"/>
      <c r="IZ120" s="55"/>
      <c r="JA120" s="55"/>
      <c r="JB120" s="55"/>
      <c r="JC120" s="55"/>
      <c r="JD120" s="55">
        <v>2017</v>
      </c>
    </row>
    <row r="121" spans="1:265" s="5" customFormat="1" ht="24.95" hidden="1" customHeight="1">
      <c r="A121" s="26" t="s">
        <v>103</v>
      </c>
      <c r="B121" s="26" t="s">
        <v>27</v>
      </c>
      <c r="C121" s="13" t="s">
        <v>349</v>
      </c>
      <c r="D121" s="13" t="s">
        <v>380</v>
      </c>
      <c r="E121" s="16" t="s">
        <v>350</v>
      </c>
      <c r="F121" s="13" t="s">
        <v>350</v>
      </c>
      <c r="G121" s="26" t="s">
        <v>351</v>
      </c>
      <c r="H121" s="13" t="s">
        <v>1516</v>
      </c>
      <c r="I121" s="21" t="s">
        <v>109</v>
      </c>
      <c r="J121" s="26">
        <v>3</v>
      </c>
      <c r="K121" s="49" t="s">
        <v>375</v>
      </c>
      <c r="L121" s="26" t="s">
        <v>108</v>
      </c>
      <c r="M121" s="20" t="s">
        <v>109</v>
      </c>
      <c r="N121" s="20"/>
      <c r="O121" s="13" t="s">
        <v>3</v>
      </c>
      <c r="P121" s="13" t="s">
        <v>4</v>
      </c>
      <c r="Q121" s="22" t="s">
        <v>1118</v>
      </c>
      <c r="R121" s="26" t="s">
        <v>108</v>
      </c>
      <c r="S121" s="22" t="s">
        <v>791</v>
      </c>
      <c r="T121" s="13" t="s">
        <v>1387</v>
      </c>
      <c r="U121" s="13" t="s">
        <v>479</v>
      </c>
      <c r="V121" s="24">
        <v>991356835001</v>
      </c>
      <c r="W121" s="22" t="s">
        <v>1091</v>
      </c>
      <c r="X121" s="22" t="s">
        <v>503</v>
      </c>
      <c r="Y121" s="22" t="s">
        <v>1093</v>
      </c>
      <c r="Z121" s="22" t="s">
        <v>503</v>
      </c>
      <c r="AA121" s="41"/>
      <c r="AB121" s="45">
        <v>493570.84</v>
      </c>
      <c r="AC121" s="29">
        <v>0</v>
      </c>
      <c r="AD121" s="41">
        <v>481870.09999999992</v>
      </c>
      <c r="AE121" s="29">
        <v>0</v>
      </c>
      <c r="AF121" s="29">
        <f t="shared" si="47"/>
        <v>481870.09999999992</v>
      </c>
      <c r="AG121" s="25">
        <v>0.12</v>
      </c>
      <c r="AH121" s="29">
        <f t="shared" si="56"/>
        <v>57824.411999999989</v>
      </c>
      <c r="AI121" s="29">
        <f t="shared" si="63"/>
        <v>0</v>
      </c>
      <c r="AJ121" s="29">
        <f t="shared" si="54"/>
        <v>539694.51199999999</v>
      </c>
      <c r="AK121" s="29"/>
      <c r="AL121" s="29"/>
      <c r="AM121" s="29">
        <f>AB121-AQ121</f>
        <v>43988.840000000026</v>
      </c>
      <c r="AN121" s="41"/>
      <c r="AO121" s="41">
        <v>481870.09999999992</v>
      </c>
      <c r="AP121" s="41"/>
      <c r="AQ121" s="41">
        <v>449582</v>
      </c>
      <c r="AR121" s="25">
        <v>0.12</v>
      </c>
      <c r="AS121" s="41">
        <f>AQ121*0.12</f>
        <v>53949.84</v>
      </c>
      <c r="AT121" s="41">
        <f>AQ121*1.12</f>
        <v>503531.84</v>
      </c>
      <c r="AU121" s="41"/>
      <c r="AV121" s="41"/>
      <c r="AW121" s="41"/>
      <c r="AX121" s="41"/>
      <c r="AY121" s="41"/>
      <c r="AZ121" s="41"/>
      <c r="BA121" s="41"/>
      <c r="BB121" s="41"/>
      <c r="BC121" s="41"/>
      <c r="BD121" s="37"/>
      <c r="BE121" s="37"/>
      <c r="BF121" s="29">
        <f t="shared" si="59"/>
        <v>43988.840000000026</v>
      </c>
      <c r="BG121" s="29">
        <f t="shared" si="57"/>
        <v>43988.840000000026</v>
      </c>
      <c r="BH121" s="37" t="s">
        <v>594</v>
      </c>
      <c r="BI121" s="29" t="s">
        <v>570</v>
      </c>
      <c r="BJ121" s="29" t="s">
        <v>570</v>
      </c>
      <c r="BK121" s="29" t="s">
        <v>570</v>
      </c>
      <c r="BL121" s="29" t="s">
        <v>570</v>
      </c>
      <c r="BM121" s="29" t="s">
        <v>570</v>
      </c>
      <c r="BN121" s="23">
        <v>42249</v>
      </c>
      <c r="BO121" s="23">
        <v>42254</v>
      </c>
      <c r="BP121" s="23">
        <v>42258</v>
      </c>
      <c r="BQ121" s="23">
        <v>42269</v>
      </c>
      <c r="BR121" s="13" t="s">
        <v>570</v>
      </c>
      <c r="BS121" s="23">
        <v>42284</v>
      </c>
      <c r="BT121" s="23">
        <v>42299</v>
      </c>
      <c r="BU121" s="13" t="s">
        <v>570</v>
      </c>
      <c r="BV121" s="13" t="s">
        <v>570</v>
      </c>
      <c r="BW121" s="224" t="s">
        <v>570</v>
      </c>
      <c r="BX121" s="23">
        <v>42340</v>
      </c>
      <c r="BY121" s="13" t="s">
        <v>570</v>
      </c>
      <c r="BZ121" s="23">
        <v>42340</v>
      </c>
      <c r="CA121" s="23">
        <v>42356</v>
      </c>
      <c r="CB121" s="224" t="s">
        <v>570</v>
      </c>
      <c r="CC121" s="224" t="s">
        <v>570</v>
      </c>
      <c r="CD121" s="224" t="s">
        <v>570</v>
      </c>
      <c r="CE121" s="13"/>
      <c r="CF121" s="127" t="s">
        <v>829</v>
      </c>
      <c r="CG121" s="13"/>
      <c r="CH121" s="13"/>
      <c r="CI121" s="13"/>
      <c r="CJ121" s="13"/>
      <c r="CK121" s="13"/>
      <c r="CL121" s="13"/>
      <c r="CM121" s="13"/>
      <c r="CN121" s="13"/>
      <c r="CO121" s="13"/>
      <c r="CP121" s="13"/>
      <c r="CQ121" s="13"/>
      <c r="CR121" s="127" t="s">
        <v>829</v>
      </c>
      <c r="CS121" s="13" t="s">
        <v>570</v>
      </c>
      <c r="CT121" s="37" t="s">
        <v>452</v>
      </c>
      <c r="CU121" s="25">
        <v>0.05</v>
      </c>
      <c r="CV121" s="23">
        <v>42418</v>
      </c>
      <c r="CW121" s="30">
        <f t="shared" si="60"/>
        <v>224791</v>
      </c>
      <c r="CX121" s="30" t="s">
        <v>799</v>
      </c>
      <c r="CY121" s="23">
        <v>42733</v>
      </c>
      <c r="CZ121" s="30">
        <f>166658.2-83172.67</f>
        <v>83485.530000000013</v>
      </c>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31">
        <f t="shared" si="61"/>
        <v>308276.53000000003</v>
      </c>
      <c r="DZ121" s="13"/>
      <c r="EA121" s="13"/>
      <c r="EB121" s="13"/>
      <c r="EC121" s="13"/>
      <c r="ED121" s="13"/>
      <c r="EE121" s="13"/>
      <c r="EF121" s="13"/>
      <c r="EG121" s="13">
        <v>210</v>
      </c>
      <c r="EH121" s="13" t="s">
        <v>588</v>
      </c>
      <c r="EI121" s="23">
        <f t="shared" si="62"/>
        <v>42419</v>
      </c>
      <c r="EJ121" s="23">
        <f>EI121+EG121</f>
        <v>42629</v>
      </c>
      <c r="EK121" s="2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25"/>
      <c r="FI121" s="25"/>
      <c r="FJ121" s="25"/>
      <c r="FK121" s="25"/>
      <c r="FL121" s="25"/>
      <c r="FM121" s="25"/>
      <c r="FN121" s="25"/>
      <c r="FO121" s="25"/>
      <c r="FP121" s="25"/>
      <c r="FQ121" s="25">
        <v>0.18</v>
      </c>
      <c r="FR121" s="25">
        <v>0.55000000000000004</v>
      </c>
      <c r="FS121" s="25">
        <v>0.81</v>
      </c>
      <c r="FT121" s="25">
        <v>1</v>
      </c>
      <c r="FU121" s="25">
        <v>1</v>
      </c>
      <c r="FV121" s="25">
        <v>1</v>
      </c>
      <c r="FW121" s="25">
        <v>1</v>
      </c>
      <c r="FX121" s="25">
        <v>1</v>
      </c>
      <c r="FY121" s="25">
        <v>1</v>
      </c>
      <c r="FZ121" s="25">
        <v>1</v>
      </c>
      <c r="GA121" s="25">
        <v>1</v>
      </c>
      <c r="GB121" s="25">
        <v>1</v>
      </c>
      <c r="GC121" s="25">
        <v>1</v>
      </c>
      <c r="GD121" s="25">
        <v>1</v>
      </c>
      <c r="GE121" s="25">
        <v>1</v>
      </c>
      <c r="GF121" s="25">
        <v>1</v>
      </c>
      <c r="GG121" s="25">
        <v>1</v>
      </c>
      <c r="GH121" s="25">
        <v>1</v>
      </c>
      <c r="GI121" s="25">
        <v>1</v>
      </c>
      <c r="GJ121" s="25">
        <v>1</v>
      </c>
      <c r="GK121" s="25">
        <v>1</v>
      </c>
      <c r="GL121" s="25">
        <v>1</v>
      </c>
      <c r="GM121" s="25">
        <v>1</v>
      </c>
      <c r="GN121" s="25">
        <v>1</v>
      </c>
      <c r="GO121" s="25">
        <v>1</v>
      </c>
      <c r="GP121" s="25">
        <v>1</v>
      </c>
      <c r="GQ121" s="25">
        <v>1</v>
      </c>
      <c r="GR121" s="25">
        <v>1</v>
      </c>
      <c r="GS121" s="25">
        <v>1</v>
      </c>
      <c r="GT121" s="25">
        <v>1</v>
      </c>
      <c r="GU121" s="25">
        <v>1</v>
      </c>
      <c r="GV121" s="25" t="s">
        <v>1588</v>
      </c>
      <c r="GW121" s="25" t="s">
        <v>1588</v>
      </c>
      <c r="GX121" s="25" t="s">
        <v>1588</v>
      </c>
      <c r="GY121" s="25" t="s">
        <v>1588</v>
      </c>
      <c r="GZ121" s="25" t="s">
        <v>1588</v>
      </c>
      <c r="HA121" s="25" t="s">
        <v>1588</v>
      </c>
      <c r="HB121" s="25" t="s">
        <v>1588</v>
      </c>
      <c r="HC121" s="25" t="s">
        <v>1588</v>
      </c>
      <c r="HD121" s="25" t="s">
        <v>1588</v>
      </c>
      <c r="HE121" s="25" t="s">
        <v>1588</v>
      </c>
      <c r="HF121" s="25" t="s">
        <v>1588</v>
      </c>
      <c r="HG121" s="25" t="s">
        <v>1588</v>
      </c>
      <c r="HH121" s="25" t="s">
        <v>1588</v>
      </c>
      <c r="HI121" s="25"/>
      <c r="HJ121" s="25"/>
      <c r="HK121" s="25"/>
      <c r="HL121" s="25"/>
      <c r="HM121" s="25"/>
      <c r="HN121" s="25"/>
      <c r="HO121" s="25" t="s">
        <v>1850</v>
      </c>
      <c r="HP121" s="25"/>
      <c r="HQ121" s="25"/>
      <c r="HR121" s="25"/>
      <c r="HS121" s="25"/>
      <c r="HT121" s="25"/>
      <c r="HU121" s="13" t="s">
        <v>1356</v>
      </c>
      <c r="HV121" s="13"/>
      <c r="HW121" s="32"/>
      <c r="HX121" s="55"/>
      <c r="HY121" s="55">
        <v>1</v>
      </c>
      <c r="HZ121" s="55"/>
      <c r="IA121" s="55"/>
      <c r="IB121" s="55"/>
      <c r="IC121" s="55"/>
      <c r="ID121" s="55"/>
      <c r="IE121" s="55"/>
      <c r="IF121" s="107">
        <v>493570.84</v>
      </c>
      <c r="IG121" s="107"/>
      <c r="IH121" s="250">
        <f t="shared" si="55"/>
        <v>0</v>
      </c>
      <c r="II121" s="55"/>
      <c r="IJ121" s="55"/>
      <c r="IK121" s="55"/>
      <c r="IL121" s="55"/>
      <c r="IM121" s="55"/>
      <c r="IN121" s="55"/>
      <c r="IO121" s="55"/>
      <c r="IP121" s="55"/>
      <c r="IQ121" s="55"/>
      <c r="IR121" s="55"/>
      <c r="IS121" s="55"/>
      <c r="IT121" s="55"/>
      <c r="IU121" s="55"/>
      <c r="IV121" s="55"/>
      <c r="IW121" s="55"/>
      <c r="IX121" s="55"/>
      <c r="IY121" s="55"/>
      <c r="IZ121" s="55"/>
      <c r="JA121" s="55"/>
      <c r="JB121" s="55"/>
      <c r="JC121" s="55"/>
      <c r="JD121" s="55">
        <v>2016</v>
      </c>
    </row>
    <row r="122" spans="1:265" s="5" customFormat="1" ht="24.95" hidden="1" customHeight="1">
      <c r="A122" s="26" t="s">
        <v>103</v>
      </c>
      <c r="B122" s="26" t="s">
        <v>27</v>
      </c>
      <c r="C122" s="13" t="s">
        <v>349</v>
      </c>
      <c r="D122" s="13" t="s">
        <v>380</v>
      </c>
      <c r="E122" s="16" t="s">
        <v>350</v>
      </c>
      <c r="F122" s="13" t="s">
        <v>350</v>
      </c>
      <c r="G122" s="26" t="s">
        <v>351</v>
      </c>
      <c r="H122" s="13" t="s">
        <v>1545</v>
      </c>
      <c r="I122" s="21" t="s">
        <v>111</v>
      </c>
      <c r="J122" s="26">
        <v>4</v>
      </c>
      <c r="K122" s="49" t="s">
        <v>375</v>
      </c>
      <c r="L122" s="26" t="s">
        <v>110</v>
      </c>
      <c r="M122" s="20" t="s">
        <v>111</v>
      </c>
      <c r="N122" s="20"/>
      <c r="O122" s="13" t="s">
        <v>3</v>
      </c>
      <c r="P122" s="13" t="s">
        <v>4</v>
      </c>
      <c r="Q122" s="22" t="s">
        <v>1118</v>
      </c>
      <c r="R122" s="26" t="s">
        <v>110</v>
      </c>
      <c r="S122" s="22" t="s">
        <v>792</v>
      </c>
      <c r="T122" s="22"/>
      <c r="U122" s="13" t="s">
        <v>477</v>
      </c>
      <c r="V122" s="24">
        <v>992950781001</v>
      </c>
      <c r="W122" s="22" t="s">
        <v>1091</v>
      </c>
      <c r="X122" s="22" t="s">
        <v>503</v>
      </c>
      <c r="Y122" s="22" t="s">
        <v>1093</v>
      </c>
      <c r="Z122" s="22" t="s">
        <v>503</v>
      </c>
      <c r="AA122" s="41"/>
      <c r="AB122" s="45">
        <v>168355.91</v>
      </c>
      <c r="AC122" s="29">
        <v>0</v>
      </c>
      <c r="AD122" s="41">
        <v>157437.45000000001</v>
      </c>
      <c r="AE122" s="29">
        <v>0</v>
      </c>
      <c r="AF122" s="29">
        <f t="shared" si="47"/>
        <v>157437.45000000001</v>
      </c>
      <c r="AG122" s="25">
        <v>0.12</v>
      </c>
      <c r="AH122" s="29">
        <f t="shared" si="56"/>
        <v>18892.494000000002</v>
      </c>
      <c r="AI122" s="29">
        <f t="shared" si="63"/>
        <v>0</v>
      </c>
      <c r="AJ122" s="29">
        <f t="shared" si="54"/>
        <v>176329.94400000002</v>
      </c>
      <c r="AK122" s="29">
        <v>131882.19</v>
      </c>
      <c r="AL122" s="29">
        <f>AB122-AK122</f>
        <v>36473.72</v>
      </c>
      <c r="AM122" s="29"/>
      <c r="AN122" s="41"/>
      <c r="AO122" s="41">
        <v>157437.45000000001</v>
      </c>
      <c r="AP122" s="41"/>
      <c r="AQ122" s="41">
        <v>152767.99</v>
      </c>
      <c r="AR122" s="25">
        <v>0.12</v>
      </c>
      <c r="AS122" s="41">
        <f>AQ122*0.12</f>
        <v>18332.158799999997</v>
      </c>
      <c r="AT122" s="41">
        <f>AQ122*1.12</f>
        <v>171100.1488</v>
      </c>
      <c r="AU122" s="41"/>
      <c r="AV122" s="41"/>
      <c r="AW122" s="41"/>
      <c r="AX122" s="41"/>
      <c r="AY122" s="41"/>
      <c r="AZ122" s="41"/>
      <c r="BA122" s="41"/>
      <c r="BB122" s="41"/>
      <c r="BC122" s="41"/>
      <c r="BD122" s="37"/>
      <c r="BE122" s="37"/>
      <c r="BF122" s="29">
        <f t="shared" si="59"/>
        <v>15587.920000000013</v>
      </c>
      <c r="BG122" s="29">
        <f t="shared" si="57"/>
        <v>15587.920000000013</v>
      </c>
      <c r="BH122" s="37" t="s">
        <v>594</v>
      </c>
      <c r="BI122" s="29" t="s">
        <v>570</v>
      </c>
      <c r="BJ122" s="29" t="s">
        <v>570</v>
      </c>
      <c r="BK122" s="29" t="s">
        <v>570</v>
      </c>
      <c r="BL122" s="29" t="s">
        <v>570</v>
      </c>
      <c r="BM122" s="29" t="s">
        <v>570</v>
      </c>
      <c r="BN122" s="23">
        <v>42249</v>
      </c>
      <c r="BO122" s="23">
        <v>42254</v>
      </c>
      <c r="BP122" s="23">
        <v>42258</v>
      </c>
      <c r="BQ122" s="23">
        <v>42269</v>
      </c>
      <c r="BR122" s="13" t="s">
        <v>570</v>
      </c>
      <c r="BS122" s="23">
        <v>42284</v>
      </c>
      <c r="BT122" s="23">
        <v>42299</v>
      </c>
      <c r="BU122" s="13" t="s">
        <v>570</v>
      </c>
      <c r="BV122" s="13" t="s">
        <v>570</v>
      </c>
      <c r="BW122" s="224" t="s">
        <v>570</v>
      </c>
      <c r="BX122" s="23">
        <v>42340</v>
      </c>
      <c r="BY122" s="13" t="s">
        <v>570</v>
      </c>
      <c r="BZ122" s="23">
        <v>42340</v>
      </c>
      <c r="CA122" s="23">
        <v>42369</v>
      </c>
      <c r="CB122" s="224" t="s">
        <v>570</v>
      </c>
      <c r="CC122" s="224" t="s">
        <v>570</v>
      </c>
      <c r="CD122" s="224" t="s">
        <v>570</v>
      </c>
      <c r="CE122" s="13"/>
      <c r="CF122" s="127" t="s">
        <v>829</v>
      </c>
      <c r="CG122" s="13"/>
      <c r="CH122" s="13"/>
      <c r="CI122" s="13"/>
      <c r="CJ122" s="13"/>
      <c r="CK122" s="13"/>
      <c r="CL122" s="13"/>
      <c r="CM122" s="13"/>
      <c r="CN122" s="13"/>
      <c r="CO122" s="13"/>
      <c r="CP122" s="13"/>
      <c r="CQ122" s="13"/>
      <c r="CR122" s="127" t="s">
        <v>829</v>
      </c>
      <c r="CS122" s="13" t="s">
        <v>570</v>
      </c>
      <c r="CT122" s="37" t="s">
        <v>452</v>
      </c>
      <c r="CU122" s="25">
        <v>0.05</v>
      </c>
      <c r="CV122" s="23">
        <v>42418</v>
      </c>
      <c r="CW122" s="30">
        <v>76383.990000000005</v>
      </c>
      <c r="CX122" s="30" t="s">
        <v>1271</v>
      </c>
      <c r="CY122" s="23">
        <v>42761</v>
      </c>
      <c r="CZ122" s="30">
        <f>131882.19-76383.99</f>
        <v>55498.2</v>
      </c>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31">
        <f t="shared" si="61"/>
        <v>131882.19</v>
      </c>
      <c r="DZ122" s="13"/>
      <c r="EA122" s="13"/>
      <c r="EB122" s="13"/>
      <c r="EC122" s="13"/>
      <c r="ED122" s="13"/>
      <c r="EE122" s="13"/>
      <c r="EF122" s="13"/>
      <c r="EG122" s="13">
        <v>180</v>
      </c>
      <c r="EH122" s="13" t="s">
        <v>588</v>
      </c>
      <c r="EI122" s="23">
        <f t="shared" si="62"/>
        <v>42419</v>
      </c>
      <c r="EJ122" s="23">
        <f>EI122+EG122</f>
        <v>42599</v>
      </c>
      <c r="EK122" s="2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25"/>
      <c r="FI122" s="25"/>
      <c r="FJ122" s="25"/>
      <c r="FK122" s="25">
        <v>0.1</v>
      </c>
      <c r="FL122" s="25">
        <v>0.1</v>
      </c>
      <c r="FM122" s="25">
        <v>0.1</v>
      </c>
      <c r="FN122" s="25">
        <v>0.1</v>
      </c>
      <c r="FO122" s="25">
        <v>0.1</v>
      </c>
      <c r="FP122" s="25">
        <v>0.35</v>
      </c>
      <c r="FQ122" s="25">
        <v>0.86</v>
      </c>
      <c r="FR122" s="25">
        <v>1</v>
      </c>
      <c r="FS122" s="25">
        <v>1</v>
      </c>
      <c r="FT122" s="25">
        <v>1</v>
      </c>
      <c r="FU122" s="25">
        <v>1</v>
      </c>
      <c r="FV122" s="25">
        <v>1</v>
      </c>
      <c r="FW122" s="25">
        <v>1</v>
      </c>
      <c r="FX122" s="25">
        <v>1</v>
      </c>
      <c r="FY122" s="25">
        <v>1</v>
      </c>
      <c r="FZ122" s="25">
        <v>1</v>
      </c>
      <c r="GA122" s="25">
        <v>1</v>
      </c>
      <c r="GB122" s="25">
        <v>1</v>
      </c>
      <c r="GC122" s="25">
        <v>1</v>
      </c>
      <c r="GD122" s="25">
        <v>1</v>
      </c>
      <c r="GE122" s="25">
        <v>1</v>
      </c>
      <c r="GF122" s="25">
        <v>1</v>
      </c>
      <c r="GG122" s="25">
        <v>1</v>
      </c>
      <c r="GH122" s="25">
        <v>1</v>
      </c>
      <c r="GI122" s="25">
        <v>1</v>
      </c>
      <c r="GJ122" s="25">
        <v>1</v>
      </c>
      <c r="GK122" s="25">
        <v>1</v>
      </c>
      <c r="GL122" s="25">
        <v>1</v>
      </c>
      <c r="GM122" s="25">
        <v>1</v>
      </c>
      <c r="GN122" s="25">
        <v>1</v>
      </c>
      <c r="GO122" s="25">
        <v>1</v>
      </c>
      <c r="GP122" s="25">
        <v>1</v>
      </c>
      <c r="GQ122" s="25">
        <v>1</v>
      </c>
      <c r="GR122" s="25">
        <v>1</v>
      </c>
      <c r="GS122" s="25">
        <v>1</v>
      </c>
      <c r="GT122" s="25">
        <v>1</v>
      </c>
      <c r="GU122" s="25">
        <v>1</v>
      </c>
      <c r="GV122" s="25" t="s">
        <v>455</v>
      </c>
      <c r="GW122" s="25" t="s">
        <v>455</v>
      </c>
      <c r="GX122" s="25" t="s">
        <v>455</v>
      </c>
      <c r="GY122" s="25" t="s">
        <v>455</v>
      </c>
      <c r="GZ122" s="25" t="s">
        <v>455</v>
      </c>
      <c r="HA122" s="25" t="s">
        <v>455</v>
      </c>
      <c r="HB122" s="25" t="s">
        <v>455</v>
      </c>
      <c r="HC122" s="25" t="s">
        <v>455</v>
      </c>
      <c r="HD122" s="25" t="s">
        <v>455</v>
      </c>
      <c r="HE122" s="25" t="s">
        <v>455</v>
      </c>
      <c r="HF122" s="25" t="s">
        <v>455</v>
      </c>
      <c r="HG122" s="25" t="s">
        <v>455</v>
      </c>
      <c r="HH122" s="25" t="s">
        <v>455</v>
      </c>
      <c r="HI122" s="25"/>
      <c r="HJ122" s="25"/>
      <c r="HK122" s="25"/>
      <c r="HL122" s="25"/>
      <c r="HM122" s="25"/>
      <c r="HN122" s="25"/>
      <c r="HO122" s="25"/>
      <c r="HP122" s="25"/>
      <c r="HQ122" s="25"/>
      <c r="HR122" s="25"/>
      <c r="HS122" s="25"/>
      <c r="HT122" s="25"/>
      <c r="HU122" s="13"/>
      <c r="HV122" s="13"/>
      <c r="HW122" s="32"/>
      <c r="HX122" s="55"/>
      <c r="HY122" s="55"/>
      <c r="HZ122" s="55"/>
      <c r="IA122" s="55"/>
      <c r="IB122" s="55"/>
      <c r="IC122" s="55"/>
      <c r="ID122" s="55"/>
      <c r="IE122" s="55"/>
      <c r="IF122" s="107">
        <v>168355.91</v>
      </c>
      <c r="IG122" s="107">
        <v>131882.19</v>
      </c>
      <c r="IH122" s="250">
        <f t="shared" si="55"/>
        <v>0</v>
      </c>
      <c r="II122" s="55"/>
      <c r="IJ122" s="55"/>
      <c r="IK122" s="55"/>
      <c r="IL122" s="55"/>
      <c r="IM122" s="55"/>
      <c r="IN122" s="55"/>
      <c r="IO122" s="55"/>
      <c r="IP122" s="55"/>
      <c r="IQ122" s="55"/>
      <c r="IR122" s="55"/>
      <c r="IS122" s="55"/>
      <c r="IT122" s="55"/>
      <c r="IU122" s="55"/>
      <c r="IV122" s="55"/>
      <c r="IW122" s="55"/>
      <c r="IX122" s="55"/>
      <c r="IY122" s="55"/>
      <c r="IZ122" s="55"/>
      <c r="JA122" s="55"/>
      <c r="JB122" s="55"/>
      <c r="JC122" s="55"/>
      <c r="JD122" s="55">
        <v>2016</v>
      </c>
    </row>
    <row r="123" spans="1:265" s="5" customFormat="1" ht="24.95" hidden="1" customHeight="1">
      <c r="A123" s="26" t="s">
        <v>103</v>
      </c>
      <c r="B123" s="26" t="s">
        <v>27</v>
      </c>
      <c r="C123" s="13" t="s">
        <v>349</v>
      </c>
      <c r="D123" s="13" t="s">
        <v>380</v>
      </c>
      <c r="E123" s="13" t="s">
        <v>360</v>
      </c>
      <c r="F123" s="13" t="s">
        <v>360</v>
      </c>
      <c r="G123" s="26" t="s">
        <v>354</v>
      </c>
      <c r="H123" s="13" t="s">
        <v>1545</v>
      </c>
      <c r="I123" s="313" t="s">
        <v>113</v>
      </c>
      <c r="J123" s="26">
        <v>5</v>
      </c>
      <c r="K123" s="49" t="s">
        <v>375</v>
      </c>
      <c r="L123" s="26" t="s">
        <v>112</v>
      </c>
      <c r="M123" s="20" t="s">
        <v>113</v>
      </c>
      <c r="N123" s="20"/>
      <c r="O123" s="13" t="s">
        <v>3</v>
      </c>
      <c r="P123" s="13" t="s">
        <v>4</v>
      </c>
      <c r="Q123" s="22" t="s">
        <v>364</v>
      </c>
      <c r="R123" s="26" t="s">
        <v>112</v>
      </c>
      <c r="S123" s="22" t="s">
        <v>1379</v>
      </c>
      <c r="T123" s="22" t="s">
        <v>1387</v>
      </c>
      <c r="U123" s="13" t="s">
        <v>479</v>
      </c>
      <c r="V123" s="13" t="s">
        <v>1380</v>
      </c>
      <c r="W123" s="13"/>
      <c r="X123" s="13"/>
      <c r="Y123" s="13"/>
      <c r="Z123" s="13"/>
      <c r="AA123" s="41"/>
      <c r="AB123" s="45">
        <v>652740</v>
      </c>
      <c r="AC123" s="29">
        <v>0</v>
      </c>
      <c r="AD123" s="45">
        <v>652740</v>
      </c>
      <c r="AE123" s="29">
        <v>0</v>
      </c>
      <c r="AF123" s="29">
        <f t="shared" si="47"/>
        <v>652740</v>
      </c>
      <c r="AG123" s="25">
        <v>0.12</v>
      </c>
      <c r="AH123" s="29">
        <f t="shared" si="56"/>
        <v>78328.800000000003</v>
      </c>
      <c r="AI123" s="29">
        <f t="shared" si="63"/>
        <v>0</v>
      </c>
      <c r="AJ123" s="29">
        <f t="shared" si="54"/>
        <v>731068.8</v>
      </c>
      <c r="AK123" s="29"/>
      <c r="AL123" s="29"/>
      <c r="AM123" s="29">
        <f>AB123-AQ123</f>
        <v>93826</v>
      </c>
      <c r="AN123" s="41"/>
      <c r="AO123" s="41">
        <v>652740</v>
      </c>
      <c r="AP123" s="41"/>
      <c r="AQ123" s="41">
        <v>558914</v>
      </c>
      <c r="AR123" s="35">
        <v>0.14000000000000001</v>
      </c>
      <c r="AS123" s="41">
        <f>AQ123*0.14</f>
        <v>78247.960000000006</v>
      </c>
      <c r="AT123" s="41">
        <f>AQ123*1.14</f>
        <v>637161.96</v>
      </c>
      <c r="AU123" s="41"/>
      <c r="AV123" s="41"/>
      <c r="AW123" s="41"/>
      <c r="AX123" s="41"/>
      <c r="AY123" s="41"/>
      <c r="AZ123" s="41"/>
      <c r="BA123" s="41"/>
      <c r="BB123" s="41"/>
      <c r="BC123" s="41"/>
      <c r="BD123" s="37"/>
      <c r="BE123" s="37"/>
      <c r="BF123" s="29">
        <f t="shared" si="59"/>
        <v>93826</v>
      </c>
      <c r="BG123" s="29">
        <f t="shared" si="57"/>
        <v>93826</v>
      </c>
      <c r="BH123" s="37" t="s">
        <v>594</v>
      </c>
      <c r="BI123" s="29" t="s">
        <v>570</v>
      </c>
      <c r="BJ123" s="29" t="s">
        <v>570</v>
      </c>
      <c r="BK123" s="29" t="s">
        <v>570</v>
      </c>
      <c r="BL123" s="29" t="s">
        <v>570</v>
      </c>
      <c r="BM123" s="29" t="s">
        <v>570</v>
      </c>
      <c r="BN123" s="23">
        <v>42690</v>
      </c>
      <c r="BO123" s="23">
        <v>42708</v>
      </c>
      <c r="BP123" s="23">
        <v>42713</v>
      </c>
      <c r="BQ123" s="23">
        <v>42718</v>
      </c>
      <c r="BR123" s="13" t="s">
        <v>570</v>
      </c>
      <c r="BS123" s="23">
        <v>42728</v>
      </c>
      <c r="BT123" s="23">
        <v>42732</v>
      </c>
      <c r="BU123" s="13" t="s">
        <v>570</v>
      </c>
      <c r="BV123" s="13" t="s">
        <v>570</v>
      </c>
      <c r="BW123" s="224" t="s">
        <v>570</v>
      </c>
      <c r="BX123" s="23">
        <v>42821</v>
      </c>
      <c r="BY123" s="13" t="s">
        <v>570</v>
      </c>
      <c r="BZ123" s="23">
        <v>42835</v>
      </c>
      <c r="CA123" s="23">
        <v>42874</v>
      </c>
      <c r="CB123" s="224" t="s">
        <v>570</v>
      </c>
      <c r="CC123" s="224" t="s">
        <v>570</v>
      </c>
      <c r="CD123" s="224" t="s">
        <v>570</v>
      </c>
      <c r="CE123" s="13"/>
      <c r="CF123" s="13"/>
      <c r="CG123" s="13"/>
      <c r="CH123" s="13"/>
      <c r="CI123" s="13"/>
      <c r="CJ123" s="13"/>
      <c r="CK123" s="13"/>
      <c r="CL123" s="13"/>
      <c r="CM123" s="13"/>
      <c r="CN123" s="13"/>
      <c r="CO123" s="13"/>
      <c r="CP123" s="13"/>
      <c r="CQ123" s="13"/>
      <c r="CR123" s="13"/>
      <c r="CS123" s="13"/>
      <c r="CT123" s="25" t="s">
        <v>452</v>
      </c>
      <c r="CU123" s="25">
        <v>0.05</v>
      </c>
      <c r="CV123" s="23"/>
      <c r="CW123" s="2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31">
        <f t="shared" si="61"/>
        <v>0</v>
      </c>
      <c r="DZ123" s="13"/>
      <c r="EA123" s="13"/>
      <c r="EB123" s="13"/>
      <c r="EC123" s="13"/>
      <c r="ED123" s="13"/>
      <c r="EE123" s="13"/>
      <c r="EF123" s="13"/>
      <c r="EG123" s="13">
        <v>180</v>
      </c>
      <c r="EH123" s="13" t="s">
        <v>588</v>
      </c>
      <c r="EI123" s="13" t="s">
        <v>503</v>
      </c>
      <c r="EJ123" s="13" t="s">
        <v>503</v>
      </c>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25"/>
      <c r="FI123" s="25"/>
      <c r="FJ123" s="25"/>
      <c r="FK123" s="25"/>
      <c r="FL123" s="25"/>
      <c r="FM123" s="25"/>
      <c r="FN123" s="25"/>
      <c r="FO123" s="25"/>
      <c r="FP123" s="25"/>
      <c r="FQ123" s="25"/>
      <c r="FR123" s="25"/>
      <c r="FS123" s="25"/>
      <c r="FT123" s="25"/>
      <c r="FU123" s="25"/>
      <c r="FV123" s="25"/>
      <c r="FW123" s="25"/>
      <c r="FX123" s="25"/>
      <c r="FY123" s="25">
        <v>0</v>
      </c>
      <c r="FZ123" s="25">
        <v>0</v>
      </c>
      <c r="GA123" s="25">
        <v>0.1</v>
      </c>
      <c r="GB123" s="25">
        <v>0.15</v>
      </c>
      <c r="GC123" s="25">
        <v>0.15</v>
      </c>
      <c r="GD123" s="25">
        <v>0.5</v>
      </c>
      <c r="GE123" s="25">
        <v>0.5</v>
      </c>
      <c r="GF123" s="25">
        <v>0.5</v>
      </c>
      <c r="GG123" s="25">
        <v>0.5</v>
      </c>
      <c r="GH123" s="25">
        <v>0.5</v>
      </c>
      <c r="GI123" s="25">
        <v>1</v>
      </c>
      <c r="GJ123" s="25">
        <v>1</v>
      </c>
      <c r="GK123" s="25">
        <v>1</v>
      </c>
      <c r="GL123" s="25">
        <v>1</v>
      </c>
      <c r="GM123" s="25">
        <v>1</v>
      </c>
      <c r="GN123" s="25">
        <v>1</v>
      </c>
      <c r="GO123" s="25">
        <v>1</v>
      </c>
      <c r="GP123" s="25">
        <v>1</v>
      </c>
      <c r="GQ123" s="25">
        <v>1</v>
      </c>
      <c r="GR123" s="25">
        <v>1</v>
      </c>
      <c r="GS123" s="25">
        <v>1</v>
      </c>
      <c r="GT123" s="25">
        <v>1</v>
      </c>
      <c r="GU123" s="25">
        <v>1</v>
      </c>
      <c r="GV123" s="25" t="s">
        <v>1588</v>
      </c>
      <c r="GW123" s="25" t="s">
        <v>1588</v>
      </c>
      <c r="GX123" s="25" t="s">
        <v>1588</v>
      </c>
      <c r="GY123" s="25" t="s">
        <v>1588</v>
      </c>
      <c r="GZ123" s="25" t="s">
        <v>1588</v>
      </c>
      <c r="HA123" s="25" t="s">
        <v>1588</v>
      </c>
      <c r="HB123" s="25" t="s">
        <v>1588</v>
      </c>
      <c r="HC123" s="25" t="s">
        <v>1588</v>
      </c>
      <c r="HD123" s="25" t="s">
        <v>1588</v>
      </c>
      <c r="HE123" s="25" t="s">
        <v>1588</v>
      </c>
      <c r="HF123" s="25" t="s">
        <v>1588</v>
      </c>
      <c r="HG123" s="25" t="s">
        <v>1588</v>
      </c>
      <c r="HH123" s="25" t="s">
        <v>1588</v>
      </c>
      <c r="HI123" s="25" t="s">
        <v>1640</v>
      </c>
      <c r="HJ123" s="25"/>
      <c r="HK123" s="25"/>
      <c r="HL123" s="84" t="s">
        <v>1714</v>
      </c>
      <c r="HM123" s="84" t="s">
        <v>1744</v>
      </c>
      <c r="HN123" s="84"/>
      <c r="HO123" s="84" t="s">
        <v>1851</v>
      </c>
      <c r="HP123" s="84"/>
      <c r="HQ123" s="84"/>
      <c r="HR123" s="84"/>
      <c r="HS123" s="84"/>
      <c r="HT123" s="84"/>
      <c r="HU123" s="13" t="s">
        <v>839</v>
      </c>
      <c r="HV123" s="13"/>
      <c r="HW123" s="13" t="s">
        <v>1202</v>
      </c>
      <c r="HX123" s="55"/>
      <c r="HY123" s="55"/>
      <c r="HZ123" s="55"/>
      <c r="IA123" s="55"/>
      <c r="IB123" s="55"/>
      <c r="IC123" s="55"/>
      <c r="ID123" s="55"/>
      <c r="IE123" s="55"/>
      <c r="IF123" s="107">
        <v>652740</v>
      </c>
      <c r="IG123" s="107"/>
      <c r="IH123" s="250">
        <f t="shared" si="55"/>
        <v>0</v>
      </c>
      <c r="II123" s="55"/>
      <c r="IJ123" s="55"/>
      <c r="IK123" s="55"/>
      <c r="IL123" s="55"/>
      <c r="IM123" s="55"/>
      <c r="IN123" s="55"/>
      <c r="IO123" s="55"/>
      <c r="IP123" s="55"/>
      <c r="IQ123" s="55"/>
      <c r="IR123" s="55"/>
      <c r="IS123" s="55"/>
      <c r="IT123" s="55"/>
      <c r="IU123" s="55"/>
      <c r="IV123" s="55"/>
      <c r="IW123" s="55"/>
      <c r="IX123" s="55"/>
      <c r="IY123" s="55"/>
      <c r="IZ123" s="55"/>
      <c r="JA123" s="55"/>
      <c r="JB123" s="55"/>
      <c r="JC123" s="55"/>
      <c r="JD123" s="55">
        <v>2018</v>
      </c>
    </row>
    <row r="124" spans="1:265" s="5" customFormat="1" ht="24.95" hidden="1" customHeight="1">
      <c r="A124" s="26" t="s">
        <v>103</v>
      </c>
      <c r="B124" s="26" t="s">
        <v>27</v>
      </c>
      <c r="C124" s="13" t="s">
        <v>349</v>
      </c>
      <c r="D124" s="13" t="s">
        <v>380</v>
      </c>
      <c r="E124" s="13" t="s">
        <v>360</v>
      </c>
      <c r="F124" s="13" t="s">
        <v>360</v>
      </c>
      <c r="G124" s="39" t="s">
        <v>354</v>
      </c>
      <c r="H124" s="13" t="s">
        <v>1516</v>
      </c>
      <c r="I124" s="313" t="s">
        <v>115</v>
      </c>
      <c r="J124" s="26">
        <v>6</v>
      </c>
      <c r="K124" s="49" t="s">
        <v>375</v>
      </c>
      <c r="L124" s="26" t="s">
        <v>114</v>
      </c>
      <c r="M124" s="20" t="s">
        <v>115</v>
      </c>
      <c r="N124" s="20"/>
      <c r="O124" s="13" t="s">
        <v>3</v>
      </c>
      <c r="P124" s="13" t="s">
        <v>4</v>
      </c>
      <c r="Q124" s="22" t="s">
        <v>1118</v>
      </c>
      <c r="R124" s="26" t="s">
        <v>114</v>
      </c>
      <c r="S124" s="22" t="s">
        <v>793</v>
      </c>
      <c r="T124" s="22"/>
      <c r="U124" s="22" t="s">
        <v>477</v>
      </c>
      <c r="V124" s="24">
        <v>1311767121001</v>
      </c>
      <c r="W124" s="22" t="s">
        <v>1091</v>
      </c>
      <c r="X124" s="22" t="s">
        <v>503</v>
      </c>
      <c r="Y124" s="22" t="s">
        <v>1094</v>
      </c>
      <c r="Z124" s="22" t="s">
        <v>503</v>
      </c>
      <c r="AA124" s="41"/>
      <c r="AB124" s="45">
        <v>313297.39</v>
      </c>
      <c r="AC124" s="29">
        <v>0</v>
      </c>
      <c r="AD124" s="41">
        <v>353662.08</v>
      </c>
      <c r="AE124" s="29">
        <f>AK124-AB124</f>
        <v>9223.75</v>
      </c>
      <c r="AF124" s="29">
        <f t="shared" si="47"/>
        <v>362885.83</v>
      </c>
      <c r="AG124" s="25">
        <v>0.12</v>
      </c>
      <c r="AH124" s="29">
        <f t="shared" si="56"/>
        <v>42439.4496</v>
      </c>
      <c r="AI124" s="29">
        <f t="shared" si="63"/>
        <v>1106.8499999999999</v>
      </c>
      <c r="AJ124" s="29">
        <f t="shared" si="54"/>
        <v>406432.12960000004</v>
      </c>
      <c r="AK124" s="29">
        <v>322521.14</v>
      </c>
      <c r="AL124" s="29">
        <v>0</v>
      </c>
      <c r="AM124" s="29"/>
      <c r="AN124" s="41"/>
      <c r="AO124" s="41">
        <v>353662.08</v>
      </c>
      <c r="AP124" s="41"/>
      <c r="AQ124" s="41">
        <v>339351.34</v>
      </c>
      <c r="AR124" s="25">
        <v>0.12</v>
      </c>
      <c r="AS124" s="41">
        <f>AQ124*0.12</f>
        <v>40722.160800000005</v>
      </c>
      <c r="AT124" s="41">
        <f>AQ124*1.12</f>
        <v>380073.50080000004</v>
      </c>
      <c r="AU124" s="41"/>
      <c r="AV124" s="41"/>
      <c r="AW124" s="41"/>
      <c r="AX124" s="41"/>
      <c r="AY124" s="41"/>
      <c r="AZ124" s="41"/>
      <c r="BA124" s="41"/>
      <c r="BB124" s="41"/>
      <c r="BC124" s="41"/>
      <c r="BD124" s="37"/>
      <c r="BE124" s="37"/>
      <c r="BF124" s="29">
        <f t="shared" si="59"/>
        <v>-26053.950000000012</v>
      </c>
      <c r="BG124" s="29">
        <f t="shared" si="57"/>
        <v>-26053.950000000012</v>
      </c>
      <c r="BH124" s="37" t="s">
        <v>594</v>
      </c>
      <c r="BI124" s="29" t="s">
        <v>570</v>
      </c>
      <c r="BJ124" s="29" t="s">
        <v>570</v>
      </c>
      <c r="BK124" s="29" t="s">
        <v>570</v>
      </c>
      <c r="BL124" s="29" t="s">
        <v>570</v>
      </c>
      <c r="BM124" s="29" t="s">
        <v>570</v>
      </c>
      <c r="BN124" s="23">
        <v>42249</v>
      </c>
      <c r="BO124" s="23">
        <v>42254</v>
      </c>
      <c r="BP124" s="23">
        <v>42258</v>
      </c>
      <c r="BQ124" s="23">
        <v>42269</v>
      </c>
      <c r="BR124" s="13" t="s">
        <v>570</v>
      </c>
      <c r="BS124" s="23">
        <v>42284</v>
      </c>
      <c r="BT124" s="23">
        <v>42299</v>
      </c>
      <c r="BU124" s="13" t="s">
        <v>570</v>
      </c>
      <c r="BV124" s="13" t="s">
        <v>570</v>
      </c>
      <c r="BW124" s="224" t="s">
        <v>570</v>
      </c>
      <c r="BX124" s="23">
        <v>42326</v>
      </c>
      <c r="BY124" s="13" t="s">
        <v>570</v>
      </c>
      <c r="BZ124" s="23">
        <v>42326</v>
      </c>
      <c r="CA124" s="23">
        <v>42352</v>
      </c>
      <c r="CB124" s="224" t="s">
        <v>570</v>
      </c>
      <c r="CC124" s="224" t="s">
        <v>570</v>
      </c>
      <c r="CD124" s="224" t="s">
        <v>570</v>
      </c>
      <c r="CE124" s="13"/>
      <c r="CF124" s="127" t="s">
        <v>829</v>
      </c>
      <c r="CG124" s="13"/>
      <c r="CH124" s="13"/>
      <c r="CI124" s="13"/>
      <c r="CJ124" s="13"/>
      <c r="CK124" s="13"/>
      <c r="CL124" s="13"/>
      <c r="CM124" s="13"/>
      <c r="CN124" s="13"/>
      <c r="CO124" s="13"/>
      <c r="CP124" s="13"/>
      <c r="CQ124" s="13"/>
      <c r="CR124" s="127" t="s">
        <v>829</v>
      </c>
      <c r="CS124" s="13" t="s">
        <v>570</v>
      </c>
      <c r="CT124" s="37"/>
      <c r="CU124" s="37"/>
      <c r="CV124" s="23">
        <v>42457</v>
      </c>
      <c r="CW124" s="30">
        <f>AQ124*0.5</f>
        <v>169675.67</v>
      </c>
      <c r="CX124" s="30" t="s">
        <v>1455</v>
      </c>
      <c r="CY124" s="99">
        <v>42845</v>
      </c>
      <c r="CZ124" s="54">
        <v>70854.569999999992</v>
      </c>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31">
        <f t="shared" si="61"/>
        <v>240530.24</v>
      </c>
      <c r="DZ124" s="13"/>
      <c r="EA124" s="13"/>
      <c r="EB124" s="13"/>
      <c r="EC124" s="13"/>
      <c r="ED124" s="13"/>
      <c r="EE124" s="13"/>
      <c r="EF124" s="13"/>
      <c r="EG124" s="13">
        <v>180</v>
      </c>
      <c r="EH124" s="13" t="s">
        <v>588</v>
      </c>
      <c r="EI124" s="23">
        <f>CV124+1</f>
        <v>42458</v>
      </c>
      <c r="EJ124" s="23">
        <f>EI124+EG124</f>
        <v>42638</v>
      </c>
      <c r="EK124" s="2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25"/>
      <c r="FI124" s="25"/>
      <c r="FJ124" s="25"/>
      <c r="FK124" s="25"/>
      <c r="FL124" s="25"/>
      <c r="FM124" s="25"/>
      <c r="FN124" s="25"/>
      <c r="FO124" s="25">
        <v>0</v>
      </c>
      <c r="FP124" s="25">
        <v>0.1</v>
      </c>
      <c r="FQ124" s="25">
        <v>0.3</v>
      </c>
      <c r="FR124" s="25">
        <v>0.3</v>
      </c>
      <c r="FS124" s="25">
        <v>0.41</v>
      </c>
      <c r="FT124" s="25">
        <v>0.6</v>
      </c>
      <c r="FU124" s="25">
        <v>0.8</v>
      </c>
      <c r="FV124" s="25">
        <v>0.8</v>
      </c>
      <c r="FW124" s="25">
        <v>0.8</v>
      </c>
      <c r="FX124" s="25">
        <v>0.8</v>
      </c>
      <c r="FY124" s="25">
        <v>1</v>
      </c>
      <c r="FZ124" s="25">
        <v>1</v>
      </c>
      <c r="GA124" s="25">
        <v>1</v>
      </c>
      <c r="GB124" s="25">
        <v>1</v>
      </c>
      <c r="GC124" s="25">
        <v>1</v>
      </c>
      <c r="GD124" s="25">
        <v>1</v>
      </c>
      <c r="GE124" s="25">
        <v>1</v>
      </c>
      <c r="GF124" s="25">
        <v>1</v>
      </c>
      <c r="GG124" s="25">
        <v>1</v>
      </c>
      <c r="GH124" s="25">
        <v>1</v>
      </c>
      <c r="GI124" s="25">
        <v>1</v>
      </c>
      <c r="GJ124" s="25">
        <v>1</v>
      </c>
      <c r="GK124" s="25">
        <v>1</v>
      </c>
      <c r="GL124" s="25">
        <v>1</v>
      </c>
      <c r="GM124" s="25">
        <v>1</v>
      </c>
      <c r="GN124" s="25">
        <v>1</v>
      </c>
      <c r="GO124" s="25">
        <v>1</v>
      </c>
      <c r="GP124" s="25">
        <v>1</v>
      </c>
      <c r="GQ124" s="25">
        <v>1</v>
      </c>
      <c r="GR124" s="25">
        <v>1</v>
      </c>
      <c r="GS124" s="25">
        <v>1</v>
      </c>
      <c r="GT124" s="25">
        <v>1</v>
      </c>
      <c r="GU124" s="25">
        <v>1</v>
      </c>
      <c r="GV124" s="25" t="s">
        <v>1588</v>
      </c>
      <c r="GW124" s="25" t="s">
        <v>455</v>
      </c>
      <c r="GX124" s="25" t="s">
        <v>455</v>
      </c>
      <c r="GY124" s="25" t="s">
        <v>455</v>
      </c>
      <c r="GZ124" s="25" t="s">
        <v>455</v>
      </c>
      <c r="HA124" s="25" t="s">
        <v>455</v>
      </c>
      <c r="HB124" s="25" t="s">
        <v>455</v>
      </c>
      <c r="HC124" s="25" t="s">
        <v>455</v>
      </c>
      <c r="HD124" s="25" t="s">
        <v>455</v>
      </c>
      <c r="HE124" s="25" t="s">
        <v>455</v>
      </c>
      <c r="HF124" s="25" t="s">
        <v>455</v>
      </c>
      <c r="HG124" s="25" t="s">
        <v>455</v>
      </c>
      <c r="HH124" s="25" t="s">
        <v>455</v>
      </c>
      <c r="HI124" s="25"/>
      <c r="HJ124" s="25"/>
      <c r="HK124" s="25"/>
      <c r="HL124" s="25"/>
      <c r="HM124" s="25"/>
      <c r="HN124" s="25"/>
      <c r="HO124" s="25"/>
      <c r="HP124" s="25"/>
      <c r="HQ124" s="25"/>
      <c r="HR124" s="25"/>
      <c r="HS124" s="25"/>
      <c r="HT124" s="25"/>
      <c r="HU124" s="13"/>
      <c r="HV124" s="13"/>
      <c r="HW124" s="32"/>
      <c r="HX124" s="55"/>
      <c r="HY124" s="55"/>
      <c r="HZ124" s="55"/>
      <c r="IA124" s="55"/>
      <c r="IB124" s="55"/>
      <c r="IC124" s="55"/>
      <c r="ID124" s="55"/>
      <c r="IE124" s="55"/>
      <c r="IF124" s="107">
        <v>313297.39</v>
      </c>
      <c r="IG124" s="107">
        <v>322521.14</v>
      </c>
      <c r="IH124" s="250">
        <f t="shared" si="55"/>
        <v>0</v>
      </c>
      <c r="II124" s="55"/>
      <c r="IJ124" s="55"/>
      <c r="IK124" s="55"/>
      <c r="IL124" s="55"/>
      <c r="IM124" s="55"/>
      <c r="IN124" s="55"/>
      <c r="IO124" s="55"/>
      <c r="IP124" s="55"/>
      <c r="IQ124" s="55"/>
      <c r="IR124" s="55"/>
      <c r="IS124" s="55"/>
      <c r="IT124" s="55"/>
      <c r="IU124" s="55"/>
      <c r="IV124" s="55"/>
      <c r="IW124" s="55"/>
      <c r="IX124" s="55"/>
      <c r="IY124" s="55"/>
      <c r="IZ124" s="55"/>
      <c r="JA124" s="55"/>
      <c r="JB124" s="55"/>
      <c r="JC124" s="55"/>
      <c r="JD124" s="55">
        <v>2017</v>
      </c>
    </row>
    <row r="125" spans="1:265" s="5" customFormat="1" ht="79.5" hidden="1" customHeight="1">
      <c r="A125" s="26" t="s">
        <v>103</v>
      </c>
      <c r="B125" s="26" t="s">
        <v>27</v>
      </c>
      <c r="C125" s="13" t="s">
        <v>349</v>
      </c>
      <c r="D125" s="13" t="s">
        <v>380</v>
      </c>
      <c r="E125" s="13" t="s">
        <v>360</v>
      </c>
      <c r="F125" s="13" t="s">
        <v>360</v>
      </c>
      <c r="G125" s="39" t="s">
        <v>354</v>
      </c>
      <c r="H125" s="13" t="s">
        <v>1516</v>
      </c>
      <c r="I125" s="313" t="s">
        <v>117</v>
      </c>
      <c r="J125" s="26">
        <v>7</v>
      </c>
      <c r="K125" s="49" t="s">
        <v>375</v>
      </c>
      <c r="L125" s="26" t="s">
        <v>116</v>
      </c>
      <c r="M125" s="20" t="s">
        <v>117</v>
      </c>
      <c r="N125" s="20"/>
      <c r="O125" s="13" t="s">
        <v>3</v>
      </c>
      <c r="P125" s="13" t="s">
        <v>4</v>
      </c>
      <c r="Q125" s="22" t="s">
        <v>1118</v>
      </c>
      <c r="R125" s="26" t="s">
        <v>116</v>
      </c>
      <c r="S125" s="22" t="s">
        <v>841</v>
      </c>
      <c r="T125" s="22" t="s">
        <v>1387</v>
      </c>
      <c r="U125" s="13" t="s">
        <v>479</v>
      </c>
      <c r="V125" s="22" t="s">
        <v>842</v>
      </c>
      <c r="W125" s="13"/>
      <c r="X125" s="13"/>
      <c r="Y125" s="13"/>
      <c r="Z125" s="13"/>
      <c r="AA125" s="41"/>
      <c r="AB125" s="45">
        <v>249870.96</v>
      </c>
      <c r="AC125" s="29">
        <v>0</v>
      </c>
      <c r="AD125" s="41">
        <v>298369.08</v>
      </c>
      <c r="AE125" s="29">
        <f>AQ125-AB125</f>
        <v>26621.120000000024</v>
      </c>
      <c r="AF125" s="29">
        <f t="shared" si="47"/>
        <v>324990.20000000007</v>
      </c>
      <c r="AG125" s="25">
        <v>0.12</v>
      </c>
      <c r="AH125" s="29">
        <f t="shared" si="56"/>
        <v>35804.289600000004</v>
      </c>
      <c r="AI125" s="29">
        <f t="shared" si="63"/>
        <v>3194.5344000000027</v>
      </c>
      <c r="AJ125" s="29">
        <f t="shared" si="54"/>
        <v>363989.02400000009</v>
      </c>
      <c r="AK125" s="29">
        <v>276492.08</v>
      </c>
      <c r="AL125" s="29">
        <v>0</v>
      </c>
      <c r="AM125" s="29"/>
      <c r="AN125" s="41"/>
      <c r="AO125" s="41">
        <v>298369.08</v>
      </c>
      <c r="AP125" s="41"/>
      <c r="AQ125" s="41">
        <v>276492.08</v>
      </c>
      <c r="AR125" s="25">
        <v>0.12</v>
      </c>
      <c r="AS125" s="41">
        <f>AQ125*0.12</f>
        <v>33179.049599999998</v>
      </c>
      <c r="AT125" s="41">
        <f>AQ125*1.12</f>
        <v>309671.12960000004</v>
      </c>
      <c r="AU125" s="41"/>
      <c r="AV125" s="41"/>
      <c r="AW125" s="41"/>
      <c r="AX125" s="41"/>
      <c r="AY125" s="41"/>
      <c r="AZ125" s="41"/>
      <c r="BA125" s="41"/>
      <c r="BB125" s="41"/>
      <c r="BC125" s="41"/>
      <c r="BD125" s="37"/>
      <c r="BE125" s="37"/>
      <c r="BF125" s="29">
        <f t="shared" si="59"/>
        <v>-26621.120000000024</v>
      </c>
      <c r="BG125" s="29">
        <f t="shared" si="57"/>
        <v>-26621.120000000024</v>
      </c>
      <c r="BH125" s="37" t="s">
        <v>594</v>
      </c>
      <c r="BI125" s="29" t="s">
        <v>570</v>
      </c>
      <c r="BJ125" s="29" t="s">
        <v>570</v>
      </c>
      <c r="BK125" s="29" t="s">
        <v>570</v>
      </c>
      <c r="BL125" s="29" t="s">
        <v>570</v>
      </c>
      <c r="BM125" s="29" t="s">
        <v>570</v>
      </c>
      <c r="BN125" s="23">
        <v>42249</v>
      </c>
      <c r="BO125" s="23">
        <v>42254</v>
      </c>
      <c r="BP125" s="23">
        <v>42258</v>
      </c>
      <c r="BQ125" s="23">
        <v>42269</v>
      </c>
      <c r="BR125" s="13" t="s">
        <v>570</v>
      </c>
      <c r="BS125" s="23">
        <v>42284</v>
      </c>
      <c r="BT125" s="23">
        <v>42299</v>
      </c>
      <c r="BU125" s="13" t="s">
        <v>570</v>
      </c>
      <c r="BV125" s="13" t="s">
        <v>570</v>
      </c>
      <c r="BW125" s="224" t="s">
        <v>570</v>
      </c>
      <c r="BX125" s="23">
        <v>42335</v>
      </c>
      <c r="BY125" s="13" t="s">
        <v>570</v>
      </c>
      <c r="BZ125" s="23">
        <v>42335</v>
      </c>
      <c r="CA125" s="23">
        <v>42347</v>
      </c>
      <c r="CB125" s="224" t="s">
        <v>570</v>
      </c>
      <c r="CC125" s="224" t="s">
        <v>570</v>
      </c>
      <c r="CD125" s="224" t="s">
        <v>570</v>
      </c>
      <c r="CE125" s="13"/>
      <c r="CF125" s="127" t="s">
        <v>829</v>
      </c>
      <c r="CG125" s="13"/>
      <c r="CH125" s="13"/>
      <c r="CI125" s="13"/>
      <c r="CJ125" s="13"/>
      <c r="CK125" s="13"/>
      <c r="CL125" s="13"/>
      <c r="CM125" s="13"/>
      <c r="CN125" s="13"/>
      <c r="CO125" s="13"/>
      <c r="CP125" s="13"/>
      <c r="CQ125" s="13"/>
      <c r="CR125" s="127" t="s">
        <v>829</v>
      </c>
      <c r="CS125" s="13" t="s">
        <v>570</v>
      </c>
      <c r="CT125" s="37" t="s">
        <v>452</v>
      </c>
      <c r="CU125" s="25">
        <v>0.05</v>
      </c>
      <c r="CV125" s="23">
        <v>42354</v>
      </c>
      <c r="CW125" s="30">
        <f>AQ125*0.5</f>
        <v>138246.04</v>
      </c>
      <c r="CX125" s="30"/>
      <c r="CY125" s="23">
        <v>42662</v>
      </c>
      <c r="CZ125" s="37">
        <v>138246.04</v>
      </c>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31">
        <f t="shared" si="61"/>
        <v>276492.08</v>
      </c>
      <c r="DZ125" s="13"/>
      <c r="EA125" s="13"/>
      <c r="EB125" s="13"/>
      <c r="EC125" s="13"/>
      <c r="ED125" s="13"/>
      <c r="EE125" s="13"/>
      <c r="EF125" s="13"/>
      <c r="EG125" s="13">
        <v>180</v>
      </c>
      <c r="EH125" s="13" t="s">
        <v>548</v>
      </c>
      <c r="EI125" s="23">
        <f>CV125+1</f>
        <v>42355</v>
      </c>
      <c r="EJ125" s="23">
        <f>EI125+EG125</f>
        <v>42535</v>
      </c>
      <c r="EK125" s="23"/>
      <c r="EL125" s="23"/>
      <c r="EM125" s="23"/>
      <c r="EN125" s="23"/>
      <c r="EO125" s="23"/>
      <c r="EP125" s="23"/>
      <c r="EQ125" s="23"/>
      <c r="ER125" s="23"/>
      <c r="ES125" s="23"/>
      <c r="ET125" s="23"/>
      <c r="EU125" s="23"/>
      <c r="EV125" s="23"/>
      <c r="EW125" s="23"/>
      <c r="EX125" s="23"/>
      <c r="EY125" s="23"/>
      <c r="EZ125" s="23"/>
      <c r="FA125" s="23"/>
      <c r="FB125" s="23"/>
      <c r="FC125" s="23"/>
      <c r="FD125" s="23"/>
      <c r="FE125" s="23">
        <v>59009</v>
      </c>
      <c r="FF125" s="23">
        <v>42608</v>
      </c>
      <c r="FG125" s="23"/>
      <c r="FH125" s="25"/>
      <c r="FI125" s="25"/>
      <c r="FJ125" s="25"/>
      <c r="FK125" s="25"/>
      <c r="FL125" s="25"/>
      <c r="FM125" s="25"/>
      <c r="FN125" s="25"/>
      <c r="FO125" s="25"/>
      <c r="FP125" s="25"/>
      <c r="FQ125" s="25"/>
      <c r="FR125" s="25"/>
      <c r="FS125" s="25">
        <v>1</v>
      </c>
      <c r="FT125" s="25">
        <v>1</v>
      </c>
      <c r="FU125" s="25">
        <v>1</v>
      </c>
      <c r="FV125" s="25">
        <v>1</v>
      </c>
      <c r="FW125" s="25">
        <v>1</v>
      </c>
      <c r="FX125" s="25">
        <v>1</v>
      </c>
      <c r="FY125" s="25">
        <v>1</v>
      </c>
      <c r="FZ125" s="25">
        <v>1</v>
      </c>
      <c r="GA125" s="25">
        <v>1</v>
      </c>
      <c r="GB125" s="25">
        <v>1</v>
      </c>
      <c r="GC125" s="25">
        <v>1</v>
      </c>
      <c r="GD125" s="25">
        <v>1</v>
      </c>
      <c r="GE125" s="25">
        <v>1</v>
      </c>
      <c r="GF125" s="25">
        <v>1</v>
      </c>
      <c r="GG125" s="25">
        <v>1</v>
      </c>
      <c r="GH125" s="25">
        <v>1</v>
      </c>
      <c r="GI125" s="25">
        <v>1</v>
      </c>
      <c r="GJ125" s="25">
        <v>1</v>
      </c>
      <c r="GK125" s="25">
        <v>1</v>
      </c>
      <c r="GL125" s="25">
        <v>1</v>
      </c>
      <c r="GM125" s="25">
        <v>1</v>
      </c>
      <c r="GN125" s="25">
        <v>1</v>
      </c>
      <c r="GO125" s="25">
        <v>1</v>
      </c>
      <c r="GP125" s="25">
        <v>1</v>
      </c>
      <c r="GQ125" s="25">
        <v>1</v>
      </c>
      <c r="GR125" s="25">
        <v>1</v>
      </c>
      <c r="GS125" s="25">
        <v>1</v>
      </c>
      <c r="GT125" s="25">
        <v>1</v>
      </c>
      <c r="GU125" s="25">
        <v>1</v>
      </c>
      <c r="GV125" s="25" t="s">
        <v>455</v>
      </c>
      <c r="GW125" s="25" t="s">
        <v>455</v>
      </c>
      <c r="GX125" s="25" t="s">
        <v>455</v>
      </c>
      <c r="GY125" s="25" t="s">
        <v>455</v>
      </c>
      <c r="GZ125" s="25" t="s">
        <v>455</v>
      </c>
      <c r="HA125" s="25" t="s">
        <v>455</v>
      </c>
      <c r="HB125" s="25" t="s">
        <v>455</v>
      </c>
      <c r="HC125" s="25" t="s">
        <v>455</v>
      </c>
      <c r="HD125" s="25" t="s">
        <v>455</v>
      </c>
      <c r="HE125" s="25" t="s">
        <v>455</v>
      </c>
      <c r="HF125" s="25" t="s">
        <v>455</v>
      </c>
      <c r="HG125" s="25" t="s">
        <v>455</v>
      </c>
      <c r="HH125" s="25" t="s">
        <v>455</v>
      </c>
      <c r="HI125" s="25"/>
      <c r="HJ125" s="25"/>
      <c r="HK125" s="25"/>
      <c r="HL125" s="25"/>
      <c r="HM125" s="25"/>
      <c r="HN125" s="25"/>
      <c r="HO125" s="25"/>
      <c r="HP125" s="25"/>
      <c r="HQ125" s="25"/>
      <c r="HR125" s="25"/>
      <c r="HS125" s="25"/>
      <c r="HT125" s="25"/>
      <c r="HU125" s="13"/>
      <c r="HV125" s="13"/>
      <c r="HW125" s="32"/>
      <c r="HX125" s="55"/>
      <c r="HY125" s="55"/>
      <c r="HZ125" s="55"/>
      <c r="IA125" s="55"/>
      <c r="IB125" s="55"/>
      <c r="IC125" s="55"/>
      <c r="ID125" s="55"/>
      <c r="IE125" s="55"/>
      <c r="IF125" s="107">
        <v>249870.96</v>
      </c>
      <c r="IG125" s="107">
        <v>276492.08</v>
      </c>
      <c r="IH125" s="250">
        <f t="shared" si="55"/>
        <v>0</v>
      </c>
      <c r="II125" s="55"/>
      <c r="IJ125" s="55"/>
      <c r="IK125" s="55"/>
      <c r="IL125" s="55"/>
      <c r="IM125" s="55"/>
      <c r="IN125" s="55"/>
      <c r="IO125" s="55"/>
      <c r="IP125" s="55"/>
      <c r="IQ125" s="55"/>
      <c r="IR125" s="55"/>
      <c r="IS125" s="55"/>
      <c r="IT125" s="55"/>
      <c r="IU125" s="55"/>
      <c r="IV125" s="55"/>
      <c r="IW125" s="55"/>
      <c r="IX125" s="55"/>
      <c r="IY125" s="55"/>
      <c r="IZ125" s="55"/>
      <c r="JA125" s="55"/>
      <c r="JB125" s="55"/>
      <c r="JC125" s="55"/>
      <c r="JD125" s="55">
        <v>2016</v>
      </c>
    </row>
    <row r="126" spans="1:265" s="5" customFormat="1" ht="36" hidden="1" customHeight="1">
      <c r="A126" s="26" t="s">
        <v>103</v>
      </c>
      <c r="B126" s="26" t="s">
        <v>27</v>
      </c>
      <c r="C126" s="13" t="s">
        <v>352</v>
      </c>
      <c r="D126" s="13" t="s">
        <v>377</v>
      </c>
      <c r="E126" s="16" t="s">
        <v>378</v>
      </c>
      <c r="F126" s="13" t="s">
        <v>378</v>
      </c>
      <c r="G126" s="39" t="s">
        <v>354</v>
      </c>
      <c r="H126" s="13" t="s">
        <v>1545</v>
      </c>
      <c r="I126" s="15" t="s">
        <v>1000</v>
      </c>
      <c r="J126" s="26">
        <v>8</v>
      </c>
      <c r="K126" s="49" t="s">
        <v>375</v>
      </c>
      <c r="L126" s="26" t="s">
        <v>118</v>
      </c>
      <c r="M126" s="20" t="s">
        <v>119</v>
      </c>
      <c r="N126" s="20"/>
      <c r="O126" s="13" t="s">
        <v>3</v>
      </c>
      <c r="P126" s="13" t="s">
        <v>4</v>
      </c>
      <c r="Q126" s="22" t="s">
        <v>1118</v>
      </c>
      <c r="R126" s="26" t="s">
        <v>118</v>
      </c>
      <c r="S126" s="22" t="s">
        <v>1381</v>
      </c>
      <c r="T126" s="22" t="s">
        <v>1387</v>
      </c>
      <c r="U126" s="13" t="s">
        <v>479</v>
      </c>
      <c r="V126" s="24" t="s">
        <v>1382</v>
      </c>
      <c r="W126" s="13"/>
      <c r="X126" s="13"/>
      <c r="Y126" s="13"/>
      <c r="Z126" s="13"/>
      <c r="AA126" s="41"/>
      <c r="AB126" s="45">
        <v>160000</v>
      </c>
      <c r="AC126" s="29">
        <v>0</v>
      </c>
      <c r="AD126" s="41">
        <v>160000</v>
      </c>
      <c r="AE126" s="29">
        <v>0</v>
      </c>
      <c r="AF126" s="29">
        <f t="shared" si="47"/>
        <v>160000</v>
      </c>
      <c r="AG126" s="25">
        <v>0.12</v>
      </c>
      <c r="AH126" s="29">
        <f t="shared" si="56"/>
        <v>19200</v>
      </c>
      <c r="AI126" s="29">
        <f t="shared" si="63"/>
        <v>0</v>
      </c>
      <c r="AJ126" s="29">
        <f t="shared" ref="AJ126:AJ161" si="64">AF126*1.12</f>
        <v>179200.00000000003</v>
      </c>
      <c r="AK126" s="29">
        <v>158929</v>
      </c>
      <c r="AL126" s="29">
        <f t="shared" ref="AL126:AL134" si="65">AB126-AK126</f>
        <v>1071</v>
      </c>
      <c r="AM126" s="29"/>
      <c r="AN126" s="41"/>
      <c r="AO126" s="41">
        <v>160000</v>
      </c>
      <c r="AP126" s="41"/>
      <c r="AQ126" s="41">
        <v>158929</v>
      </c>
      <c r="AR126" s="25">
        <v>0.14000000000000001</v>
      </c>
      <c r="AS126" s="41">
        <f>AQ126*0.14</f>
        <v>22250.06</v>
      </c>
      <c r="AT126" s="41">
        <f>AQ126*1.14</f>
        <v>181179.06</v>
      </c>
      <c r="AU126" s="41"/>
      <c r="AV126" s="41"/>
      <c r="AW126" s="41"/>
      <c r="AX126" s="41"/>
      <c r="AY126" s="41"/>
      <c r="AZ126" s="41"/>
      <c r="BA126" s="41"/>
      <c r="BB126" s="41"/>
      <c r="BC126" s="41"/>
      <c r="BD126" s="37"/>
      <c r="BE126" s="37"/>
      <c r="BF126" s="29">
        <f t="shared" si="59"/>
        <v>1071</v>
      </c>
      <c r="BG126" s="29">
        <f t="shared" si="57"/>
        <v>1071</v>
      </c>
      <c r="BH126" s="37" t="s">
        <v>594</v>
      </c>
      <c r="BI126" s="29" t="s">
        <v>570</v>
      </c>
      <c r="BJ126" s="29" t="s">
        <v>570</v>
      </c>
      <c r="BK126" s="29" t="s">
        <v>570</v>
      </c>
      <c r="BL126" s="29" t="s">
        <v>570</v>
      </c>
      <c r="BM126" s="29" t="s">
        <v>570</v>
      </c>
      <c r="BN126" s="23">
        <v>42683</v>
      </c>
      <c r="BO126" s="23">
        <v>42701</v>
      </c>
      <c r="BP126" s="23">
        <v>42706</v>
      </c>
      <c r="BQ126" s="23">
        <v>42711</v>
      </c>
      <c r="BR126" s="13" t="s">
        <v>570</v>
      </c>
      <c r="BS126" s="23">
        <v>42754</v>
      </c>
      <c r="BT126" s="23">
        <v>42758</v>
      </c>
      <c r="BU126" s="13" t="s">
        <v>570</v>
      </c>
      <c r="BV126" s="13" t="s">
        <v>570</v>
      </c>
      <c r="BW126" s="224" t="s">
        <v>570</v>
      </c>
      <c r="BX126" s="23">
        <v>42752</v>
      </c>
      <c r="BY126" s="13" t="s">
        <v>570</v>
      </c>
      <c r="BZ126" s="23">
        <v>42844</v>
      </c>
      <c r="CA126" s="23">
        <v>42874</v>
      </c>
      <c r="CB126" s="224" t="s">
        <v>570</v>
      </c>
      <c r="CC126" s="224" t="s">
        <v>570</v>
      </c>
      <c r="CD126" s="224" t="s">
        <v>570</v>
      </c>
      <c r="CE126" s="13"/>
      <c r="CF126" s="13"/>
      <c r="CG126" s="13"/>
      <c r="CH126" s="13"/>
      <c r="CI126" s="13"/>
      <c r="CJ126" s="13"/>
      <c r="CK126" s="13"/>
      <c r="CL126" s="13"/>
      <c r="CM126" s="13"/>
      <c r="CN126" s="13"/>
      <c r="CO126" s="13"/>
      <c r="CP126" s="13"/>
      <c r="CQ126" s="13"/>
      <c r="CR126" s="13"/>
      <c r="CS126" s="13"/>
      <c r="CT126" s="37" t="s">
        <v>452</v>
      </c>
      <c r="CU126" s="25">
        <v>0.05</v>
      </c>
      <c r="CV126" s="23">
        <v>42886</v>
      </c>
      <c r="CW126" s="30">
        <v>79464.5</v>
      </c>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31">
        <f t="shared" si="61"/>
        <v>79464.5</v>
      </c>
      <c r="DZ126" s="13"/>
      <c r="EA126" s="13"/>
      <c r="EB126" s="13"/>
      <c r="EC126" s="13"/>
      <c r="ED126" s="13"/>
      <c r="EE126" s="13"/>
      <c r="EF126" s="13"/>
      <c r="EG126" s="13">
        <v>120</v>
      </c>
      <c r="EH126" s="13" t="s">
        <v>588</v>
      </c>
      <c r="EI126" s="23">
        <f>CV126+1</f>
        <v>42887</v>
      </c>
      <c r="EJ126" s="23">
        <f>EI126+EG126</f>
        <v>43007</v>
      </c>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25"/>
      <c r="FI126" s="25"/>
      <c r="FJ126" s="25"/>
      <c r="FK126" s="25"/>
      <c r="FL126" s="25"/>
      <c r="FM126" s="25"/>
      <c r="FN126" s="25"/>
      <c r="FO126" s="25"/>
      <c r="FP126" s="25"/>
      <c r="FQ126" s="25"/>
      <c r="FR126" s="25"/>
      <c r="FS126" s="25"/>
      <c r="FT126" s="25"/>
      <c r="FU126" s="25"/>
      <c r="FV126" s="25"/>
      <c r="FW126" s="25"/>
      <c r="FX126" s="25"/>
      <c r="FY126" s="25"/>
      <c r="FZ126" s="25"/>
      <c r="GA126" s="25">
        <v>0.6</v>
      </c>
      <c r="GB126" s="25">
        <v>1</v>
      </c>
      <c r="GC126" s="25">
        <v>1</v>
      </c>
      <c r="GD126" s="25">
        <v>1</v>
      </c>
      <c r="GE126" s="25">
        <v>1</v>
      </c>
      <c r="GF126" s="25">
        <v>1</v>
      </c>
      <c r="GG126" s="25">
        <v>1</v>
      </c>
      <c r="GH126" s="25">
        <v>1</v>
      </c>
      <c r="GI126" s="25">
        <v>1</v>
      </c>
      <c r="GJ126" s="25">
        <v>1</v>
      </c>
      <c r="GK126" s="25">
        <v>1</v>
      </c>
      <c r="GL126" s="25">
        <v>1</v>
      </c>
      <c r="GM126" s="25">
        <v>1</v>
      </c>
      <c r="GN126" s="25">
        <v>1</v>
      </c>
      <c r="GO126" s="25">
        <v>1</v>
      </c>
      <c r="GP126" s="25">
        <v>1</v>
      </c>
      <c r="GQ126" s="25">
        <v>1</v>
      </c>
      <c r="GR126" s="25">
        <v>1</v>
      </c>
      <c r="GS126" s="25">
        <v>1</v>
      </c>
      <c r="GT126" s="25">
        <v>1</v>
      </c>
      <c r="GU126" s="25">
        <v>1</v>
      </c>
      <c r="GV126" s="25" t="s">
        <v>1588</v>
      </c>
      <c r="GW126" s="25" t="s">
        <v>455</v>
      </c>
      <c r="GX126" s="25" t="s">
        <v>455</v>
      </c>
      <c r="GY126" s="25" t="s">
        <v>455</v>
      </c>
      <c r="GZ126" s="25" t="s">
        <v>455</v>
      </c>
      <c r="HA126" s="25" t="s">
        <v>455</v>
      </c>
      <c r="HB126" s="25" t="s">
        <v>455</v>
      </c>
      <c r="HC126" s="25" t="s">
        <v>455</v>
      </c>
      <c r="HD126" s="25" t="s">
        <v>455</v>
      </c>
      <c r="HE126" s="25" t="s">
        <v>455</v>
      </c>
      <c r="HF126" s="25" t="s">
        <v>455</v>
      </c>
      <c r="HG126" s="25" t="s">
        <v>455</v>
      </c>
      <c r="HH126" s="25" t="s">
        <v>455</v>
      </c>
      <c r="HI126" s="25"/>
      <c r="HJ126" s="25"/>
      <c r="HK126" s="25"/>
      <c r="HL126" s="25"/>
      <c r="HM126" s="25"/>
      <c r="HN126" s="25"/>
      <c r="HO126" s="25"/>
      <c r="HP126" s="25"/>
      <c r="HQ126" s="25"/>
      <c r="HR126" s="25"/>
      <c r="HS126" s="25"/>
      <c r="HT126" s="25"/>
      <c r="HU126" s="13" t="s">
        <v>840</v>
      </c>
      <c r="HV126" s="13"/>
      <c r="HW126" s="13" t="s">
        <v>1202</v>
      </c>
      <c r="HX126" s="55"/>
      <c r="HY126" s="55"/>
      <c r="HZ126" s="55"/>
      <c r="IA126" s="55"/>
      <c r="IB126" s="55"/>
      <c r="IC126" s="55"/>
      <c r="ID126" s="55"/>
      <c r="IE126" s="55"/>
      <c r="IF126" s="107">
        <v>160000</v>
      </c>
      <c r="IG126" s="107">
        <v>158929</v>
      </c>
      <c r="IH126" s="250">
        <f t="shared" ref="IH126:IH157" si="66">AK126-IG126</f>
        <v>0</v>
      </c>
      <c r="II126" s="55"/>
      <c r="IJ126" s="55"/>
      <c r="IK126" s="55"/>
      <c r="IL126" s="55"/>
      <c r="IM126" s="55"/>
      <c r="IN126" s="55"/>
      <c r="IO126" s="55"/>
      <c r="IP126" s="55"/>
      <c r="IQ126" s="55"/>
      <c r="IR126" s="55"/>
      <c r="IS126" s="55"/>
      <c r="IT126" s="55"/>
      <c r="IU126" s="55"/>
      <c r="IV126" s="55"/>
      <c r="IW126" s="55"/>
      <c r="IX126" s="55"/>
      <c r="IY126" s="55"/>
      <c r="IZ126" s="55"/>
      <c r="JA126" s="55"/>
      <c r="JB126" s="55"/>
      <c r="JC126" s="55"/>
      <c r="JD126" s="55">
        <v>2017</v>
      </c>
    </row>
    <row r="127" spans="1:265" s="5" customFormat="1" ht="24.95" hidden="1" customHeight="1">
      <c r="A127" s="26" t="s">
        <v>103</v>
      </c>
      <c r="B127" s="26" t="s">
        <v>27</v>
      </c>
      <c r="C127" s="13" t="s">
        <v>352</v>
      </c>
      <c r="D127" s="13" t="s">
        <v>377</v>
      </c>
      <c r="E127" s="16" t="s">
        <v>378</v>
      </c>
      <c r="F127" s="13" t="s">
        <v>378</v>
      </c>
      <c r="G127" s="39" t="s">
        <v>354</v>
      </c>
      <c r="H127" s="13" t="s">
        <v>1545</v>
      </c>
      <c r="I127" s="313" t="s">
        <v>121</v>
      </c>
      <c r="J127" s="26">
        <v>9</v>
      </c>
      <c r="K127" s="49" t="s">
        <v>375</v>
      </c>
      <c r="L127" s="26" t="s">
        <v>120</v>
      </c>
      <c r="M127" s="20" t="s">
        <v>121</v>
      </c>
      <c r="N127" s="20"/>
      <c r="O127" s="13" t="s">
        <v>3</v>
      </c>
      <c r="P127" s="13" t="s">
        <v>4</v>
      </c>
      <c r="Q127" s="22" t="s">
        <v>1118</v>
      </c>
      <c r="R127" s="26" t="s">
        <v>120</v>
      </c>
      <c r="S127" s="22" t="s">
        <v>1383</v>
      </c>
      <c r="T127" s="22" t="s">
        <v>1387</v>
      </c>
      <c r="U127" s="13" t="s">
        <v>479</v>
      </c>
      <c r="V127" s="22" t="s">
        <v>1384</v>
      </c>
      <c r="W127" s="13"/>
      <c r="X127" s="13"/>
      <c r="Y127" s="13"/>
      <c r="Z127" s="13"/>
      <c r="AA127" s="41"/>
      <c r="AB127" s="45">
        <v>340000</v>
      </c>
      <c r="AC127" s="29">
        <v>0</v>
      </c>
      <c r="AD127" s="41">
        <v>340000</v>
      </c>
      <c r="AE127" s="29">
        <v>0</v>
      </c>
      <c r="AF127" s="29">
        <f t="shared" si="47"/>
        <v>340000</v>
      </c>
      <c r="AG127" s="25">
        <v>0.12</v>
      </c>
      <c r="AH127" s="29">
        <f t="shared" si="56"/>
        <v>40800</v>
      </c>
      <c r="AI127" s="29">
        <f t="shared" si="63"/>
        <v>0</v>
      </c>
      <c r="AJ127" s="29">
        <f t="shared" si="64"/>
        <v>380800.00000000006</v>
      </c>
      <c r="AK127" s="29">
        <v>314194</v>
      </c>
      <c r="AL127" s="29">
        <f t="shared" si="65"/>
        <v>25806</v>
      </c>
      <c r="AM127" s="29"/>
      <c r="AN127" s="41"/>
      <c r="AO127" s="41">
        <v>340000</v>
      </c>
      <c r="AP127" s="41"/>
      <c r="AQ127" s="41">
        <v>314794</v>
      </c>
      <c r="AR127" s="41"/>
      <c r="AS127" s="41"/>
      <c r="AT127" s="41"/>
      <c r="AU127" s="41"/>
      <c r="AV127" s="41"/>
      <c r="AW127" s="41"/>
      <c r="AX127" s="41"/>
      <c r="AY127" s="41"/>
      <c r="AZ127" s="41"/>
      <c r="BA127" s="41"/>
      <c r="BB127" s="41"/>
      <c r="BC127" s="41"/>
      <c r="BD127" s="37"/>
      <c r="BE127" s="37"/>
      <c r="BF127" s="29">
        <f t="shared" si="59"/>
        <v>25206</v>
      </c>
      <c r="BG127" s="29">
        <f t="shared" si="57"/>
        <v>25206</v>
      </c>
      <c r="BH127" s="37" t="s">
        <v>594</v>
      </c>
      <c r="BI127" s="29" t="s">
        <v>570</v>
      </c>
      <c r="BJ127" s="29" t="s">
        <v>570</v>
      </c>
      <c r="BK127" s="29" t="s">
        <v>570</v>
      </c>
      <c r="BL127" s="29" t="s">
        <v>570</v>
      </c>
      <c r="BM127" s="29" t="s">
        <v>570</v>
      </c>
      <c r="BN127" s="23">
        <v>42690</v>
      </c>
      <c r="BO127" s="23">
        <v>42708</v>
      </c>
      <c r="BP127" s="23">
        <v>42713</v>
      </c>
      <c r="BQ127" s="23">
        <v>42718</v>
      </c>
      <c r="BR127" s="13" t="s">
        <v>570</v>
      </c>
      <c r="BS127" s="23">
        <v>42728</v>
      </c>
      <c r="BT127" s="23">
        <v>42732</v>
      </c>
      <c r="BU127" s="13" t="s">
        <v>570</v>
      </c>
      <c r="BV127" s="13" t="s">
        <v>570</v>
      </c>
      <c r="BW127" s="224" t="s">
        <v>570</v>
      </c>
      <c r="BX127" s="23">
        <v>42821</v>
      </c>
      <c r="BY127" s="13" t="s">
        <v>570</v>
      </c>
      <c r="BZ127" s="23">
        <v>42843</v>
      </c>
      <c r="CA127" s="23">
        <v>42879</v>
      </c>
      <c r="CB127" s="224" t="s">
        <v>570</v>
      </c>
      <c r="CC127" s="224" t="s">
        <v>570</v>
      </c>
      <c r="CD127" s="224" t="s">
        <v>570</v>
      </c>
      <c r="CE127" s="13"/>
      <c r="CF127" s="13"/>
      <c r="CG127" s="13"/>
      <c r="CH127" s="13"/>
      <c r="CI127" s="13"/>
      <c r="CJ127" s="13"/>
      <c r="CK127" s="13"/>
      <c r="CL127" s="13"/>
      <c r="CM127" s="13"/>
      <c r="CN127" s="13"/>
      <c r="CO127" s="13"/>
      <c r="CP127" s="13"/>
      <c r="CQ127" s="13"/>
      <c r="CR127" s="13"/>
      <c r="CS127" s="13"/>
      <c r="CT127" s="37" t="s">
        <v>452</v>
      </c>
      <c r="CU127" s="25">
        <v>0.05</v>
      </c>
      <c r="CV127" s="23"/>
      <c r="CW127" s="30"/>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31">
        <f t="shared" si="61"/>
        <v>0</v>
      </c>
      <c r="DZ127" s="13"/>
      <c r="EA127" s="13"/>
      <c r="EB127" s="13"/>
      <c r="EC127" s="13"/>
      <c r="ED127" s="13"/>
      <c r="EE127" s="13"/>
      <c r="EF127" s="13"/>
      <c r="EG127" s="13">
        <v>180</v>
      </c>
      <c r="EH127" s="13" t="s">
        <v>588</v>
      </c>
      <c r="EI127" s="13" t="s">
        <v>503</v>
      </c>
      <c r="EJ127" s="13" t="s">
        <v>503</v>
      </c>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25"/>
      <c r="FI127" s="25"/>
      <c r="FJ127" s="25"/>
      <c r="FK127" s="25"/>
      <c r="FL127" s="25"/>
      <c r="FM127" s="25"/>
      <c r="FN127" s="25"/>
      <c r="FO127" s="25"/>
      <c r="FP127" s="25"/>
      <c r="FQ127" s="25"/>
      <c r="FR127" s="25"/>
      <c r="FS127" s="25"/>
      <c r="FT127" s="25"/>
      <c r="FU127" s="25"/>
      <c r="FV127" s="25"/>
      <c r="FW127" s="25"/>
      <c r="FX127" s="25"/>
      <c r="FY127" s="25"/>
      <c r="FZ127" s="25"/>
      <c r="GA127" s="25">
        <v>0.15</v>
      </c>
      <c r="GB127" s="25">
        <v>0.15</v>
      </c>
      <c r="GC127" s="25">
        <v>0.15</v>
      </c>
      <c r="GD127" s="25">
        <v>0.95</v>
      </c>
      <c r="GE127" s="25">
        <v>0.95</v>
      </c>
      <c r="GF127" s="25">
        <v>0.95</v>
      </c>
      <c r="GG127" s="25">
        <v>0.95</v>
      </c>
      <c r="GH127" s="25">
        <v>0.99</v>
      </c>
      <c r="GI127" s="25">
        <v>1</v>
      </c>
      <c r="GJ127" s="25">
        <v>1</v>
      </c>
      <c r="GK127" s="25">
        <v>1</v>
      </c>
      <c r="GL127" s="25">
        <v>1</v>
      </c>
      <c r="GM127" s="25">
        <v>1</v>
      </c>
      <c r="GN127" s="25">
        <v>1</v>
      </c>
      <c r="GO127" s="25">
        <v>1</v>
      </c>
      <c r="GP127" s="25">
        <v>1</v>
      </c>
      <c r="GQ127" s="25">
        <v>1</v>
      </c>
      <c r="GR127" s="25">
        <v>1</v>
      </c>
      <c r="GS127" s="25">
        <v>1</v>
      </c>
      <c r="GT127" s="25">
        <v>1</v>
      </c>
      <c r="GU127" s="25">
        <v>1</v>
      </c>
      <c r="GV127" s="25" t="s">
        <v>1588</v>
      </c>
      <c r="GW127" s="25" t="s">
        <v>1588</v>
      </c>
      <c r="GX127" s="25" t="s">
        <v>1588</v>
      </c>
      <c r="GY127" s="25" t="s">
        <v>1588</v>
      </c>
      <c r="GZ127" s="25" t="s">
        <v>1588</v>
      </c>
      <c r="HA127" s="25" t="s">
        <v>1588</v>
      </c>
      <c r="HB127" s="25" t="s">
        <v>1588</v>
      </c>
      <c r="HC127" s="25" t="s">
        <v>455</v>
      </c>
      <c r="HD127" s="25" t="s">
        <v>455</v>
      </c>
      <c r="HE127" s="25" t="s">
        <v>455</v>
      </c>
      <c r="HF127" s="25" t="s">
        <v>455</v>
      </c>
      <c r="HG127" s="25" t="s">
        <v>455</v>
      </c>
      <c r="HH127" s="25" t="s">
        <v>455</v>
      </c>
      <c r="HI127" s="25" t="s">
        <v>1642</v>
      </c>
      <c r="HJ127" s="25"/>
      <c r="HK127" s="25"/>
      <c r="HL127" s="25" t="s">
        <v>1715</v>
      </c>
      <c r="HM127" s="25" t="s">
        <v>1744</v>
      </c>
      <c r="HN127" s="25" t="s">
        <v>1774</v>
      </c>
      <c r="HO127" s="25" t="s">
        <v>1884</v>
      </c>
      <c r="HP127" s="25"/>
      <c r="HQ127" s="25"/>
      <c r="HR127" s="25"/>
      <c r="HS127" s="25"/>
      <c r="HT127" s="25"/>
      <c r="HU127" s="13"/>
      <c r="HV127" s="13"/>
      <c r="HW127" s="13" t="s">
        <v>1202</v>
      </c>
      <c r="HX127" s="55"/>
      <c r="HY127" s="55"/>
      <c r="HZ127" s="55"/>
      <c r="IA127" s="55"/>
      <c r="IB127" s="55"/>
      <c r="IC127" s="55"/>
      <c r="ID127" s="55"/>
      <c r="IE127" s="55"/>
      <c r="IF127" s="107">
        <v>340000</v>
      </c>
      <c r="IG127" s="107"/>
      <c r="IH127" s="250">
        <f t="shared" si="66"/>
        <v>314194</v>
      </c>
      <c r="II127" s="55"/>
      <c r="IJ127" s="55"/>
      <c r="IK127" s="55"/>
      <c r="IL127" s="55"/>
      <c r="IM127" s="55"/>
      <c r="IN127" s="55"/>
      <c r="IO127" s="55"/>
      <c r="IP127" s="55"/>
      <c r="IQ127" s="55"/>
      <c r="IR127" s="55"/>
      <c r="IS127" s="55"/>
      <c r="IT127" s="55"/>
      <c r="IU127" s="55"/>
      <c r="IV127" s="55"/>
      <c r="IW127" s="55"/>
      <c r="IX127" s="55"/>
      <c r="IY127" s="55"/>
      <c r="IZ127" s="55"/>
      <c r="JA127" s="55"/>
      <c r="JB127" s="55"/>
      <c r="JC127" s="55"/>
      <c r="JD127" s="55">
        <v>2018</v>
      </c>
    </row>
    <row r="128" spans="1:265" s="5" customFormat="1" ht="39" hidden="1" customHeight="1">
      <c r="A128" s="26" t="s">
        <v>5</v>
      </c>
      <c r="B128" s="26" t="s">
        <v>27</v>
      </c>
      <c r="C128" s="13" t="s">
        <v>352</v>
      </c>
      <c r="D128" s="13" t="s">
        <v>377</v>
      </c>
      <c r="E128" s="16" t="s">
        <v>355</v>
      </c>
      <c r="F128" s="13" t="s">
        <v>355</v>
      </c>
      <c r="G128" s="33" t="s">
        <v>354</v>
      </c>
      <c r="H128" s="28" t="s">
        <v>1546</v>
      </c>
      <c r="I128" s="15" t="s">
        <v>999</v>
      </c>
      <c r="J128" s="154">
        <v>2</v>
      </c>
      <c r="K128" s="49" t="s">
        <v>375</v>
      </c>
      <c r="L128" s="26" t="s">
        <v>1907</v>
      </c>
      <c r="M128" s="20" t="s">
        <v>122</v>
      </c>
      <c r="N128" s="20"/>
      <c r="O128" s="13" t="s">
        <v>3</v>
      </c>
      <c r="P128" s="13" t="s">
        <v>4</v>
      </c>
      <c r="Q128" s="22" t="s">
        <v>1118</v>
      </c>
      <c r="R128" s="26" t="s">
        <v>1907</v>
      </c>
      <c r="S128" s="13" t="s">
        <v>775</v>
      </c>
      <c r="T128" s="13" t="s">
        <v>1387</v>
      </c>
      <c r="U128" s="13" t="s">
        <v>477</v>
      </c>
      <c r="V128" s="24">
        <v>1715537179001</v>
      </c>
      <c r="W128" s="22" t="s">
        <v>503</v>
      </c>
      <c r="X128" s="22" t="s">
        <v>503</v>
      </c>
      <c r="Y128" s="13" t="s">
        <v>926</v>
      </c>
      <c r="Z128" s="22" t="s">
        <v>503</v>
      </c>
      <c r="AA128" s="41"/>
      <c r="AB128" s="64">
        <v>41000</v>
      </c>
      <c r="AC128" s="29">
        <v>0</v>
      </c>
      <c r="AD128" s="65">
        <v>41000</v>
      </c>
      <c r="AE128" s="29">
        <v>0</v>
      </c>
      <c r="AF128" s="29">
        <f t="shared" si="47"/>
        <v>41000</v>
      </c>
      <c r="AG128" s="25">
        <v>0.12</v>
      </c>
      <c r="AH128" s="29">
        <f t="shared" si="56"/>
        <v>4920</v>
      </c>
      <c r="AI128" s="29">
        <f t="shared" si="63"/>
        <v>0</v>
      </c>
      <c r="AJ128" s="29">
        <f t="shared" si="64"/>
        <v>45920.000000000007</v>
      </c>
      <c r="AK128" s="29">
        <v>35007.24</v>
      </c>
      <c r="AL128" s="29">
        <f t="shared" si="65"/>
        <v>5992.760000000002</v>
      </c>
      <c r="AM128" s="29"/>
      <c r="AN128" s="41"/>
      <c r="AO128" s="41">
        <v>35817.089999999997</v>
      </c>
      <c r="AP128" s="41"/>
      <c r="AQ128" s="41">
        <v>35178.089999999997</v>
      </c>
      <c r="AR128" s="25">
        <v>0.14000000000000001</v>
      </c>
      <c r="AS128" s="41">
        <f>AQ128*0.14</f>
        <v>4924.9326000000001</v>
      </c>
      <c r="AT128" s="41">
        <f>AQ128*1.14</f>
        <v>40103.022599999989</v>
      </c>
      <c r="AU128" s="41"/>
      <c r="AV128" s="41"/>
      <c r="AW128" s="41"/>
      <c r="AX128" s="41"/>
      <c r="AY128" s="41"/>
      <c r="AZ128" s="41"/>
      <c r="BA128" s="41" t="s">
        <v>503</v>
      </c>
      <c r="BB128" s="41" t="s">
        <v>503</v>
      </c>
      <c r="BC128" s="41">
        <v>6150</v>
      </c>
      <c r="BD128" s="37">
        <f>BC128*0.14</f>
        <v>861.00000000000011</v>
      </c>
      <c r="BE128" s="37"/>
      <c r="BF128" s="29">
        <f t="shared" si="59"/>
        <v>5821.9100000000035</v>
      </c>
      <c r="BG128" s="29">
        <f t="shared" si="57"/>
        <v>-328.08999999999651</v>
      </c>
      <c r="BH128" s="37" t="s">
        <v>594</v>
      </c>
      <c r="BI128" s="29" t="s">
        <v>570</v>
      </c>
      <c r="BJ128" s="29" t="s">
        <v>570</v>
      </c>
      <c r="BK128" s="29" t="s">
        <v>570</v>
      </c>
      <c r="BL128" s="29" t="s">
        <v>570</v>
      </c>
      <c r="BM128" s="29" t="s">
        <v>570</v>
      </c>
      <c r="BN128" s="23">
        <v>42319</v>
      </c>
      <c r="BO128" s="23">
        <v>42321</v>
      </c>
      <c r="BP128" s="23">
        <v>42326</v>
      </c>
      <c r="BQ128" s="23">
        <v>42338</v>
      </c>
      <c r="BR128" s="13" t="s">
        <v>570</v>
      </c>
      <c r="BS128" s="23">
        <v>42346</v>
      </c>
      <c r="BT128" s="23">
        <v>42349</v>
      </c>
      <c r="BU128" s="13" t="s">
        <v>570</v>
      </c>
      <c r="BV128" s="13" t="s">
        <v>570</v>
      </c>
      <c r="BW128" s="224" t="s">
        <v>570</v>
      </c>
      <c r="BX128" s="23">
        <v>42349</v>
      </c>
      <c r="BY128" s="13" t="s">
        <v>570</v>
      </c>
      <c r="BZ128" s="23">
        <v>42352</v>
      </c>
      <c r="CA128" s="23">
        <v>42390</v>
      </c>
      <c r="CB128" s="224" t="s">
        <v>570</v>
      </c>
      <c r="CC128" s="224" t="s">
        <v>570</v>
      </c>
      <c r="CD128" s="224" t="s">
        <v>570</v>
      </c>
      <c r="CE128" s="13"/>
      <c r="CF128" s="127" t="s">
        <v>829</v>
      </c>
      <c r="CG128" s="13"/>
      <c r="CH128" s="13"/>
      <c r="CI128" s="13"/>
      <c r="CJ128" s="13"/>
      <c r="CK128" s="13"/>
      <c r="CL128" s="13"/>
      <c r="CM128" s="13"/>
      <c r="CN128" s="13"/>
      <c r="CO128" s="13"/>
      <c r="CP128" s="13"/>
      <c r="CQ128" s="13"/>
      <c r="CR128" s="127" t="s">
        <v>829</v>
      </c>
      <c r="CS128" s="13" t="s">
        <v>570</v>
      </c>
      <c r="CT128" s="13" t="s">
        <v>503</v>
      </c>
      <c r="CU128" s="13" t="s">
        <v>503</v>
      </c>
      <c r="CV128" s="23">
        <v>42823</v>
      </c>
      <c r="CW128" s="30">
        <v>17589.05</v>
      </c>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31">
        <f t="shared" si="61"/>
        <v>17589.05</v>
      </c>
      <c r="DZ128" s="13"/>
      <c r="EA128" s="13"/>
      <c r="EB128" s="13"/>
      <c r="EC128" s="13"/>
      <c r="ED128" s="13"/>
      <c r="EE128" s="13"/>
      <c r="EF128" s="13"/>
      <c r="EG128" s="13">
        <v>60</v>
      </c>
      <c r="EH128" s="13" t="s">
        <v>588</v>
      </c>
      <c r="EI128" s="23">
        <f t="shared" ref="EI128:EI136" si="67">CV128+1</f>
        <v>42824</v>
      </c>
      <c r="EJ128" s="23">
        <f t="shared" ref="EJ128:EJ136" si="68">EI128+EG128</f>
        <v>42884</v>
      </c>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25"/>
      <c r="FL128" s="25"/>
      <c r="FM128" s="25"/>
      <c r="FN128" s="25"/>
      <c r="FO128" s="25"/>
      <c r="FP128" s="25"/>
      <c r="FQ128" s="25"/>
      <c r="FR128" s="25"/>
      <c r="FS128" s="25"/>
      <c r="FT128" s="25"/>
      <c r="FU128" s="25"/>
      <c r="FV128" s="25">
        <v>0.1</v>
      </c>
      <c r="FW128" s="25">
        <v>0.1</v>
      </c>
      <c r="FX128" s="25">
        <v>0.1</v>
      </c>
      <c r="FY128" s="25">
        <v>1</v>
      </c>
      <c r="FZ128" s="25">
        <v>1</v>
      </c>
      <c r="GA128" s="25">
        <v>1</v>
      </c>
      <c r="GB128" s="25">
        <v>1</v>
      </c>
      <c r="GC128" s="25">
        <v>1</v>
      </c>
      <c r="GD128" s="25">
        <v>1</v>
      </c>
      <c r="GE128" s="25">
        <v>1</v>
      </c>
      <c r="GF128" s="25">
        <v>1</v>
      </c>
      <c r="GG128" s="25">
        <v>1</v>
      </c>
      <c r="GH128" s="25">
        <v>1</v>
      </c>
      <c r="GI128" s="25">
        <v>1</v>
      </c>
      <c r="GJ128" s="25">
        <v>1</v>
      </c>
      <c r="GK128" s="25">
        <v>1</v>
      </c>
      <c r="GL128" s="25">
        <v>1</v>
      </c>
      <c r="GM128" s="25">
        <v>1</v>
      </c>
      <c r="GN128" s="25">
        <v>1</v>
      </c>
      <c r="GO128" s="25">
        <v>1</v>
      </c>
      <c r="GP128" s="25">
        <v>1</v>
      </c>
      <c r="GQ128" s="25">
        <v>1</v>
      </c>
      <c r="GR128" s="25">
        <v>1</v>
      </c>
      <c r="GS128" s="25">
        <v>1</v>
      </c>
      <c r="GT128" s="25">
        <v>1</v>
      </c>
      <c r="GU128" s="25">
        <v>1</v>
      </c>
      <c r="GV128" s="25" t="s">
        <v>455</v>
      </c>
      <c r="GW128" s="25" t="s">
        <v>455</v>
      </c>
      <c r="GX128" s="25" t="s">
        <v>455</v>
      </c>
      <c r="GY128" s="25" t="s">
        <v>455</v>
      </c>
      <c r="GZ128" s="25" t="s">
        <v>455</v>
      </c>
      <c r="HA128" s="25" t="s">
        <v>455</v>
      </c>
      <c r="HB128" s="25" t="s">
        <v>455</v>
      </c>
      <c r="HC128" s="25" t="s">
        <v>455</v>
      </c>
      <c r="HD128" s="25" t="s">
        <v>455</v>
      </c>
      <c r="HE128" s="25" t="s">
        <v>455</v>
      </c>
      <c r="HF128" s="25" t="s">
        <v>455</v>
      </c>
      <c r="HG128" s="25" t="s">
        <v>455</v>
      </c>
      <c r="HH128" s="25" t="s">
        <v>455</v>
      </c>
      <c r="HI128" s="25"/>
      <c r="HJ128" s="25"/>
      <c r="HK128" s="25"/>
      <c r="HL128" s="25"/>
      <c r="HM128" s="25"/>
      <c r="HN128" s="25"/>
      <c r="HO128" s="25"/>
      <c r="HP128" s="25"/>
      <c r="HQ128" s="25"/>
      <c r="HR128" s="25"/>
      <c r="HS128" s="25"/>
      <c r="HT128" s="25"/>
      <c r="HU128" s="13"/>
      <c r="HV128" s="13"/>
      <c r="HW128" s="16" t="s">
        <v>1053</v>
      </c>
      <c r="HX128" s="55"/>
      <c r="HY128" s="55"/>
      <c r="HZ128" s="55"/>
      <c r="IA128" s="55"/>
      <c r="IB128" s="55"/>
      <c r="IC128" s="55"/>
      <c r="ID128" s="55"/>
      <c r="IE128" s="55"/>
      <c r="IF128" s="107">
        <v>41000</v>
      </c>
      <c r="IG128" s="107">
        <v>35007.24</v>
      </c>
      <c r="IH128" s="250">
        <f t="shared" si="66"/>
        <v>0</v>
      </c>
      <c r="II128" s="55"/>
      <c r="IJ128" s="55"/>
      <c r="IK128" s="55"/>
      <c r="IL128" s="55"/>
      <c r="IM128" s="55"/>
      <c r="IN128" s="55"/>
      <c r="IO128" s="55"/>
      <c r="IP128" s="55"/>
      <c r="IQ128" s="55"/>
      <c r="IR128" s="55"/>
      <c r="IS128" s="55"/>
      <c r="IT128" s="55"/>
      <c r="IU128" s="55"/>
      <c r="IV128" s="55"/>
      <c r="IW128" s="55"/>
      <c r="IX128" s="55"/>
      <c r="IY128" s="55"/>
      <c r="IZ128" s="55"/>
      <c r="JA128" s="55"/>
      <c r="JB128" s="55"/>
      <c r="JC128" s="55"/>
      <c r="JD128" s="55">
        <v>2017</v>
      </c>
    </row>
    <row r="129" spans="1:264" s="5" customFormat="1" ht="24.95" hidden="1" customHeight="1">
      <c r="A129" s="26" t="s">
        <v>5</v>
      </c>
      <c r="B129" s="26" t="s">
        <v>27</v>
      </c>
      <c r="C129" s="13" t="s">
        <v>349</v>
      </c>
      <c r="D129" s="13" t="s">
        <v>382</v>
      </c>
      <c r="E129" s="13" t="s">
        <v>360</v>
      </c>
      <c r="F129" s="13" t="s">
        <v>360</v>
      </c>
      <c r="G129" s="39" t="s">
        <v>354</v>
      </c>
      <c r="H129" s="13" t="s">
        <v>1547</v>
      </c>
      <c r="I129" s="313" t="s">
        <v>124</v>
      </c>
      <c r="J129" s="154">
        <v>3</v>
      </c>
      <c r="K129" s="49" t="s">
        <v>375</v>
      </c>
      <c r="L129" s="26" t="s">
        <v>123</v>
      </c>
      <c r="M129" s="20" t="s">
        <v>124</v>
      </c>
      <c r="N129" s="20"/>
      <c r="O129" s="13" t="s">
        <v>3</v>
      </c>
      <c r="P129" s="13" t="s">
        <v>4</v>
      </c>
      <c r="Q129" s="22" t="s">
        <v>1118</v>
      </c>
      <c r="R129" s="26" t="s">
        <v>123</v>
      </c>
      <c r="S129" s="13" t="s">
        <v>719</v>
      </c>
      <c r="T129" s="13" t="s">
        <v>1387</v>
      </c>
      <c r="U129" s="13" t="s">
        <v>477</v>
      </c>
      <c r="V129" s="13" t="s">
        <v>720</v>
      </c>
      <c r="W129" s="13" t="s">
        <v>503</v>
      </c>
      <c r="X129" s="13" t="s">
        <v>503</v>
      </c>
      <c r="Y129" s="13" t="s">
        <v>968</v>
      </c>
      <c r="Z129" s="13" t="s">
        <v>1055</v>
      </c>
      <c r="AA129" s="64"/>
      <c r="AB129" s="64">
        <v>486379.27</v>
      </c>
      <c r="AC129" s="29">
        <v>0</v>
      </c>
      <c r="AD129" s="65">
        <v>459294.63</v>
      </c>
      <c r="AE129" s="29">
        <v>0</v>
      </c>
      <c r="AF129" s="29">
        <f t="shared" si="47"/>
        <v>459294.63</v>
      </c>
      <c r="AG129" s="25">
        <v>0.12</v>
      </c>
      <c r="AH129" s="29">
        <f t="shared" si="56"/>
        <v>55115.355599999995</v>
      </c>
      <c r="AI129" s="29">
        <f t="shared" si="63"/>
        <v>0</v>
      </c>
      <c r="AJ129" s="29">
        <f t="shared" si="64"/>
        <v>514409.98560000007</v>
      </c>
      <c r="AK129" s="29">
        <v>449737.81999999995</v>
      </c>
      <c r="AL129" s="29">
        <f t="shared" si="65"/>
        <v>36641.45000000007</v>
      </c>
      <c r="AM129" s="29"/>
      <c r="AN129" s="65"/>
      <c r="AO129" s="65">
        <v>459294.63</v>
      </c>
      <c r="AP129" s="65"/>
      <c r="AQ129" s="65">
        <v>453048.64</v>
      </c>
      <c r="AR129" s="25">
        <v>0.12</v>
      </c>
      <c r="AS129" s="41">
        <f>AQ129*0.12</f>
        <v>54365.836799999997</v>
      </c>
      <c r="AT129" s="65">
        <f>AQ129*1.12</f>
        <v>507414.47680000006</v>
      </c>
      <c r="AU129" s="65"/>
      <c r="AV129" s="65"/>
      <c r="AW129" s="65"/>
      <c r="AX129" s="65"/>
      <c r="AY129" s="65"/>
      <c r="AZ129" s="65"/>
      <c r="BA129" s="41" t="s">
        <v>503</v>
      </c>
      <c r="BB129" s="41" t="s">
        <v>503</v>
      </c>
      <c r="BC129" s="66"/>
      <c r="BD129" s="67"/>
      <c r="BE129" s="65"/>
      <c r="BF129" s="29">
        <f t="shared" si="59"/>
        <v>33330.630000000005</v>
      </c>
      <c r="BG129" s="29">
        <f t="shared" si="57"/>
        <v>33330.630000000005</v>
      </c>
      <c r="BH129" s="37" t="s">
        <v>594</v>
      </c>
      <c r="BI129" s="29" t="s">
        <v>570</v>
      </c>
      <c r="BJ129" s="29" t="s">
        <v>570</v>
      </c>
      <c r="BK129" s="29" t="s">
        <v>570</v>
      </c>
      <c r="BL129" s="29" t="s">
        <v>570</v>
      </c>
      <c r="BM129" s="29" t="s">
        <v>570</v>
      </c>
      <c r="BN129" s="23">
        <v>42237</v>
      </c>
      <c r="BO129" s="23">
        <v>42243</v>
      </c>
      <c r="BP129" s="23">
        <v>42248</v>
      </c>
      <c r="BQ129" s="23">
        <v>42269</v>
      </c>
      <c r="BR129" s="13" t="s">
        <v>570</v>
      </c>
      <c r="BS129" s="23">
        <v>42278</v>
      </c>
      <c r="BT129" s="23">
        <v>42292</v>
      </c>
      <c r="BU129" s="13" t="s">
        <v>570</v>
      </c>
      <c r="BV129" s="13" t="s">
        <v>570</v>
      </c>
      <c r="BW129" s="224" t="s">
        <v>570</v>
      </c>
      <c r="BX129" s="23">
        <v>42658</v>
      </c>
      <c r="BY129" s="13" t="s">
        <v>570</v>
      </c>
      <c r="BZ129" s="13" t="s">
        <v>503</v>
      </c>
      <c r="CA129" s="23">
        <v>42332</v>
      </c>
      <c r="CB129" s="224" t="s">
        <v>570</v>
      </c>
      <c r="CC129" s="224" t="s">
        <v>570</v>
      </c>
      <c r="CD129" s="224" t="s">
        <v>570</v>
      </c>
      <c r="CE129" s="13"/>
      <c r="CF129" s="127" t="s">
        <v>829</v>
      </c>
      <c r="CG129" s="13"/>
      <c r="CH129" s="13"/>
      <c r="CI129" s="13"/>
      <c r="CJ129" s="13"/>
      <c r="CK129" s="13"/>
      <c r="CL129" s="13"/>
      <c r="CM129" s="13"/>
      <c r="CN129" s="13"/>
      <c r="CO129" s="13"/>
      <c r="CP129" s="13"/>
      <c r="CQ129" s="13"/>
      <c r="CR129" s="127" t="s">
        <v>829</v>
      </c>
      <c r="CS129" s="13" t="s">
        <v>570</v>
      </c>
      <c r="CT129" s="65" t="s">
        <v>452</v>
      </c>
      <c r="CU129" s="25">
        <v>0.05</v>
      </c>
      <c r="CV129" s="23">
        <v>42352</v>
      </c>
      <c r="CW129" s="30">
        <f>AQ129*0.5</f>
        <v>226524.32</v>
      </c>
      <c r="CX129" s="13" t="s">
        <v>800</v>
      </c>
      <c r="CY129" s="23">
        <v>42709</v>
      </c>
      <c r="CZ129" s="37">
        <f>141082.16+30137.3+10000-90609.73</f>
        <v>90609.73</v>
      </c>
      <c r="DA129" s="13" t="s">
        <v>801</v>
      </c>
      <c r="DB129" s="23">
        <v>42709</v>
      </c>
      <c r="DC129" s="37">
        <f>141082.16+30137.3+10000-90609.73</f>
        <v>90609.73</v>
      </c>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31">
        <f t="shared" si="61"/>
        <v>407743.77999999997</v>
      </c>
      <c r="DZ129" s="13"/>
      <c r="EA129" s="13"/>
      <c r="EB129" s="13"/>
      <c r="EC129" s="13"/>
      <c r="ED129" s="13"/>
      <c r="EE129" s="13"/>
      <c r="EF129" s="13"/>
      <c r="EG129" s="13">
        <v>210</v>
      </c>
      <c r="EH129" s="13" t="s">
        <v>588</v>
      </c>
      <c r="EI129" s="23">
        <f t="shared" si="67"/>
        <v>42353</v>
      </c>
      <c r="EJ129" s="23">
        <f t="shared" si="68"/>
        <v>42563</v>
      </c>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25"/>
      <c r="FJ129" s="25">
        <v>0.01</v>
      </c>
      <c r="FK129" s="25">
        <v>7.0000000000000007E-2</v>
      </c>
      <c r="FL129" s="25">
        <v>7.0000000000000007E-2</v>
      </c>
      <c r="FM129" s="25">
        <v>7.0000000000000007E-2</v>
      </c>
      <c r="FN129" s="25">
        <v>7.0000000000000007E-2</v>
      </c>
      <c r="FO129" s="25">
        <v>0.3</v>
      </c>
      <c r="FP129" s="25">
        <v>0.5</v>
      </c>
      <c r="FQ129" s="25">
        <v>0.6</v>
      </c>
      <c r="FR129" s="25">
        <v>0.75</v>
      </c>
      <c r="FS129" s="25">
        <v>1</v>
      </c>
      <c r="FT129" s="25">
        <v>1</v>
      </c>
      <c r="FU129" s="25">
        <v>1</v>
      </c>
      <c r="FV129" s="25">
        <v>1</v>
      </c>
      <c r="FW129" s="25">
        <v>1</v>
      </c>
      <c r="FX129" s="25">
        <v>1</v>
      </c>
      <c r="FY129" s="25">
        <v>1</v>
      </c>
      <c r="FZ129" s="25">
        <v>1</v>
      </c>
      <c r="GA129" s="25">
        <v>1</v>
      </c>
      <c r="GB129" s="25">
        <v>1</v>
      </c>
      <c r="GC129" s="25">
        <v>1</v>
      </c>
      <c r="GD129" s="25">
        <v>1</v>
      </c>
      <c r="GE129" s="25">
        <v>1</v>
      </c>
      <c r="GF129" s="25">
        <v>1</v>
      </c>
      <c r="GG129" s="25">
        <v>1</v>
      </c>
      <c r="GH129" s="25">
        <v>1</v>
      </c>
      <c r="GI129" s="25">
        <v>1</v>
      </c>
      <c r="GJ129" s="25">
        <v>1</v>
      </c>
      <c r="GK129" s="25">
        <v>1</v>
      </c>
      <c r="GL129" s="25">
        <v>1</v>
      </c>
      <c r="GM129" s="25">
        <v>1</v>
      </c>
      <c r="GN129" s="25">
        <v>1</v>
      </c>
      <c r="GO129" s="25">
        <v>1</v>
      </c>
      <c r="GP129" s="25">
        <v>1</v>
      </c>
      <c r="GQ129" s="25">
        <v>1</v>
      </c>
      <c r="GR129" s="25">
        <v>1</v>
      </c>
      <c r="GS129" s="25">
        <v>1</v>
      </c>
      <c r="GT129" s="25">
        <v>1</v>
      </c>
      <c r="GU129" s="25">
        <v>1</v>
      </c>
      <c r="GV129" s="25" t="s">
        <v>1588</v>
      </c>
      <c r="GW129" s="25" t="s">
        <v>455</v>
      </c>
      <c r="GX129" s="25" t="s">
        <v>455</v>
      </c>
      <c r="GY129" s="25" t="s">
        <v>455</v>
      </c>
      <c r="GZ129" s="25" t="s">
        <v>455</v>
      </c>
      <c r="HA129" s="25" t="s">
        <v>455</v>
      </c>
      <c r="HB129" s="25" t="s">
        <v>455</v>
      </c>
      <c r="HC129" s="25" t="s">
        <v>455</v>
      </c>
      <c r="HD129" s="25" t="s">
        <v>455</v>
      </c>
      <c r="HE129" s="25" t="s">
        <v>455</v>
      </c>
      <c r="HF129" s="25" t="s">
        <v>455</v>
      </c>
      <c r="HG129" s="25" t="s">
        <v>455</v>
      </c>
      <c r="HH129" s="25" t="s">
        <v>455</v>
      </c>
      <c r="HI129" s="25"/>
      <c r="HJ129" s="25"/>
      <c r="HK129" s="25"/>
      <c r="HL129" s="25"/>
      <c r="HM129" s="25"/>
      <c r="HN129" s="25"/>
      <c r="HO129" s="25"/>
      <c r="HP129" s="25"/>
      <c r="HQ129" s="25"/>
      <c r="HR129" s="25"/>
      <c r="HS129" s="25"/>
      <c r="HT129" s="25"/>
      <c r="HU129" s="13"/>
      <c r="HV129" s="13"/>
      <c r="HW129" s="32"/>
      <c r="HX129" s="55"/>
      <c r="HY129" s="55"/>
      <c r="HZ129" s="55"/>
      <c r="IA129" s="55"/>
      <c r="IB129" s="55"/>
      <c r="IC129" s="55"/>
      <c r="ID129" s="55"/>
      <c r="IE129" s="55"/>
      <c r="IF129" s="107">
        <v>486379.27</v>
      </c>
      <c r="IG129" s="107">
        <v>449737.81999999995</v>
      </c>
      <c r="IH129" s="250">
        <f t="shared" si="66"/>
        <v>0</v>
      </c>
      <c r="II129" s="55"/>
      <c r="IJ129" s="55"/>
      <c r="IK129" s="55"/>
      <c r="IL129" s="55"/>
      <c r="IM129" s="55"/>
      <c r="IN129" s="55"/>
      <c r="IO129" s="55"/>
      <c r="IP129" s="55"/>
      <c r="IQ129" s="55"/>
      <c r="IR129" s="55"/>
      <c r="IS129" s="55"/>
      <c r="IT129" s="55"/>
      <c r="IU129" s="55"/>
      <c r="IV129" s="55"/>
      <c r="IW129" s="55"/>
      <c r="IX129" s="55"/>
      <c r="IY129" s="55"/>
      <c r="IZ129" s="55"/>
      <c r="JA129" s="55"/>
      <c r="JB129" s="55"/>
      <c r="JC129" s="55"/>
      <c r="JD129" s="55">
        <v>2016</v>
      </c>
    </row>
    <row r="130" spans="1:264" s="5" customFormat="1" ht="24.95" hidden="1" customHeight="1">
      <c r="A130" s="26" t="s">
        <v>5</v>
      </c>
      <c r="B130" s="26" t="s">
        <v>27</v>
      </c>
      <c r="C130" s="13" t="s">
        <v>349</v>
      </c>
      <c r="D130" s="13" t="s">
        <v>382</v>
      </c>
      <c r="E130" s="13" t="s">
        <v>360</v>
      </c>
      <c r="F130" s="13" t="s">
        <v>360</v>
      </c>
      <c r="G130" s="39" t="s">
        <v>354</v>
      </c>
      <c r="H130" s="13" t="s">
        <v>1547</v>
      </c>
      <c r="I130" s="313" t="s">
        <v>126</v>
      </c>
      <c r="J130" s="154">
        <v>4</v>
      </c>
      <c r="K130" s="49" t="s">
        <v>375</v>
      </c>
      <c r="L130" s="26" t="s">
        <v>125</v>
      </c>
      <c r="M130" s="20" t="s">
        <v>126</v>
      </c>
      <c r="N130" s="20"/>
      <c r="O130" s="13" t="s">
        <v>3</v>
      </c>
      <c r="P130" s="13" t="s">
        <v>4</v>
      </c>
      <c r="Q130" s="22" t="s">
        <v>1118</v>
      </c>
      <c r="R130" s="26" t="s">
        <v>125</v>
      </c>
      <c r="S130" s="13" t="s">
        <v>721</v>
      </c>
      <c r="T130" s="13" t="s">
        <v>1387</v>
      </c>
      <c r="U130" s="13" t="s">
        <v>477</v>
      </c>
      <c r="V130" s="24">
        <v>1102662606001</v>
      </c>
      <c r="W130" s="13" t="s">
        <v>970</v>
      </c>
      <c r="X130" s="13" t="s">
        <v>969</v>
      </c>
      <c r="Y130" s="13" t="s">
        <v>968</v>
      </c>
      <c r="Z130" s="13" t="s">
        <v>969</v>
      </c>
      <c r="AA130" s="41"/>
      <c r="AB130" s="45">
        <v>185484.51</v>
      </c>
      <c r="AC130" s="29">
        <v>0</v>
      </c>
      <c r="AD130" s="41">
        <v>185484.51</v>
      </c>
      <c r="AE130" s="29">
        <v>0</v>
      </c>
      <c r="AF130" s="29">
        <f t="shared" si="47"/>
        <v>185484.51</v>
      </c>
      <c r="AG130" s="25">
        <v>0.12</v>
      </c>
      <c r="AH130" s="29">
        <f t="shared" si="56"/>
        <v>22258.141200000002</v>
      </c>
      <c r="AI130" s="29">
        <f t="shared" si="63"/>
        <v>0</v>
      </c>
      <c r="AJ130" s="29">
        <f t="shared" si="64"/>
        <v>207742.65120000002</v>
      </c>
      <c r="AK130" s="29">
        <v>185272.85</v>
      </c>
      <c r="AL130" s="29">
        <f t="shared" si="65"/>
        <v>211.66000000000349</v>
      </c>
      <c r="AM130" s="29"/>
      <c r="AN130" s="41"/>
      <c r="AO130" s="41">
        <v>185484.51</v>
      </c>
      <c r="AP130" s="41"/>
      <c r="AQ130" s="41">
        <v>185484.51</v>
      </c>
      <c r="AR130" s="25">
        <v>0.12</v>
      </c>
      <c r="AS130" s="41">
        <f>AQ130*0.12</f>
        <v>22258.141200000002</v>
      </c>
      <c r="AT130" s="41">
        <f>AQ130*1.12</f>
        <v>207742.65120000002</v>
      </c>
      <c r="AU130" s="41"/>
      <c r="AV130" s="41"/>
      <c r="AW130" s="41"/>
      <c r="AX130" s="41"/>
      <c r="AY130" s="41"/>
      <c r="AZ130" s="41"/>
      <c r="BA130" s="41" t="s">
        <v>503</v>
      </c>
      <c r="BB130" s="41" t="s">
        <v>503</v>
      </c>
      <c r="BC130" s="41">
        <v>27822.67</v>
      </c>
      <c r="BD130" s="37">
        <f>BC130*0.14</f>
        <v>3895.1738</v>
      </c>
      <c r="BE130" s="37"/>
      <c r="BF130" s="29">
        <f t="shared" si="59"/>
        <v>0</v>
      </c>
      <c r="BG130" s="29">
        <f t="shared" si="57"/>
        <v>-27822.67</v>
      </c>
      <c r="BH130" s="37" t="s">
        <v>594</v>
      </c>
      <c r="BI130" s="29" t="s">
        <v>570</v>
      </c>
      <c r="BJ130" s="29" t="s">
        <v>570</v>
      </c>
      <c r="BK130" s="29" t="s">
        <v>570</v>
      </c>
      <c r="BL130" s="29" t="s">
        <v>570</v>
      </c>
      <c r="BM130" s="29" t="s">
        <v>570</v>
      </c>
      <c r="BN130" s="23">
        <v>42237</v>
      </c>
      <c r="BO130" s="23">
        <v>42244</v>
      </c>
      <c r="BP130" s="23">
        <v>42249</v>
      </c>
      <c r="BQ130" s="23">
        <v>42270</v>
      </c>
      <c r="BR130" s="13" t="s">
        <v>570</v>
      </c>
      <c r="BS130" s="23">
        <v>42279</v>
      </c>
      <c r="BT130" s="23">
        <v>42293</v>
      </c>
      <c r="BU130" s="13" t="s">
        <v>570</v>
      </c>
      <c r="BV130" s="13" t="s">
        <v>570</v>
      </c>
      <c r="BW130" s="224" t="s">
        <v>570</v>
      </c>
      <c r="BX130" s="23">
        <v>42292</v>
      </c>
      <c r="BY130" s="13" t="s">
        <v>570</v>
      </c>
      <c r="BZ130" s="23">
        <v>42659</v>
      </c>
      <c r="CA130" s="23">
        <v>42332</v>
      </c>
      <c r="CB130" s="224" t="s">
        <v>570</v>
      </c>
      <c r="CC130" s="224" t="s">
        <v>570</v>
      </c>
      <c r="CD130" s="224" t="s">
        <v>570</v>
      </c>
      <c r="CE130" s="23"/>
      <c r="CF130" s="127" t="s">
        <v>829</v>
      </c>
      <c r="CG130" s="23"/>
      <c r="CH130" s="23"/>
      <c r="CI130" s="23"/>
      <c r="CJ130" s="23"/>
      <c r="CK130" s="23"/>
      <c r="CL130" s="23"/>
      <c r="CM130" s="23"/>
      <c r="CN130" s="23"/>
      <c r="CO130" s="23"/>
      <c r="CP130" s="23"/>
      <c r="CQ130" s="23"/>
      <c r="CR130" s="127" t="s">
        <v>829</v>
      </c>
      <c r="CS130" s="13" t="s">
        <v>570</v>
      </c>
      <c r="CT130" s="37" t="s">
        <v>452</v>
      </c>
      <c r="CU130" s="25">
        <v>0.05</v>
      </c>
      <c r="CV130" s="23">
        <v>42352</v>
      </c>
      <c r="CW130" s="30">
        <f>AQ130*0.5</f>
        <v>92742.255000000005</v>
      </c>
      <c r="CX130" s="13" t="s">
        <v>802</v>
      </c>
      <c r="CY130" s="23">
        <v>42709</v>
      </c>
      <c r="CZ130" s="37">
        <f>61476.57+4317.24+8400-37096.9</f>
        <v>37096.909999999996</v>
      </c>
      <c r="DA130" s="13" t="s">
        <v>803</v>
      </c>
      <c r="DB130" s="23">
        <v>42709</v>
      </c>
      <c r="DC130" s="37">
        <f>61476.57+4317.24+8400-37096.9</f>
        <v>37096.909999999996</v>
      </c>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31">
        <f t="shared" si="61"/>
        <v>166936.07500000001</v>
      </c>
      <c r="DZ130" s="13"/>
      <c r="EA130" s="13"/>
      <c r="EB130" s="13"/>
      <c r="EC130" s="13"/>
      <c r="ED130" s="13"/>
      <c r="EE130" s="13"/>
      <c r="EF130" s="13"/>
      <c r="EG130" s="13">
        <v>210</v>
      </c>
      <c r="EH130" s="13" t="s">
        <v>588</v>
      </c>
      <c r="EI130" s="23">
        <f t="shared" si="67"/>
        <v>42353</v>
      </c>
      <c r="EJ130" s="23">
        <f t="shared" si="68"/>
        <v>42563</v>
      </c>
      <c r="EK130" s="13"/>
      <c r="EL130" s="13" t="s">
        <v>503</v>
      </c>
      <c r="EM130" s="13" t="s">
        <v>503</v>
      </c>
      <c r="EN130" s="13"/>
      <c r="EO130" s="13"/>
      <c r="EP130" s="13"/>
      <c r="EQ130" s="13"/>
      <c r="ER130" s="13"/>
      <c r="ES130" s="13"/>
      <c r="ET130" s="13"/>
      <c r="EU130" s="13"/>
      <c r="EV130" s="13"/>
      <c r="EW130" s="13" t="s">
        <v>503</v>
      </c>
      <c r="EX130" s="13" t="s">
        <v>503</v>
      </c>
      <c r="EY130" s="13"/>
      <c r="EZ130" s="13"/>
      <c r="FA130" s="13"/>
      <c r="FB130" s="13"/>
      <c r="FC130" s="13"/>
      <c r="FD130" s="13"/>
      <c r="FE130" s="13"/>
      <c r="FF130" s="13"/>
      <c r="FG130" s="13"/>
      <c r="FH130" s="13"/>
      <c r="FI130" s="13"/>
      <c r="FJ130" s="25">
        <v>0.01</v>
      </c>
      <c r="FK130" s="25">
        <v>7.0000000000000007E-2</v>
      </c>
      <c r="FL130" s="25">
        <v>7.0000000000000007E-2</v>
      </c>
      <c r="FM130" s="25">
        <v>7.0000000000000007E-2</v>
      </c>
      <c r="FN130" s="25">
        <v>7.0000000000000007E-2</v>
      </c>
      <c r="FO130" s="25">
        <v>0.3</v>
      </c>
      <c r="FP130" s="25">
        <v>0.5</v>
      </c>
      <c r="FQ130" s="25">
        <v>0.6</v>
      </c>
      <c r="FR130" s="25">
        <v>0.75</v>
      </c>
      <c r="FS130" s="25">
        <v>0.85</v>
      </c>
      <c r="FT130" s="25">
        <v>0.9</v>
      </c>
      <c r="FU130" s="25">
        <v>1</v>
      </c>
      <c r="FV130" s="25">
        <v>1</v>
      </c>
      <c r="FW130" s="25">
        <v>1</v>
      </c>
      <c r="FX130" s="25">
        <v>1</v>
      </c>
      <c r="FY130" s="25">
        <v>1</v>
      </c>
      <c r="FZ130" s="25">
        <v>1</v>
      </c>
      <c r="GA130" s="25">
        <v>1</v>
      </c>
      <c r="GB130" s="25">
        <v>1</v>
      </c>
      <c r="GC130" s="25">
        <v>1</v>
      </c>
      <c r="GD130" s="25">
        <v>1</v>
      </c>
      <c r="GE130" s="25">
        <v>1</v>
      </c>
      <c r="GF130" s="25">
        <v>1</v>
      </c>
      <c r="GG130" s="25">
        <v>1</v>
      </c>
      <c r="GH130" s="25">
        <v>1</v>
      </c>
      <c r="GI130" s="25">
        <v>1</v>
      </c>
      <c r="GJ130" s="25">
        <v>1</v>
      </c>
      <c r="GK130" s="25">
        <v>1</v>
      </c>
      <c r="GL130" s="25">
        <v>1</v>
      </c>
      <c r="GM130" s="25">
        <v>1</v>
      </c>
      <c r="GN130" s="25">
        <v>1</v>
      </c>
      <c r="GO130" s="25">
        <v>1</v>
      </c>
      <c r="GP130" s="25">
        <v>1</v>
      </c>
      <c r="GQ130" s="25">
        <v>1</v>
      </c>
      <c r="GR130" s="25">
        <v>1</v>
      </c>
      <c r="GS130" s="25">
        <v>1</v>
      </c>
      <c r="GT130" s="25">
        <v>1</v>
      </c>
      <c r="GU130" s="25">
        <v>1</v>
      </c>
      <c r="GV130" s="25" t="s">
        <v>1588</v>
      </c>
      <c r="GW130" s="25" t="s">
        <v>455</v>
      </c>
      <c r="GX130" s="25" t="s">
        <v>455</v>
      </c>
      <c r="GY130" s="25" t="s">
        <v>455</v>
      </c>
      <c r="GZ130" s="25" t="s">
        <v>455</v>
      </c>
      <c r="HA130" s="25" t="s">
        <v>455</v>
      </c>
      <c r="HB130" s="25" t="s">
        <v>455</v>
      </c>
      <c r="HC130" s="25" t="s">
        <v>455</v>
      </c>
      <c r="HD130" s="25" t="s">
        <v>455</v>
      </c>
      <c r="HE130" s="25" t="s">
        <v>455</v>
      </c>
      <c r="HF130" s="25" t="s">
        <v>455</v>
      </c>
      <c r="HG130" s="25" t="s">
        <v>455</v>
      </c>
      <c r="HH130" s="25" t="s">
        <v>455</v>
      </c>
      <c r="HI130" s="25"/>
      <c r="HJ130" s="25"/>
      <c r="HK130" s="25"/>
      <c r="HL130" s="25"/>
      <c r="HM130" s="25"/>
      <c r="HN130" s="25"/>
      <c r="HO130" s="25"/>
      <c r="HP130" s="25"/>
      <c r="HQ130" s="25"/>
      <c r="HR130" s="25"/>
      <c r="HS130" s="25"/>
      <c r="HT130" s="25"/>
      <c r="HU130" s="13" t="s">
        <v>1054</v>
      </c>
      <c r="HV130" s="13"/>
      <c r="HW130" s="13" t="s">
        <v>1203</v>
      </c>
      <c r="HX130" s="55"/>
      <c r="HY130" s="55"/>
      <c r="HZ130" s="55"/>
      <c r="IA130" s="55"/>
      <c r="IB130" s="55"/>
      <c r="IC130" s="55"/>
      <c r="ID130" s="55"/>
      <c r="IE130" s="55"/>
      <c r="IF130" s="107">
        <v>185484.51</v>
      </c>
      <c r="IG130" s="107">
        <v>185272.85</v>
      </c>
      <c r="IH130" s="250">
        <f t="shared" si="66"/>
        <v>0</v>
      </c>
      <c r="II130" s="55"/>
      <c r="IJ130" s="55"/>
      <c r="IK130" s="55"/>
      <c r="IL130" s="55"/>
      <c r="IM130" s="55"/>
      <c r="IN130" s="55"/>
      <c r="IO130" s="55"/>
      <c r="IP130" s="55"/>
      <c r="IQ130" s="55"/>
      <c r="IR130" s="55"/>
      <c r="IS130" s="55"/>
      <c r="IT130" s="55"/>
      <c r="IU130" s="55"/>
      <c r="IV130" s="55"/>
      <c r="IW130" s="55"/>
      <c r="IX130" s="55"/>
      <c r="IY130" s="55"/>
      <c r="IZ130" s="55"/>
      <c r="JA130" s="55"/>
      <c r="JB130" s="55"/>
      <c r="JC130" s="55"/>
      <c r="JD130" s="55">
        <v>2016</v>
      </c>
    </row>
    <row r="131" spans="1:264" s="5" customFormat="1" ht="24.95" hidden="1" customHeight="1">
      <c r="A131" s="26" t="s">
        <v>5</v>
      </c>
      <c r="B131" s="26" t="s">
        <v>27</v>
      </c>
      <c r="C131" s="13" t="s">
        <v>349</v>
      </c>
      <c r="D131" s="13" t="s">
        <v>382</v>
      </c>
      <c r="E131" s="13" t="s">
        <v>360</v>
      </c>
      <c r="F131" s="13" t="s">
        <v>360</v>
      </c>
      <c r="G131" s="39" t="s">
        <v>354</v>
      </c>
      <c r="H131" s="28" t="s">
        <v>1546</v>
      </c>
      <c r="I131" s="313" t="s">
        <v>128</v>
      </c>
      <c r="J131" s="40">
        <v>5</v>
      </c>
      <c r="K131" s="49" t="s">
        <v>375</v>
      </c>
      <c r="L131" s="26" t="s">
        <v>127</v>
      </c>
      <c r="M131" s="20" t="s">
        <v>128</v>
      </c>
      <c r="N131" s="20"/>
      <c r="O131" s="13" t="s">
        <v>3</v>
      </c>
      <c r="P131" s="13" t="s">
        <v>4</v>
      </c>
      <c r="Q131" s="22" t="s">
        <v>1118</v>
      </c>
      <c r="R131" s="26" t="s">
        <v>127</v>
      </c>
      <c r="S131" s="13" t="s">
        <v>906</v>
      </c>
      <c r="T131" s="22" t="s">
        <v>1387</v>
      </c>
      <c r="U131" s="13" t="s">
        <v>477</v>
      </c>
      <c r="V131" s="24">
        <v>1710071620001</v>
      </c>
      <c r="W131" s="13" t="s">
        <v>969</v>
      </c>
      <c r="X131" s="13" t="s">
        <v>969</v>
      </c>
      <c r="Y131" s="13" t="s">
        <v>926</v>
      </c>
      <c r="Z131" s="13" t="s">
        <v>969</v>
      </c>
      <c r="AA131" s="37"/>
      <c r="AB131" s="68">
        <v>385900</v>
      </c>
      <c r="AC131" s="29">
        <v>0</v>
      </c>
      <c r="AD131" s="37">
        <v>385900</v>
      </c>
      <c r="AE131" s="29">
        <v>0</v>
      </c>
      <c r="AF131" s="29">
        <f t="shared" si="47"/>
        <v>385900</v>
      </c>
      <c r="AG131" s="25">
        <v>0.12</v>
      </c>
      <c r="AH131" s="29">
        <f t="shared" si="56"/>
        <v>46308</v>
      </c>
      <c r="AI131" s="29">
        <f t="shared" si="63"/>
        <v>0</v>
      </c>
      <c r="AJ131" s="29">
        <f t="shared" si="64"/>
        <v>432208.00000000006</v>
      </c>
      <c r="AK131" s="29">
        <v>383826.78</v>
      </c>
      <c r="AL131" s="29">
        <f t="shared" si="65"/>
        <v>2073.2199999999721</v>
      </c>
      <c r="AM131" s="29"/>
      <c r="AN131" s="37"/>
      <c r="AO131" s="37">
        <v>385900</v>
      </c>
      <c r="AP131" s="37"/>
      <c r="AQ131" s="37">
        <v>384253.42</v>
      </c>
      <c r="AR131" s="25">
        <v>0.14000000000000001</v>
      </c>
      <c r="AS131" s="37">
        <f>AQ131*0.14</f>
        <v>53795.478800000004</v>
      </c>
      <c r="AT131" s="37"/>
      <c r="AU131" s="37"/>
      <c r="AV131" s="37"/>
      <c r="AW131" s="37"/>
      <c r="AX131" s="37"/>
      <c r="AY131" s="37"/>
      <c r="AZ131" s="37"/>
      <c r="BA131" s="37"/>
      <c r="BB131" s="37"/>
      <c r="BC131" s="37"/>
      <c r="BD131" s="37"/>
      <c r="BE131" s="37"/>
      <c r="BF131" s="29">
        <f t="shared" si="59"/>
        <v>1646.5800000000163</v>
      </c>
      <c r="BG131" s="29">
        <f t="shared" si="57"/>
        <v>1646.5800000000163</v>
      </c>
      <c r="BH131" s="37" t="s">
        <v>594</v>
      </c>
      <c r="BI131" s="29" t="s">
        <v>570</v>
      </c>
      <c r="BJ131" s="29" t="s">
        <v>570</v>
      </c>
      <c r="BK131" s="29" t="s">
        <v>570</v>
      </c>
      <c r="BL131" s="29" t="s">
        <v>570</v>
      </c>
      <c r="BM131" s="29" t="s">
        <v>570</v>
      </c>
      <c r="BN131" s="23">
        <v>42369</v>
      </c>
      <c r="BO131" s="23">
        <v>42375</v>
      </c>
      <c r="BP131" s="23">
        <v>42377</v>
      </c>
      <c r="BQ131" s="23">
        <v>42394</v>
      </c>
      <c r="BR131" s="13" t="s">
        <v>570</v>
      </c>
      <c r="BS131" s="23">
        <v>42404</v>
      </c>
      <c r="BT131" s="23">
        <v>42408</v>
      </c>
      <c r="BU131" s="13" t="s">
        <v>570</v>
      </c>
      <c r="BV131" s="13" t="s">
        <v>570</v>
      </c>
      <c r="BW131" s="224" t="s">
        <v>570</v>
      </c>
      <c r="BX131" s="23">
        <v>42604</v>
      </c>
      <c r="BY131" s="13" t="s">
        <v>570</v>
      </c>
      <c r="BZ131" s="13" t="s">
        <v>503</v>
      </c>
      <c r="CA131" s="23">
        <v>42662</v>
      </c>
      <c r="CB131" s="224" t="s">
        <v>570</v>
      </c>
      <c r="CC131" s="224" t="s">
        <v>570</v>
      </c>
      <c r="CD131" s="224" t="s">
        <v>570</v>
      </c>
      <c r="CE131" s="13"/>
      <c r="CF131" s="127" t="s">
        <v>829</v>
      </c>
      <c r="CG131" s="13"/>
      <c r="CH131" s="13"/>
      <c r="CI131" s="13"/>
      <c r="CJ131" s="13"/>
      <c r="CK131" s="13"/>
      <c r="CL131" s="13"/>
      <c r="CM131" s="13"/>
      <c r="CN131" s="13"/>
      <c r="CO131" s="13"/>
      <c r="CP131" s="13"/>
      <c r="CQ131" s="13"/>
      <c r="CR131" s="127" t="s">
        <v>829</v>
      </c>
      <c r="CS131" s="13" t="s">
        <v>570</v>
      </c>
      <c r="CT131" s="37" t="s">
        <v>452</v>
      </c>
      <c r="CU131" s="25">
        <v>0.05</v>
      </c>
      <c r="CV131" s="23">
        <v>42704</v>
      </c>
      <c r="CW131" s="30">
        <v>192126.71</v>
      </c>
      <c r="CX131" s="134" t="s">
        <v>1462</v>
      </c>
      <c r="CY131" s="166">
        <v>42811</v>
      </c>
      <c r="CZ131" s="235">
        <v>76850.69</v>
      </c>
      <c r="DA131" s="184" t="s">
        <v>1463</v>
      </c>
      <c r="DB131" s="99">
        <v>42831</v>
      </c>
      <c r="DC131" s="236">
        <v>76850.69</v>
      </c>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31">
        <f t="shared" ref="DY131:DY140" si="69">CW131+CZ131+DC131+DF131+DI131+DL131+DO131+DR131+DU131+DX131</f>
        <v>345828.09</v>
      </c>
      <c r="DZ131" s="13"/>
      <c r="EA131" s="13"/>
      <c r="EB131" s="13"/>
      <c r="EC131" s="13"/>
      <c r="ED131" s="13"/>
      <c r="EE131" s="13"/>
      <c r="EF131" s="13"/>
      <c r="EG131" s="13">
        <v>270</v>
      </c>
      <c r="EH131" s="13" t="s">
        <v>588</v>
      </c>
      <c r="EI131" s="23">
        <f t="shared" si="67"/>
        <v>42705</v>
      </c>
      <c r="EJ131" s="23">
        <f t="shared" si="68"/>
        <v>42975</v>
      </c>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25"/>
      <c r="FL131" s="25"/>
      <c r="FM131" s="25"/>
      <c r="FN131" s="25"/>
      <c r="FO131" s="25"/>
      <c r="FP131" s="25"/>
      <c r="FQ131" s="25"/>
      <c r="FR131" s="25"/>
      <c r="FS131" s="25">
        <v>0.08</v>
      </c>
      <c r="FT131" s="25">
        <v>0.15</v>
      </c>
      <c r="FU131" s="25">
        <v>0.45</v>
      </c>
      <c r="FV131" s="25">
        <v>0.75</v>
      </c>
      <c r="FW131" s="25">
        <v>0.75</v>
      </c>
      <c r="FX131" s="25">
        <v>0.75</v>
      </c>
      <c r="FY131" s="25">
        <v>0.75</v>
      </c>
      <c r="FZ131" s="25">
        <v>0.75</v>
      </c>
      <c r="GA131" s="25">
        <v>1</v>
      </c>
      <c r="GB131" s="25">
        <v>1</v>
      </c>
      <c r="GC131" s="25">
        <v>1</v>
      </c>
      <c r="GD131" s="25">
        <v>1</v>
      </c>
      <c r="GE131" s="25">
        <v>1</v>
      </c>
      <c r="GF131" s="25">
        <v>1</v>
      </c>
      <c r="GG131" s="25">
        <v>1</v>
      </c>
      <c r="GH131" s="25">
        <v>1</v>
      </c>
      <c r="GI131" s="25">
        <v>1</v>
      </c>
      <c r="GJ131" s="25">
        <v>1</v>
      </c>
      <c r="GK131" s="25">
        <v>1</v>
      </c>
      <c r="GL131" s="25">
        <v>1</v>
      </c>
      <c r="GM131" s="25">
        <v>1</v>
      </c>
      <c r="GN131" s="25">
        <v>1</v>
      </c>
      <c r="GO131" s="25">
        <v>1</v>
      </c>
      <c r="GP131" s="25">
        <v>1</v>
      </c>
      <c r="GQ131" s="25">
        <v>1</v>
      </c>
      <c r="GR131" s="25">
        <v>1</v>
      </c>
      <c r="GS131" s="25">
        <v>1</v>
      </c>
      <c r="GT131" s="25">
        <v>1</v>
      </c>
      <c r="GU131" s="25">
        <v>1</v>
      </c>
      <c r="GV131" s="25" t="s">
        <v>455</v>
      </c>
      <c r="GW131" s="25" t="s">
        <v>455</v>
      </c>
      <c r="GX131" s="25" t="s">
        <v>455</v>
      </c>
      <c r="GY131" s="25" t="s">
        <v>455</v>
      </c>
      <c r="GZ131" s="25" t="s">
        <v>455</v>
      </c>
      <c r="HA131" s="25" t="s">
        <v>455</v>
      </c>
      <c r="HB131" s="25" t="s">
        <v>455</v>
      </c>
      <c r="HC131" s="25" t="s">
        <v>455</v>
      </c>
      <c r="HD131" s="25" t="s">
        <v>455</v>
      </c>
      <c r="HE131" s="25" t="s">
        <v>455</v>
      </c>
      <c r="HF131" s="25" t="s">
        <v>455</v>
      </c>
      <c r="HG131" s="25" t="s">
        <v>455</v>
      </c>
      <c r="HH131" s="25" t="s">
        <v>455</v>
      </c>
      <c r="HI131" s="25"/>
      <c r="HJ131" s="25"/>
      <c r="HK131" s="25"/>
      <c r="HL131" s="25"/>
      <c r="HM131" s="25"/>
      <c r="HN131" s="25"/>
      <c r="HO131" s="25"/>
      <c r="HP131" s="25"/>
      <c r="HQ131" s="25"/>
      <c r="HR131" s="25"/>
      <c r="HS131" s="25"/>
      <c r="HT131" s="25"/>
      <c r="HU131" s="13"/>
      <c r="HV131" s="13"/>
      <c r="HW131" s="13" t="s">
        <v>1203</v>
      </c>
      <c r="HX131" s="55"/>
      <c r="HY131" s="55"/>
      <c r="HZ131" s="55"/>
      <c r="IA131" s="55"/>
      <c r="IB131" s="55"/>
      <c r="IC131" s="55"/>
      <c r="ID131" s="55"/>
      <c r="IE131" s="55"/>
      <c r="IF131" s="107">
        <v>385900</v>
      </c>
      <c r="IG131" s="107">
        <v>383826.78</v>
      </c>
      <c r="IH131" s="250">
        <f t="shared" si="66"/>
        <v>0</v>
      </c>
      <c r="II131" s="55"/>
      <c r="IJ131" s="55"/>
      <c r="IK131" s="55"/>
      <c r="IL131" s="55"/>
      <c r="IM131" s="55"/>
      <c r="IN131" s="55"/>
      <c r="IO131" s="55"/>
      <c r="IP131" s="55"/>
      <c r="IQ131" s="55"/>
      <c r="IR131" s="55"/>
      <c r="IS131" s="55"/>
      <c r="IT131" s="55"/>
      <c r="IU131" s="55"/>
      <c r="IV131" s="55"/>
      <c r="IW131" s="55"/>
      <c r="IX131" s="55"/>
      <c r="IY131" s="55"/>
      <c r="IZ131" s="55"/>
      <c r="JA131" s="55"/>
      <c r="JB131" s="55"/>
      <c r="JC131" s="55"/>
      <c r="JD131" s="55">
        <v>2017</v>
      </c>
    </row>
    <row r="132" spans="1:264" s="5" customFormat="1" ht="24.95" hidden="1" customHeight="1">
      <c r="A132" s="26" t="s">
        <v>9</v>
      </c>
      <c r="B132" s="26" t="s">
        <v>27</v>
      </c>
      <c r="C132" s="13" t="s">
        <v>349</v>
      </c>
      <c r="D132" s="13" t="s">
        <v>380</v>
      </c>
      <c r="E132" s="16" t="s">
        <v>350</v>
      </c>
      <c r="F132" s="13" t="s">
        <v>350</v>
      </c>
      <c r="G132" s="39" t="s">
        <v>351</v>
      </c>
      <c r="H132" s="28" t="s">
        <v>1548</v>
      </c>
      <c r="I132" s="47" t="s">
        <v>129</v>
      </c>
      <c r="J132" s="40">
        <v>3</v>
      </c>
      <c r="K132" s="49" t="s">
        <v>375</v>
      </c>
      <c r="L132" s="26" t="s">
        <v>618</v>
      </c>
      <c r="M132" s="20" t="s">
        <v>129</v>
      </c>
      <c r="N132" s="20"/>
      <c r="O132" s="13" t="s">
        <v>3</v>
      </c>
      <c r="P132" s="13" t="s">
        <v>4</v>
      </c>
      <c r="Q132" s="22" t="s">
        <v>1118</v>
      </c>
      <c r="R132" s="26" t="s">
        <v>618</v>
      </c>
      <c r="S132" s="13" t="s">
        <v>592</v>
      </c>
      <c r="T132" s="22" t="s">
        <v>1387</v>
      </c>
      <c r="U132" s="13" t="s">
        <v>479</v>
      </c>
      <c r="V132" s="24">
        <v>1792131286001</v>
      </c>
      <c r="W132" s="13" t="s">
        <v>1096</v>
      </c>
      <c r="X132" s="13" t="s">
        <v>969</v>
      </c>
      <c r="Y132" s="13" t="s">
        <v>1095</v>
      </c>
      <c r="Z132" s="13" t="s">
        <v>969</v>
      </c>
      <c r="AA132" s="37"/>
      <c r="AB132" s="68">
        <v>602722.5</v>
      </c>
      <c r="AC132" s="29">
        <v>0</v>
      </c>
      <c r="AD132" s="37">
        <v>602722.49999999988</v>
      </c>
      <c r="AE132" s="29">
        <v>0</v>
      </c>
      <c r="AF132" s="29">
        <f t="shared" ref="AF132:AF198" si="70">AD132+AE132</f>
        <v>602722.49999999988</v>
      </c>
      <c r="AG132" s="25">
        <v>0.12</v>
      </c>
      <c r="AH132" s="29">
        <f t="shared" si="56"/>
        <v>72326.699999999983</v>
      </c>
      <c r="AI132" s="29">
        <f t="shared" si="63"/>
        <v>0</v>
      </c>
      <c r="AJ132" s="29">
        <f t="shared" si="64"/>
        <v>675049.2</v>
      </c>
      <c r="AK132" s="29">
        <v>598828.37</v>
      </c>
      <c r="AL132" s="29">
        <f t="shared" si="65"/>
        <v>3894.1300000000047</v>
      </c>
      <c r="AM132" s="29"/>
      <c r="AN132" s="37"/>
      <c r="AO132" s="37">
        <v>602722.49999999988</v>
      </c>
      <c r="AP132" s="37"/>
      <c r="AQ132" s="37">
        <v>602651.97</v>
      </c>
      <c r="AR132" s="35">
        <v>0.14000000000000001</v>
      </c>
      <c r="AS132" s="35"/>
      <c r="AT132" s="37">
        <f>+AQ132*1.14</f>
        <v>687023.24579999992</v>
      </c>
      <c r="AU132" s="37"/>
      <c r="AV132" s="37"/>
      <c r="AW132" s="37"/>
      <c r="AX132" s="37"/>
      <c r="AY132" s="37"/>
      <c r="AZ132" s="37"/>
      <c r="BA132" s="37"/>
      <c r="BB132" s="37"/>
      <c r="BC132" s="37"/>
      <c r="BD132" s="37"/>
      <c r="BE132" s="37"/>
      <c r="BF132" s="29">
        <f t="shared" si="59"/>
        <v>70.53000000002794</v>
      </c>
      <c r="BG132" s="29">
        <f t="shared" si="57"/>
        <v>70.53000000002794</v>
      </c>
      <c r="BH132" s="37" t="s">
        <v>591</v>
      </c>
      <c r="BI132" s="29" t="s">
        <v>570</v>
      </c>
      <c r="BJ132" s="29" t="s">
        <v>570</v>
      </c>
      <c r="BK132" s="29" t="s">
        <v>570</v>
      </c>
      <c r="BL132" s="29" t="s">
        <v>570</v>
      </c>
      <c r="BM132" s="29" t="s">
        <v>570</v>
      </c>
      <c r="BN132" s="13"/>
      <c r="BO132" s="13"/>
      <c r="BP132" s="13"/>
      <c r="BQ132" s="13"/>
      <c r="BR132" s="13"/>
      <c r="BS132" s="13"/>
      <c r="BT132" s="13"/>
      <c r="BU132" s="13" t="s">
        <v>570</v>
      </c>
      <c r="BV132" s="13" t="s">
        <v>570</v>
      </c>
      <c r="BW132" s="224" t="s">
        <v>570</v>
      </c>
      <c r="BX132" s="23">
        <v>42650</v>
      </c>
      <c r="BY132" s="13" t="s">
        <v>570</v>
      </c>
      <c r="BZ132" s="23">
        <v>42655</v>
      </c>
      <c r="CA132" s="23">
        <v>42684</v>
      </c>
      <c r="CB132" s="224" t="s">
        <v>570</v>
      </c>
      <c r="CC132" s="224" t="s">
        <v>570</v>
      </c>
      <c r="CD132" s="224" t="s">
        <v>570</v>
      </c>
      <c r="CE132" s="23"/>
      <c r="CF132" s="23"/>
      <c r="CG132" s="23"/>
      <c r="CH132" s="23"/>
      <c r="CI132" s="23"/>
      <c r="CJ132" s="23"/>
      <c r="CK132" s="23"/>
      <c r="CL132" s="23"/>
      <c r="CM132" s="23"/>
      <c r="CN132" s="23"/>
      <c r="CO132" s="23"/>
      <c r="CP132" s="23"/>
      <c r="CQ132" s="23"/>
      <c r="CR132" s="127" t="s">
        <v>829</v>
      </c>
      <c r="CS132" s="13" t="s">
        <v>570</v>
      </c>
      <c r="CT132" s="37" t="s">
        <v>570</v>
      </c>
      <c r="CU132" s="37" t="s">
        <v>570</v>
      </c>
      <c r="CV132" s="23">
        <v>42704</v>
      </c>
      <c r="CW132" s="30">
        <f>AQ132*0.5</f>
        <v>301325.98499999999</v>
      </c>
      <c r="CX132" s="37"/>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31">
        <f t="shared" si="69"/>
        <v>301325.98499999999</v>
      </c>
      <c r="DZ132" s="13"/>
      <c r="EA132" s="37">
        <v>108477</v>
      </c>
      <c r="EB132" s="37">
        <v>192849</v>
      </c>
      <c r="EC132" s="13"/>
      <c r="ED132" s="13"/>
      <c r="EE132" s="30">
        <f>DY132+DZ132+EA132+EB132+EC132+ED132</f>
        <v>602651.98499999999</v>
      </c>
      <c r="EF132" s="30">
        <f>AQ132-EE132</f>
        <v>-1.5000000013969839E-2</v>
      </c>
      <c r="EG132" s="13">
        <v>150</v>
      </c>
      <c r="EH132" s="13" t="s">
        <v>588</v>
      </c>
      <c r="EI132" s="23">
        <f t="shared" si="67"/>
        <v>42705</v>
      </c>
      <c r="EJ132" s="23">
        <f t="shared" si="68"/>
        <v>42855</v>
      </c>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25">
        <v>0.01</v>
      </c>
      <c r="FT132" s="25">
        <v>0.02</v>
      </c>
      <c r="FU132" s="25">
        <v>0.03</v>
      </c>
      <c r="FV132" s="25">
        <v>0.2</v>
      </c>
      <c r="FW132" s="25">
        <v>0.4</v>
      </c>
      <c r="FX132" s="25">
        <v>0.55000000000000004</v>
      </c>
      <c r="FY132" s="25">
        <v>0.8</v>
      </c>
      <c r="FZ132" s="25">
        <v>0.8</v>
      </c>
      <c r="GA132" s="25">
        <v>0.8</v>
      </c>
      <c r="GB132" s="25">
        <v>1</v>
      </c>
      <c r="GC132" s="25">
        <v>1</v>
      </c>
      <c r="GD132" s="25">
        <v>1</v>
      </c>
      <c r="GE132" s="25">
        <v>1</v>
      </c>
      <c r="GF132" s="25">
        <v>1</v>
      </c>
      <c r="GG132" s="25">
        <v>1</v>
      </c>
      <c r="GH132" s="25">
        <v>1</v>
      </c>
      <c r="GI132" s="25">
        <v>1</v>
      </c>
      <c r="GJ132" s="25">
        <v>1</v>
      </c>
      <c r="GK132" s="25">
        <v>1</v>
      </c>
      <c r="GL132" s="25">
        <v>1</v>
      </c>
      <c r="GM132" s="25">
        <v>1</v>
      </c>
      <c r="GN132" s="25">
        <v>1</v>
      </c>
      <c r="GO132" s="25">
        <v>1</v>
      </c>
      <c r="GP132" s="25">
        <v>1</v>
      </c>
      <c r="GQ132" s="25">
        <v>1</v>
      </c>
      <c r="GR132" s="25">
        <v>1</v>
      </c>
      <c r="GS132" s="25">
        <v>1</v>
      </c>
      <c r="GT132" s="25">
        <v>1</v>
      </c>
      <c r="GU132" s="25">
        <v>1</v>
      </c>
      <c r="GV132" s="25" t="s">
        <v>455</v>
      </c>
      <c r="GW132" s="25" t="s">
        <v>455</v>
      </c>
      <c r="GX132" s="25" t="s">
        <v>455</v>
      </c>
      <c r="GY132" s="25" t="s">
        <v>455</v>
      </c>
      <c r="GZ132" s="25" t="s">
        <v>455</v>
      </c>
      <c r="HA132" s="25" t="s">
        <v>455</v>
      </c>
      <c r="HB132" s="25" t="s">
        <v>455</v>
      </c>
      <c r="HC132" s="25" t="s">
        <v>455</v>
      </c>
      <c r="HD132" s="25" t="s">
        <v>455</v>
      </c>
      <c r="HE132" s="25" t="s">
        <v>455</v>
      </c>
      <c r="HF132" s="25" t="s">
        <v>455</v>
      </c>
      <c r="HG132" s="25" t="s">
        <v>455</v>
      </c>
      <c r="HH132" s="25" t="s">
        <v>455</v>
      </c>
      <c r="HI132" s="25"/>
      <c r="HJ132" s="25"/>
      <c r="HK132" s="25"/>
      <c r="HL132" s="25"/>
      <c r="HM132" s="25"/>
      <c r="HN132" s="25"/>
      <c r="HO132" s="25"/>
      <c r="HP132" s="25"/>
      <c r="HQ132" s="25"/>
      <c r="HR132" s="25"/>
      <c r="HS132" s="25"/>
      <c r="HT132" s="25"/>
      <c r="HU132" s="13" t="s">
        <v>643</v>
      </c>
      <c r="HV132" s="13"/>
      <c r="HW132" s="32"/>
      <c r="HX132" s="55"/>
      <c r="HY132" s="55"/>
      <c r="HZ132" s="55"/>
      <c r="IA132" s="55"/>
      <c r="IB132" s="55"/>
      <c r="IC132" s="55"/>
      <c r="ID132" s="55"/>
      <c r="IE132" s="55"/>
      <c r="IF132" s="107">
        <v>602722.5</v>
      </c>
      <c r="IG132" s="107">
        <v>598828.37</v>
      </c>
      <c r="IH132" s="250">
        <f t="shared" si="66"/>
        <v>0</v>
      </c>
      <c r="II132" s="55"/>
      <c r="IJ132" s="55"/>
      <c r="IK132" s="55"/>
      <c r="IL132" s="55"/>
      <c r="IM132" s="55"/>
      <c r="IN132" s="55"/>
      <c r="IO132" s="55"/>
      <c r="IP132" s="55"/>
      <c r="IQ132" s="55"/>
      <c r="IR132" s="55"/>
      <c r="IS132" s="55"/>
      <c r="IT132" s="55"/>
      <c r="IU132" s="55"/>
      <c r="IV132" s="55"/>
      <c r="IW132" s="55"/>
      <c r="IX132" s="55"/>
      <c r="IY132" s="55"/>
      <c r="IZ132" s="55"/>
      <c r="JA132" s="55"/>
      <c r="JB132" s="55"/>
      <c r="JC132" s="55"/>
      <c r="JD132" s="55">
        <v>2017</v>
      </c>
    </row>
    <row r="133" spans="1:264" s="5" customFormat="1" ht="24.95" hidden="1" customHeight="1">
      <c r="A133" s="26" t="s">
        <v>9</v>
      </c>
      <c r="B133" s="26" t="s">
        <v>27</v>
      </c>
      <c r="C133" s="13" t="s">
        <v>349</v>
      </c>
      <c r="D133" s="13" t="s">
        <v>380</v>
      </c>
      <c r="E133" s="16" t="s">
        <v>360</v>
      </c>
      <c r="F133" s="13" t="s">
        <v>360</v>
      </c>
      <c r="G133" s="39" t="s">
        <v>354</v>
      </c>
      <c r="H133" s="28" t="s">
        <v>1559</v>
      </c>
      <c r="I133" s="20" t="s">
        <v>131</v>
      </c>
      <c r="J133" s="40">
        <v>4</v>
      </c>
      <c r="K133" s="49" t="s">
        <v>375</v>
      </c>
      <c r="L133" s="26" t="s">
        <v>130</v>
      </c>
      <c r="M133" s="20" t="s">
        <v>131</v>
      </c>
      <c r="N133" s="20"/>
      <c r="O133" s="13" t="s">
        <v>3</v>
      </c>
      <c r="P133" s="13" t="s">
        <v>4</v>
      </c>
      <c r="Q133" s="22" t="s">
        <v>1118</v>
      </c>
      <c r="R133" s="22" t="s">
        <v>575</v>
      </c>
      <c r="S133" s="13" t="s">
        <v>576</v>
      </c>
      <c r="T133" s="22" t="s">
        <v>1387</v>
      </c>
      <c r="U133" s="13" t="s">
        <v>479</v>
      </c>
      <c r="V133" s="24">
        <v>2191722550001</v>
      </c>
      <c r="W133" s="13" t="s">
        <v>903</v>
      </c>
      <c r="X133" s="13" t="s">
        <v>969</v>
      </c>
      <c r="Y133" s="13" t="s">
        <v>635</v>
      </c>
      <c r="Z133" s="13" t="s">
        <v>969</v>
      </c>
      <c r="AA133" s="37"/>
      <c r="AB133" s="68">
        <v>296116.34000000003</v>
      </c>
      <c r="AC133" s="29">
        <v>0</v>
      </c>
      <c r="AD133" s="37">
        <v>296116.33743299992</v>
      </c>
      <c r="AE133" s="29">
        <v>0</v>
      </c>
      <c r="AF133" s="29">
        <f t="shared" si="70"/>
        <v>296116.33743299992</v>
      </c>
      <c r="AG133" s="25">
        <v>0.12</v>
      </c>
      <c r="AH133" s="29">
        <f t="shared" si="56"/>
        <v>35533.960491959988</v>
      </c>
      <c r="AI133" s="29">
        <f t="shared" si="63"/>
        <v>0</v>
      </c>
      <c r="AJ133" s="29">
        <f t="shared" si="64"/>
        <v>331650.29792495992</v>
      </c>
      <c r="AK133" s="29">
        <v>279737.68</v>
      </c>
      <c r="AL133" s="29">
        <f t="shared" si="65"/>
        <v>16378.660000000033</v>
      </c>
      <c r="AM133" s="29"/>
      <c r="AN133" s="37"/>
      <c r="AO133" s="37">
        <v>296116.33743299992</v>
      </c>
      <c r="AP133" s="37"/>
      <c r="AQ133" s="37">
        <v>291954.34000000003</v>
      </c>
      <c r="AR133" s="35">
        <v>0.14000000000000001</v>
      </c>
      <c r="AS133" s="35"/>
      <c r="AT133" s="37">
        <f>+AQ133*1.14</f>
        <v>332827.94760000001</v>
      </c>
      <c r="AU133" s="37"/>
      <c r="AV133" s="37"/>
      <c r="AW133" s="37"/>
      <c r="AX133" s="37"/>
      <c r="AY133" s="37"/>
      <c r="AZ133" s="37"/>
      <c r="BA133" s="37"/>
      <c r="BB133" s="37"/>
      <c r="BC133" s="37"/>
      <c r="BD133" s="37"/>
      <c r="BE133" s="37"/>
      <c r="BF133" s="29">
        <f t="shared" si="59"/>
        <v>4162</v>
      </c>
      <c r="BG133" s="29">
        <f t="shared" si="57"/>
        <v>4162</v>
      </c>
      <c r="BH133" s="37" t="s">
        <v>594</v>
      </c>
      <c r="BI133" s="29" t="s">
        <v>570</v>
      </c>
      <c r="BJ133" s="29" t="s">
        <v>570</v>
      </c>
      <c r="BK133" s="29" t="s">
        <v>570</v>
      </c>
      <c r="BL133" s="29" t="s">
        <v>570</v>
      </c>
      <c r="BM133" s="29" t="s">
        <v>570</v>
      </c>
      <c r="BN133" s="23">
        <v>42258</v>
      </c>
      <c r="BO133" s="23">
        <v>42278</v>
      </c>
      <c r="BP133" s="23">
        <v>42285</v>
      </c>
      <c r="BQ133" s="23">
        <v>42300</v>
      </c>
      <c r="BR133" s="13" t="s">
        <v>570</v>
      </c>
      <c r="BS133" s="23">
        <v>42314</v>
      </c>
      <c r="BT133" s="23">
        <v>42318</v>
      </c>
      <c r="BU133" s="13" t="s">
        <v>570</v>
      </c>
      <c r="BV133" s="13" t="s">
        <v>570</v>
      </c>
      <c r="BW133" s="224" t="s">
        <v>570</v>
      </c>
      <c r="BX133" s="23">
        <v>42346</v>
      </c>
      <c r="BY133" s="13" t="s">
        <v>570</v>
      </c>
      <c r="BZ133" s="13" t="s">
        <v>503</v>
      </c>
      <c r="CA133" s="23">
        <v>42360</v>
      </c>
      <c r="CB133" s="224" t="s">
        <v>570</v>
      </c>
      <c r="CC133" s="224" t="s">
        <v>570</v>
      </c>
      <c r="CD133" s="224" t="s">
        <v>570</v>
      </c>
      <c r="CE133" s="23"/>
      <c r="CF133" s="127" t="s">
        <v>829</v>
      </c>
      <c r="CG133" s="23"/>
      <c r="CH133" s="23"/>
      <c r="CI133" s="23"/>
      <c r="CJ133" s="23"/>
      <c r="CK133" s="23"/>
      <c r="CL133" s="23"/>
      <c r="CM133" s="23"/>
      <c r="CN133" s="23"/>
      <c r="CO133" s="23"/>
      <c r="CP133" s="23"/>
      <c r="CQ133" s="23"/>
      <c r="CR133" s="127" t="s">
        <v>829</v>
      </c>
      <c r="CS133" s="13" t="s">
        <v>570</v>
      </c>
      <c r="CT133" s="37" t="s">
        <v>452</v>
      </c>
      <c r="CU133" s="63">
        <v>0.05</v>
      </c>
      <c r="CV133" s="23">
        <v>42422</v>
      </c>
      <c r="CW133" s="30">
        <v>145977.18</v>
      </c>
      <c r="CX133" s="134" t="s">
        <v>1467</v>
      </c>
      <c r="CY133" s="23">
        <v>42612</v>
      </c>
      <c r="CZ133" s="37">
        <v>43793.15</v>
      </c>
      <c r="DA133" s="134" t="s">
        <v>1468</v>
      </c>
      <c r="DB133" s="99">
        <v>42654</v>
      </c>
      <c r="DC133" s="167">
        <v>43793.15</v>
      </c>
      <c r="DD133" s="134" t="s">
        <v>1469</v>
      </c>
      <c r="DE133" s="166">
        <v>42800</v>
      </c>
      <c r="DF133" s="228">
        <v>46174.200000000004</v>
      </c>
      <c r="DG133" s="13"/>
      <c r="DH133" s="13"/>
      <c r="DI133" s="13"/>
      <c r="DJ133" s="13"/>
      <c r="DK133" s="13"/>
      <c r="DL133" s="13"/>
      <c r="DM133" s="13"/>
      <c r="DN133" s="13"/>
      <c r="DO133" s="13"/>
      <c r="DP133" s="13"/>
      <c r="DQ133" s="13"/>
      <c r="DR133" s="13"/>
      <c r="DS133" s="13"/>
      <c r="DT133" s="13"/>
      <c r="DU133" s="13"/>
      <c r="DV133" s="13"/>
      <c r="DW133" s="13"/>
      <c r="DX133" s="13"/>
      <c r="DY133" s="31">
        <f t="shared" si="69"/>
        <v>279737.68</v>
      </c>
      <c r="DZ133" s="13"/>
      <c r="EA133" s="13"/>
      <c r="EB133" s="13"/>
      <c r="EC133" s="13"/>
      <c r="ED133" s="13"/>
      <c r="EE133" s="13"/>
      <c r="EF133" s="13"/>
      <c r="EG133" s="13">
        <v>180</v>
      </c>
      <c r="EH133" s="13" t="s">
        <v>588</v>
      </c>
      <c r="EI133" s="23">
        <f t="shared" si="67"/>
        <v>42423</v>
      </c>
      <c r="EJ133" s="23">
        <f t="shared" si="68"/>
        <v>42603</v>
      </c>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25">
        <v>0.1</v>
      </c>
      <c r="FL133" s="25">
        <v>0.15</v>
      </c>
      <c r="FM133" s="25">
        <v>0.2</v>
      </c>
      <c r="FN133" s="25">
        <v>0.3</v>
      </c>
      <c r="FO133" s="25">
        <v>0.4</v>
      </c>
      <c r="FP133" s="25">
        <v>0.5</v>
      </c>
      <c r="FQ133" s="25">
        <v>0.6</v>
      </c>
      <c r="FR133" s="25">
        <v>0.7</v>
      </c>
      <c r="FS133" s="25">
        <v>0.8</v>
      </c>
      <c r="FT133" s="25">
        <v>0.9</v>
      </c>
      <c r="FU133" s="25">
        <v>1</v>
      </c>
      <c r="FV133" s="25">
        <v>1</v>
      </c>
      <c r="FW133" s="25">
        <v>1</v>
      </c>
      <c r="FX133" s="25">
        <v>1</v>
      </c>
      <c r="FY133" s="25">
        <v>1</v>
      </c>
      <c r="FZ133" s="25">
        <v>1</v>
      </c>
      <c r="GA133" s="25">
        <v>1</v>
      </c>
      <c r="GB133" s="25">
        <v>1</v>
      </c>
      <c r="GC133" s="25">
        <v>1</v>
      </c>
      <c r="GD133" s="25">
        <v>1</v>
      </c>
      <c r="GE133" s="25">
        <v>1</v>
      </c>
      <c r="GF133" s="25">
        <v>1</v>
      </c>
      <c r="GG133" s="25">
        <v>1</v>
      </c>
      <c r="GH133" s="25">
        <v>1</v>
      </c>
      <c r="GI133" s="25">
        <v>1</v>
      </c>
      <c r="GJ133" s="25">
        <v>1</v>
      </c>
      <c r="GK133" s="25">
        <v>1</v>
      </c>
      <c r="GL133" s="25">
        <v>1</v>
      </c>
      <c r="GM133" s="25">
        <v>1</v>
      </c>
      <c r="GN133" s="25">
        <v>1</v>
      </c>
      <c r="GO133" s="25">
        <v>1</v>
      </c>
      <c r="GP133" s="25">
        <v>1</v>
      </c>
      <c r="GQ133" s="25">
        <v>1</v>
      </c>
      <c r="GR133" s="25">
        <v>1</v>
      </c>
      <c r="GS133" s="25">
        <v>1</v>
      </c>
      <c r="GT133" s="25">
        <v>1</v>
      </c>
      <c r="GU133" s="25">
        <v>1</v>
      </c>
      <c r="GV133" s="25" t="s">
        <v>455</v>
      </c>
      <c r="GW133" s="25" t="s">
        <v>455</v>
      </c>
      <c r="GX133" s="25" t="s">
        <v>455</v>
      </c>
      <c r="GY133" s="25" t="s">
        <v>455</v>
      </c>
      <c r="GZ133" s="25" t="s">
        <v>455</v>
      </c>
      <c r="HA133" s="25" t="s">
        <v>455</v>
      </c>
      <c r="HB133" s="25" t="s">
        <v>455</v>
      </c>
      <c r="HC133" s="25" t="s">
        <v>455</v>
      </c>
      <c r="HD133" s="25" t="s">
        <v>455</v>
      </c>
      <c r="HE133" s="25" t="s">
        <v>455</v>
      </c>
      <c r="HF133" s="25" t="s">
        <v>455</v>
      </c>
      <c r="HG133" s="25" t="s">
        <v>455</v>
      </c>
      <c r="HH133" s="25" t="s">
        <v>455</v>
      </c>
      <c r="HI133" s="25"/>
      <c r="HJ133" s="25"/>
      <c r="HK133" s="25"/>
      <c r="HL133" s="25"/>
      <c r="HM133" s="25"/>
      <c r="HN133" s="25"/>
      <c r="HO133" s="25"/>
      <c r="HP133" s="25"/>
      <c r="HQ133" s="25"/>
      <c r="HR133" s="25"/>
      <c r="HS133" s="25"/>
      <c r="HT133" s="25"/>
      <c r="HU133" s="13" t="s">
        <v>636</v>
      </c>
      <c r="HV133" s="13"/>
      <c r="HW133" s="32"/>
      <c r="HX133" s="23"/>
      <c r="HY133" s="55"/>
      <c r="HZ133" s="55"/>
      <c r="IA133" s="55"/>
      <c r="IB133" s="55"/>
      <c r="IC133" s="55"/>
      <c r="ID133" s="55"/>
      <c r="IE133" s="55"/>
      <c r="IF133" s="107">
        <v>296116.34000000003</v>
      </c>
      <c r="IG133" s="107">
        <v>279737.68</v>
      </c>
      <c r="IH133" s="250">
        <f t="shared" si="66"/>
        <v>0</v>
      </c>
      <c r="II133" s="55"/>
      <c r="IJ133" s="55"/>
      <c r="IK133" s="55"/>
      <c r="IL133" s="55"/>
      <c r="IM133" s="55"/>
      <c r="IN133" s="55"/>
      <c r="IO133" s="55"/>
      <c r="IP133" s="55"/>
      <c r="IQ133" s="55"/>
      <c r="IR133" s="55"/>
      <c r="IS133" s="55"/>
      <c r="IT133" s="55"/>
      <c r="IU133" s="55"/>
      <c r="IV133" s="55"/>
      <c r="IW133" s="55"/>
      <c r="IX133" s="55"/>
      <c r="IY133" s="55"/>
      <c r="IZ133" s="55"/>
      <c r="JA133" s="55"/>
      <c r="JB133" s="55"/>
      <c r="JC133" s="55"/>
      <c r="JD133" s="55">
        <v>2017</v>
      </c>
    </row>
    <row r="134" spans="1:264" s="5" customFormat="1" ht="24.95" hidden="1" customHeight="1">
      <c r="A134" s="26" t="s">
        <v>9</v>
      </c>
      <c r="B134" s="26" t="s">
        <v>27</v>
      </c>
      <c r="C134" s="13" t="s">
        <v>349</v>
      </c>
      <c r="D134" s="13" t="s">
        <v>380</v>
      </c>
      <c r="E134" s="16" t="s">
        <v>360</v>
      </c>
      <c r="F134" s="13" t="s">
        <v>360</v>
      </c>
      <c r="G134" s="39" t="s">
        <v>354</v>
      </c>
      <c r="H134" s="28" t="s">
        <v>1559</v>
      </c>
      <c r="I134" s="20" t="s">
        <v>133</v>
      </c>
      <c r="J134" s="40">
        <v>5</v>
      </c>
      <c r="K134" s="49" t="s">
        <v>375</v>
      </c>
      <c r="L134" s="26" t="s">
        <v>132</v>
      </c>
      <c r="M134" s="20" t="s">
        <v>133</v>
      </c>
      <c r="N134" s="20"/>
      <c r="O134" s="13" t="s">
        <v>3</v>
      </c>
      <c r="P134" s="13" t="s">
        <v>4</v>
      </c>
      <c r="Q134" s="22" t="s">
        <v>1118</v>
      </c>
      <c r="R134" s="22" t="s">
        <v>577</v>
      </c>
      <c r="S134" s="13" t="s">
        <v>578</v>
      </c>
      <c r="T134" s="22" t="s">
        <v>1387</v>
      </c>
      <c r="U134" s="13" t="s">
        <v>477</v>
      </c>
      <c r="V134" s="24">
        <v>1306737808001</v>
      </c>
      <c r="W134" s="13" t="s">
        <v>903</v>
      </c>
      <c r="X134" s="13" t="s">
        <v>969</v>
      </c>
      <c r="Y134" s="13" t="s">
        <v>635</v>
      </c>
      <c r="Z134" s="13" t="s">
        <v>969</v>
      </c>
      <c r="AA134" s="37"/>
      <c r="AB134" s="68">
        <v>372758.98</v>
      </c>
      <c r="AC134" s="29">
        <v>0</v>
      </c>
      <c r="AD134" s="37">
        <v>372758.98</v>
      </c>
      <c r="AE134" s="29">
        <v>0</v>
      </c>
      <c r="AF134" s="29">
        <f t="shared" si="70"/>
        <v>372758.98</v>
      </c>
      <c r="AG134" s="25">
        <v>0.12</v>
      </c>
      <c r="AH134" s="29">
        <f t="shared" ref="AH134:AH161" si="71">AD134*0.12</f>
        <v>44731.077599999997</v>
      </c>
      <c r="AI134" s="29">
        <f t="shared" si="63"/>
        <v>0</v>
      </c>
      <c r="AJ134" s="29">
        <f t="shared" si="64"/>
        <v>417490.0576</v>
      </c>
      <c r="AK134" s="29">
        <v>361660.85</v>
      </c>
      <c r="AL134" s="29">
        <f t="shared" si="65"/>
        <v>11098.130000000005</v>
      </c>
      <c r="AM134" s="29"/>
      <c r="AN134" s="37"/>
      <c r="AO134" s="37">
        <v>372758.98</v>
      </c>
      <c r="AP134" s="37"/>
      <c r="AQ134" s="37">
        <v>372698.45</v>
      </c>
      <c r="AR134" s="35">
        <v>0.14000000000000001</v>
      </c>
      <c r="AS134" s="35"/>
      <c r="AT134" s="37">
        <f>+AQ134*1.14</f>
        <v>424876.23299999995</v>
      </c>
      <c r="AU134" s="37"/>
      <c r="AV134" s="37"/>
      <c r="AW134" s="37"/>
      <c r="AX134" s="37"/>
      <c r="AY134" s="37"/>
      <c r="AZ134" s="37"/>
      <c r="BA134" s="37"/>
      <c r="BB134" s="37"/>
      <c r="BC134" s="37"/>
      <c r="BD134" s="37"/>
      <c r="BE134" s="37"/>
      <c r="BF134" s="29">
        <f t="shared" si="59"/>
        <v>60.529999999969732</v>
      </c>
      <c r="BG134" s="29">
        <f t="shared" si="57"/>
        <v>60.529999999969732</v>
      </c>
      <c r="BH134" s="37" t="s">
        <v>594</v>
      </c>
      <c r="BI134" s="29" t="s">
        <v>570</v>
      </c>
      <c r="BJ134" s="29" t="s">
        <v>570</v>
      </c>
      <c r="BK134" s="29" t="s">
        <v>570</v>
      </c>
      <c r="BL134" s="29" t="s">
        <v>570</v>
      </c>
      <c r="BM134" s="29" t="s">
        <v>570</v>
      </c>
      <c r="BN134" s="23">
        <v>42244</v>
      </c>
      <c r="BO134" s="23">
        <v>42264</v>
      </c>
      <c r="BP134" s="23">
        <v>42272</v>
      </c>
      <c r="BQ134" s="23">
        <v>42296</v>
      </c>
      <c r="BR134" s="13" t="s">
        <v>570</v>
      </c>
      <c r="BS134" s="23">
        <v>42307</v>
      </c>
      <c r="BT134" s="23">
        <v>42314</v>
      </c>
      <c r="BU134" s="13" t="s">
        <v>570</v>
      </c>
      <c r="BV134" s="13" t="s">
        <v>570</v>
      </c>
      <c r="BW134" s="224" t="s">
        <v>570</v>
      </c>
      <c r="BX134" s="13" t="s">
        <v>503</v>
      </c>
      <c r="BY134" s="13" t="s">
        <v>570</v>
      </c>
      <c r="BZ134" s="13" t="s">
        <v>503</v>
      </c>
      <c r="CA134" s="23">
        <v>42349</v>
      </c>
      <c r="CB134" s="224" t="s">
        <v>570</v>
      </c>
      <c r="CC134" s="224" t="s">
        <v>570</v>
      </c>
      <c r="CD134" s="224" t="s">
        <v>570</v>
      </c>
      <c r="CE134" s="23"/>
      <c r="CF134" s="127" t="s">
        <v>829</v>
      </c>
      <c r="CG134" s="23"/>
      <c r="CH134" s="23"/>
      <c r="CI134" s="23"/>
      <c r="CJ134" s="23"/>
      <c r="CK134" s="23"/>
      <c r="CL134" s="23"/>
      <c r="CM134" s="23"/>
      <c r="CN134" s="23"/>
      <c r="CO134" s="23"/>
      <c r="CP134" s="23"/>
      <c r="CQ134" s="23"/>
      <c r="CR134" s="127" t="s">
        <v>829</v>
      </c>
      <c r="CS134" s="13" t="s">
        <v>570</v>
      </c>
      <c r="CT134" s="37" t="s">
        <v>452</v>
      </c>
      <c r="CU134" s="63">
        <v>0.05</v>
      </c>
      <c r="CV134" s="23">
        <v>42422</v>
      </c>
      <c r="CW134" s="30">
        <v>186349.22</v>
      </c>
      <c r="CX134" s="134" t="s">
        <v>1470</v>
      </c>
      <c r="CY134" s="23">
        <v>42578</v>
      </c>
      <c r="CZ134" s="37">
        <v>55904.77</v>
      </c>
      <c r="DA134" s="134" t="s">
        <v>1471</v>
      </c>
      <c r="DB134" s="23">
        <v>42612</v>
      </c>
      <c r="DC134" s="37">
        <v>55904.77</v>
      </c>
      <c r="DD134" s="134" t="s">
        <v>1472</v>
      </c>
      <c r="DE134" s="99">
        <v>42800</v>
      </c>
      <c r="DF134" s="167">
        <v>63502.09</v>
      </c>
      <c r="DG134" s="13"/>
      <c r="DH134" s="13"/>
      <c r="DI134" s="13"/>
      <c r="DJ134" s="13"/>
      <c r="DK134" s="13"/>
      <c r="DL134" s="13"/>
      <c r="DM134" s="13"/>
      <c r="DN134" s="13"/>
      <c r="DO134" s="13"/>
      <c r="DP134" s="13"/>
      <c r="DQ134" s="13"/>
      <c r="DR134" s="13"/>
      <c r="DS134" s="13"/>
      <c r="DT134" s="13"/>
      <c r="DU134" s="13"/>
      <c r="DV134" s="13"/>
      <c r="DW134" s="13"/>
      <c r="DX134" s="13"/>
      <c r="DY134" s="31">
        <f t="shared" si="69"/>
        <v>361660.85</v>
      </c>
      <c r="DZ134" s="13"/>
      <c r="EA134" s="13"/>
      <c r="EB134" s="13"/>
      <c r="EC134" s="13"/>
      <c r="ED134" s="13"/>
      <c r="EE134" s="13"/>
      <c r="EF134" s="13"/>
      <c r="EG134" s="13">
        <v>180</v>
      </c>
      <c r="EH134" s="13" t="s">
        <v>588</v>
      </c>
      <c r="EI134" s="23">
        <f t="shared" si="67"/>
        <v>42423</v>
      </c>
      <c r="EJ134" s="23">
        <f t="shared" si="68"/>
        <v>42603</v>
      </c>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25">
        <v>0.1</v>
      </c>
      <c r="FL134" s="25">
        <v>0.15</v>
      </c>
      <c r="FM134" s="25">
        <v>0.2</v>
      </c>
      <c r="FN134" s="25">
        <v>0.3</v>
      </c>
      <c r="FO134" s="25">
        <v>0.4</v>
      </c>
      <c r="FP134" s="25">
        <v>0.5</v>
      </c>
      <c r="FQ134" s="25">
        <v>0.6</v>
      </c>
      <c r="FR134" s="25">
        <v>0.7</v>
      </c>
      <c r="FS134" s="25">
        <v>0.8</v>
      </c>
      <c r="FT134" s="25">
        <v>0.9</v>
      </c>
      <c r="FU134" s="25">
        <v>1</v>
      </c>
      <c r="FV134" s="25">
        <v>1</v>
      </c>
      <c r="FW134" s="25">
        <v>1</v>
      </c>
      <c r="FX134" s="25">
        <v>1</v>
      </c>
      <c r="FY134" s="25">
        <v>1</v>
      </c>
      <c r="FZ134" s="25">
        <v>1</v>
      </c>
      <c r="GA134" s="25">
        <v>1</v>
      </c>
      <c r="GB134" s="25">
        <v>1</v>
      </c>
      <c r="GC134" s="25">
        <v>1</v>
      </c>
      <c r="GD134" s="25">
        <v>1</v>
      </c>
      <c r="GE134" s="25">
        <v>1</v>
      </c>
      <c r="GF134" s="25">
        <v>1</v>
      </c>
      <c r="GG134" s="25">
        <v>1</v>
      </c>
      <c r="GH134" s="25">
        <v>1</v>
      </c>
      <c r="GI134" s="25">
        <v>1</v>
      </c>
      <c r="GJ134" s="25">
        <v>1</v>
      </c>
      <c r="GK134" s="25">
        <v>1</v>
      </c>
      <c r="GL134" s="25">
        <v>1</v>
      </c>
      <c r="GM134" s="25">
        <v>1</v>
      </c>
      <c r="GN134" s="25">
        <v>1</v>
      </c>
      <c r="GO134" s="25">
        <v>1</v>
      </c>
      <c r="GP134" s="25">
        <v>1</v>
      </c>
      <c r="GQ134" s="25">
        <v>1</v>
      </c>
      <c r="GR134" s="25">
        <v>1</v>
      </c>
      <c r="GS134" s="25">
        <v>1</v>
      </c>
      <c r="GT134" s="25">
        <v>1</v>
      </c>
      <c r="GU134" s="25">
        <v>1</v>
      </c>
      <c r="GV134" s="25" t="s">
        <v>455</v>
      </c>
      <c r="GW134" s="25" t="s">
        <v>455</v>
      </c>
      <c r="GX134" s="25" t="s">
        <v>455</v>
      </c>
      <c r="GY134" s="25" t="s">
        <v>455</v>
      </c>
      <c r="GZ134" s="25" t="s">
        <v>455</v>
      </c>
      <c r="HA134" s="25" t="s">
        <v>455</v>
      </c>
      <c r="HB134" s="25" t="s">
        <v>455</v>
      </c>
      <c r="HC134" s="25" t="s">
        <v>455</v>
      </c>
      <c r="HD134" s="25" t="s">
        <v>455</v>
      </c>
      <c r="HE134" s="25" t="s">
        <v>455</v>
      </c>
      <c r="HF134" s="25" t="s">
        <v>455</v>
      </c>
      <c r="HG134" s="25" t="s">
        <v>455</v>
      </c>
      <c r="HH134" s="25" t="s">
        <v>455</v>
      </c>
      <c r="HI134" s="25"/>
      <c r="HJ134" s="25"/>
      <c r="HK134" s="25"/>
      <c r="HL134" s="25"/>
      <c r="HM134" s="25"/>
      <c r="HN134" s="25"/>
      <c r="HO134" s="25"/>
      <c r="HP134" s="25"/>
      <c r="HQ134" s="25"/>
      <c r="HR134" s="25"/>
      <c r="HS134" s="25"/>
      <c r="HT134" s="25"/>
      <c r="HU134" s="13" t="s">
        <v>636</v>
      </c>
      <c r="HV134" s="13"/>
      <c r="HW134" s="32"/>
      <c r="HX134" s="23"/>
      <c r="HY134" s="55"/>
      <c r="HZ134" s="55"/>
      <c r="IA134" s="55"/>
      <c r="IB134" s="55"/>
      <c r="IC134" s="55"/>
      <c r="ID134" s="55"/>
      <c r="IE134" s="55"/>
      <c r="IF134" s="107">
        <v>372758.98</v>
      </c>
      <c r="IG134" s="107">
        <v>361660.85</v>
      </c>
      <c r="IH134" s="250">
        <f t="shared" si="66"/>
        <v>0</v>
      </c>
      <c r="II134" s="55"/>
      <c r="IJ134" s="55"/>
      <c r="IK134" s="55"/>
      <c r="IL134" s="55"/>
      <c r="IM134" s="55"/>
      <c r="IN134" s="55"/>
      <c r="IO134" s="55"/>
      <c r="IP134" s="55"/>
      <c r="IQ134" s="55"/>
      <c r="IR134" s="55"/>
      <c r="IS134" s="55"/>
      <c r="IT134" s="55"/>
      <c r="IU134" s="55"/>
      <c r="IV134" s="55"/>
      <c r="IW134" s="55"/>
      <c r="IX134" s="55"/>
      <c r="IY134" s="55"/>
      <c r="IZ134" s="55"/>
      <c r="JA134" s="55"/>
      <c r="JB134" s="55"/>
      <c r="JC134" s="55"/>
      <c r="JD134" s="55">
        <v>2017</v>
      </c>
    </row>
    <row r="135" spans="1:264" s="5" customFormat="1" ht="24.95" hidden="1" customHeight="1">
      <c r="A135" s="26" t="s">
        <v>9</v>
      </c>
      <c r="B135" s="26" t="s">
        <v>27</v>
      </c>
      <c r="C135" s="13" t="s">
        <v>349</v>
      </c>
      <c r="D135" s="13" t="s">
        <v>380</v>
      </c>
      <c r="E135" s="16" t="s">
        <v>360</v>
      </c>
      <c r="F135" s="13" t="s">
        <v>360</v>
      </c>
      <c r="G135" s="39" t="s">
        <v>354</v>
      </c>
      <c r="H135" s="28" t="s">
        <v>1548</v>
      </c>
      <c r="I135" s="69" t="s">
        <v>135</v>
      </c>
      <c r="J135" s="40">
        <v>6</v>
      </c>
      <c r="K135" s="49" t="s">
        <v>375</v>
      </c>
      <c r="L135" s="26" t="s">
        <v>134</v>
      </c>
      <c r="M135" s="20" t="s">
        <v>135</v>
      </c>
      <c r="N135" s="20"/>
      <c r="O135" s="13" t="s">
        <v>3</v>
      </c>
      <c r="P135" s="13" t="s">
        <v>4</v>
      </c>
      <c r="Q135" s="22" t="s">
        <v>1118</v>
      </c>
      <c r="R135" s="22" t="s">
        <v>579</v>
      </c>
      <c r="S135" s="13" t="s">
        <v>580</v>
      </c>
      <c r="T135" s="22" t="s">
        <v>1387</v>
      </c>
      <c r="U135" s="13" t="s">
        <v>477</v>
      </c>
      <c r="V135" s="24">
        <v>1714614649001</v>
      </c>
      <c r="W135" s="13" t="s">
        <v>969</v>
      </c>
      <c r="X135" s="13" t="s">
        <v>969</v>
      </c>
      <c r="Y135" s="13" t="s">
        <v>635</v>
      </c>
      <c r="Z135" s="13" t="s">
        <v>969</v>
      </c>
      <c r="AA135" s="37"/>
      <c r="AB135" s="68">
        <v>467896.8</v>
      </c>
      <c r="AC135" s="29">
        <v>0</v>
      </c>
      <c r="AD135" s="37">
        <v>467896.8</v>
      </c>
      <c r="AE135" s="29">
        <v>0</v>
      </c>
      <c r="AF135" s="29">
        <f t="shared" si="70"/>
        <v>467896.8</v>
      </c>
      <c r="AG135" s="25">
        <v>0.12</v>
      </c>
      <c r="AH135" s="29">
        <f t="shared" si="71"/>
        <v>56147.615999999995</v>
      </c>
      <c r="AI135" s="29">
        <f t="shared" si="63"/>
        <v>0</v>
      </c>
      <c r="AJ135" s="29">
        <f t="shared" si="64"/>
        <v>524044.41600000003</v>
      </c>
      <c r="AK135" s="29"/>
      <c r="AL135" s="29"/>
      <c r="AM135" s="29"/>
      <c r="AN135" s="37"/>
      <c r="AO135" s="37">
        <v>467896.78</v>
      </c>
      <c r="AP135" s="37"/>
      <c r="AQ135" s="37">
        <v>466351.4</v>
      </c>
      <c r="AR135" s="35">
        <v>0.14000000000000001</v>
      </c>
      <c r="AS135" s="35"/>
      <c r="AT135" s="37">
        <f>+AQ135*1.14</f>
        <v>531640.59600000002</v>
      </c>
      <c r="AU135" s="37"/>
      <c r="AV135" s="37"/>
      <c r="AW135" s="37"/>
      <c r="AX135" s="37"/>
      <c r="AY135" s="37"/>
      <c r="AZ135" s="37"/>
      <c r="BA135" s="37"/>
      <c r="BB135" s="37"/>
      <c r="BC135" s="37"/>
      <c r="BD135" s="37"/>
      <c r="BE135" s="37"/>
      <c r="BF135" s="29">
        <f t="shared" si="59"/>
        <v>1545.3999999999651</v>
      </c>
      <c r="BG135" s="29">
        <f t="shared" si="57"/>
        <v>1545.3999999999651</v>
      </c>
      <c r="BH135" s="37" t="s">
        <v>594</v>
      </c>
      <c r="BI135" s="29" t="s">
        <v>570</v>
      </c>
      <c r="BJ135" s="29" t="s">
        <v>570</v>
      </c>
      <c r="BK135" s="29" t="s">
        <v>570</v>
      </c>
      <c r="BL135" s="29" t="s">
        <v>570</v>
      </c>
      <c r="BM135" s="29" t="s">
        <v>570</v>
      </c>
      <c r="BN135" s="23">
        <v>42244</v>
      </c>
      <c r="BO135" s="23">
        <v>42264</v>
      </c>
      <c r="BP135" s="23">
        <v>42272</v>
      </c>
      <c r="BQ135" s="23">
        <v>42296</v>
      </c>
      <c r="BR135" s="13" t="s">
        <v>570</v>
      </c>
      <c r="BS135" s="23">
        <v>42307</v>
      </c>
      <c r="BT135" s="23">
        <v>42314</v>
      </c>
      <c r="BU135" s="13" t="s">
        <v>570</v>
      </c>
      <c r="BV135" s="13" t="s">
        <v>570</v>
      </c>
      <c r="BW135" s="224" t="s">
        <v>570</v>
      </c>
      <c r="BX135" s="23">
        <v>42352</v>
      </c>
      <c r="BY135" s="13" t="s">
        <v>570</v>
      </c>
      <c r="BZ135" s="13" t="s">
        <v>503</v>
      </c>
      <c r="CA135" s="23">
        <v>42374</v>
      </c>
      <c r="CB135" s="224" t="s">
        <v>570</v>
      </c>
      <c r="CC135" s="224" t="s">
        <v>570</v>
      </c>
      <c r="CD135" s="224" t="s">
        <v>570</v>
      </c>
      <c r="CE135" s="23"/>
      <c r="CF135" s="127" t="s">
        <v>829</v>
      </c>
      <c r="CG135" s="23"/>
      <c r="CH135" s="23"/>
      <c r="CI135" s="23"/>
      <c r="CJ135" s="23"/>
      <c r="CK135" s="23"/>
      <c r="CL135" s="23"/>
      <c r="CM135" s="23"/>
      <c r="CN135" s="23"/>
      <c r="CO135" s="23"/>
      <c r="CP135" s="23"/>
      <c r="CQ135" s="23"/>
      <c r="CR135" s="127" t="s">
        <v>829</v>
      </c>
      <c r="CS135" s="13" t="s">
        <v>570</v>
      </c>
      <c r="CT135" s="37" t="s">
        <v>452</v>
      </c>
      <c r="CU135" s="25">
        <v>0.05</v>
      </c>
      <c r="CV135" s="23">
        <v>42550</v>
      </c>
      <c r="CW135" s="30">
        <f>AQ135*0.5</f>
        <v>233175.7</v>
      </c>
      <c r="CX135" s="30"/>
      <c r="CY135" s="23">
        <v>42706</v>
      </c>
      <c r="CZ135" s="30">
        <f>139905.42-69952.71</f>
        <v>69952.710000000006</v>
      </c>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31">
        <f t="shared" si="69"/>
        <v>303128.41000000003</v>
      </c>
      <c r="DZ135" s="13"/>
      <c r="EA135" s="13"/>
      <c r="EB135" s="13"/>
      <c r="EC135" s="13"/>
      <c r="ED135" s="13"/>
      <c r="EE135" s="13"/>
      <c r="EF135" s="13"/>
      <c r="EG135" s="13">
        <v>180</v>
      </c>
      <c r="EH135" s="13" t="s">
        <v>588</v>
      </c>
      <c r="EI135" s="23">
        <f t="shared" si="67"/>
        <v>42551</v>
      </c>
      <c r="EJ135" s="23">
        <f t="shared" si="68"/>
        <v>42731</v>
      </c>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25">
        <v>0.2</v>
      </c>
      <c r="FO135" s="25">
        <v>0.3</v>
      </c>
      <c r="FP135" s="25">
        <v>0.4</v>
      </c>
      <c r="FQ135" s="25">
        <v>0.6</v>
      </c>
      <c r="FR135" s="25">
        <v>0.7</v>
      </c>
      <c r="FS135" s="25">
        <v>0.8</v>
      </c>
      <c r="FT135" s="25">
        <v>0.9</v>
      </c>
      <c r="FU135" s="25">
        <v>1</v>
      </c>
      <c r="FV135" s="25">
        <v>1</v>
      </c>
      <c r="FW135" s="25">
        <v>1</v>
      </c>
      <c r="FX135" s="25">
        <v>1</v>
      </c>
      <c r="FY135" s="25">
        <v>1</v>
      </c>
      <c r="FZ135" s="25">
        <v>1</v>
      </c>
      <c r="GA135" s="25">
        <v>1</v>
      </c>
      <c r="GB135" s="25">
        <v>1</v>
      </c>
      <c r="GC135" s="25">
        <v>1</v>
      </c>
      <c r="GD135" s="25">
        <v>1</v>
      </c>
      <c r="GE135" s="25">
        <v>1</v>
      </c>
      <c r="GF135" s="25">
        <v>1</v>
      </c>
      <c r="GG135" s="25">
        <v>1</v>
      </c>
      <c r="GH135" s="25">
        <v>1</v>
      </c>
      <c r="GI135" s="25">
        <v>1</v>
      </c>
      <c r="GJ135" s="25">
        <v>1</v>
      </c>
      <c r="GK135" s="25">
        <v>1</v>
      </c>
      <c r="GL135" s="25">
        <v>1</v>
      </c>
      <c r="GM135" s="25">
        <v>1</v>
      </c>
      <c r="GN135" s="25">
        <v>1</v>
      </c>
      <c r="GO135" s="25">
        <v>1</v>
      </c>
      <c r="GP135" s="25">
        <v>1</v>
      </c>
      <c r="GQ135" s="25">
        <v>1</v>
      </c>
      <c r="GR135" s="25">
        <v>1</v>
      </c>
      <c r="GS135" s="25">
        <v>1</v>
      </c>
      <c r="GT135" s="25">
        <v>1</v>
      </c>
      <c r="GU135" s="25">
        <v>1</v>
      </c>
      <c r="GV135" s="25" t="s">
        <v>1588</v>
      </c>
      <c r="GW135" s="25" t="s">
        <v>1588</v>
      </c>
      <c r="GX135" s="25" t="s">
        <v>1588</v>
      </c>
      <c r="GY135" s="25" t="s">
        <v>1588</v>
      </c>
      <c r="GZ135" s="25" t="s">
        <v>1588</v>
      </c>
      <c r="HA135" s="25" t="s">
        <v>1588</v>
      </c>
      <c r="HB135" s="25" t="s">
        <v>1588</v>
      </c>
      <c r="HC135" s="25" t="s">
        <v>1588</v>
      </c>
      <c r="HD135" s="25" t="s">
        <v>1588</v>
      </c>
      <c r="HE135" s="25" t="s">
        <v>1588</v>
      </c>
      <c r="HF135" s="25" t="s">
        <v>1588</v>
      </c>
      <c r="HG135" s="25" t="s">
        <v>1588</v>
      </c>
      <c r="HH135" s="25" t="s">
        <v>1588</v>
      </c>
      <c r="HI135" s="25"/>
      <c r="HJ135" s="25"/>
      <c r="HK135" s="25"/>
      <c r="HL135" s="25"/>
      <c r="HM135" s="25"/>
      <c r="HN135" s="25"/>
      <c r="HO135" s="25" t="s">
        <v>1842</v>
      </c>
      <c r="HP135" s="25"/>
      <c r="HQ135" s="25"/>
      <c r="HR135" s="25"/>
      <c r="HS135" s="25"/>
      <c r="HT135" s="25"/>
      <c r="HU135" s="13"/>
      <c r="HV135" s="13"/>
      <c r="HW135" s="32"/>
      <c r="HX135" s="55"/>
      <c r="HY135" s="55"/>
      <c r="HZ135" s="55"/>
      <c r="IA135" s="55"/>
      <c r="IB135" s="55"/>
      <c r="IC135" s="55"/>
      <c r="ID135" s="55"/>
      <c r="IE135" s="55"/>
      <c r="IF135" s="107">
        <v>467896.8</v>
      </c>
      <c r="IG135" s="107"/>
      <c r="IH135" s="250">
        <f t="shared" si="66"/>
        <v>0</v>
      </c>
      <c r="II135" s="55"/>
      <c r="IJ135" s="55"/>
      <c r="IK135" s="55"/>
      <c r="IL135" s="55"/>
      <c r="IM135" s="55"/>
      <c r="IN135" s="55"/>
      <c r="IO135" s="55"/>
      <c r="IP135" s="55"/>
      <c r="IQ135" s="55"/>
      <c r="IR135" s="55"/>
      <c r="IS135" s="55"/>
      <c r="IT135" s="55"/>
      <c r="IU135" s="55"/>
      <c r="IV135" s="55"/>
      <c r="IW135" s="55"/>
      <c r="IX135" s="55"/>
      <c r="IY135" s="55"/>
      <c r="IZ135" s="55"/>
      <c r="JA135" s="55"/>
      <c r="JB135" s="55"/>
      <c r="JC135" s="55"/>
      <c r="JD135" s="55">
        <v>2017</v>
      </c>
    </row>
    <row r="136" spans="1:264" s="5" customFormat="1" ht="24.95" hidden="1" customHeight="1">
      <c r="A136" s="26" t="s">
        <v>9</v>
      </c>
      <c r="B136" s="26" t="s">
        <v>27</v>
      </c>
      <c r="C136" s="13" t="s">
        <v>349</v>
      </c>
      <c r="D136" s="13" t="s">
        <v>380</v>
      </c>
      <c r="E136" s="16" t="s">
        <v>360</v>
      </c>
      <c r="F136" s="13" t="s">
        <v>360</v>
      </c>
      <c r="G136" s="39" t="s">
        <v>354</v>
      </c>
      <c r="H136" s="28" t="s">
        <v>1559</v>
      </c>
      <c r="I136" s="69" t="s">
        <v>137</v>
      </c>
      <c r="J136" s="40">
        <v>7</v>
      </c>
      <c r="K136" s="49" t="s">
        <v>375</v>
      </c>
      <c r="L136" s="26" t="s">
        <v>136</v>
      </c>
      <c r="M136" s="20" t="s">
        <v>137</v>
      </c>
      <c r="N136" s="20"/>
      <c r="O136" s="13" t="s">
        <v>3</v>
      </c>
      <c r="P136" s="13" t="s">
        <v>4</v>
      </c>
      <c r="Q136" s="22" t="s">
        <v>1118</v>
      </c>
      <c r="R136" s="26" t="s">
        <v>136</v>
      </c>
      <c r="S136" s="13" t="s">
        <v>581</v>
      </c>
      <c r="T136" s="22" t="s">
        <v>1387</v>
      </c>
      <c r="U136" s="13" t="s">
        <v>477</v>
      </c>
      <c r="V136" s="24">
        <v>1308823697001</v>
      </c>
      <c r="W136" s="13" t="s">
        <v>903</v>
      </c>
      <c r="X136" s="13" t="s">
        <v>969</v>
      </c>
      <c r="Y136" s="13" t="s">
        <v>903</v>
      </c>
      <c r="Z136" s="13" t="s">
        <v>969</v>
      </c>
      <c r="AA136" s="37"/>
      <c r="AB136" s="68">
        <v>104515.86</v>
      </c>
      <c r="AC136" s="29">
        <v>0</v>
      </c>
      <c r="AD136" s="37">
        <v>104515.85714285713</v>
      </c>
      <c r="AE136" s="29">
        <v>0</v>
      </c>
      <c r="AF136" s="29">
        <f t="shared" si="70"/>
        <v>104515.85714285713</v>
      </c>
      <c r="AG136" s="25">
        <v>0.12</v>
      </c>
      <c r="AH136" s="29">
        <f t="shared" si="71"/>
        <v>12541.902857142855</v>
      </c>
      <c r="AI136" s="29">
        <f t="shared" si="63"/>
        <v>0</v>
      </c>
      <c r="AJ136" s="29">
        <f t="shared" si="64"/>
        <v>117057.76</v>
      </c>
      <c r="AK136" s="29">
        <v>103638.01000000001</v>
      </c>
      <c r="AL136" s="29">
        <f>AB136-AK136</f>
        <v>877.84999999999127</v>
      </c>
      <c r="AM136" s="29"/>
      <c r="AN136" s="37"/>
      <c r="AO136" s="37">
        <v>104515.85714285713</v>
      </c>
      <c r="AP136" s="37"/>
      <c r="AQ136" s="37">
        <v>103765.02</v>
      </c>
      <c r="AR136" s="35">
        <v>0.14000000000000001</v>
      </c>
      <c r="AS136" s="35"/>
      <c r="AT136" s="37">
        <f>+AQ136+1.14</f>
        <v>103766.16</v>
      </c>
      <c r="AU136" s="37"/>
      <c r="AV136" s="37"/>
      <c r="AW136" s="37"/>
      <c r="AX136" s="37"/>
      <c r="AY136" s="37"/>
      <c r="AZ136" s="37"/>
      <c r="BA136" s="37"/>
      <c r="BB136" s="37"/>
      <c r="BC136" s="37"/>
      <c r="BD136" s="37"/>
      <c r="BE136" s="37"/>
      <c r="BF136" s="29">
        <f t="shared" si="59"/>
        <v>750.83999999999651</v>
      </c>
      <c r="BG136" s="29">
        <f t="shared" si="57"/>
        <v>750.83999999999651</v>
      </c>
      <c r="BH136" s="37" t="s">
        <v>594</v>
      </c>
      <c r="BI136" s="29" t="s">
        <v>570</v>
      </c>
      <c r="BJ136" s="29" t="s">
        <v>570</v>
      </c>
      <c r="BK136" s="29" t="s">
        <v>570</v>
      </c>
      <c r="BL136" s="29" t="s">
        <v>570</v>
      </c>
      <c r="BM136" s="29" t="s">
        <v>570</v>
      </c>
      <c r="BN136" s="23">
        <v>42237</v>
      </c>
      <c r="BO136" s="23">
        <v>42268</v>
      </c>
      <c r="BP136" s="23">
        <v>42275</v>
      </c>
      <c r="BQ136" s="23">
        <v>42282</v>
      </c>
      <c r="BR136" s="13" t="s">
        <v>570</v>
      </c>
      <c r="BS136" s="23">
        <v>42300</v>
      </c>
      <c r="BT136" s="23">
        <v>42304</v>
      </c>
      <c r="BU136" s="13" t="s">
        <v>570</v>
      </c>
      <c r="BV136" s="13" t="s">
        <v>570</v>
      </c>
      <c r="BW136" s="224" t="s">
        <v>570</v>
      </c>
      <c r="BX136" s="23">
        <v>42304</v>
      </c>
      <c r="BY136" s="13" t="s">
        <v>570</v>
      </c>
      <c r="BZ136" s="13" t="s">
        <v>503</v>
      </c>
      <c r="CA136" s="13" t="s">
        <v>582</v>
      </c>
      <c r="CB136" s="224" t="s">
        <v>570</v>
      </c>
      <c r="CC136" s="224" t="s">
        <v>570</v>
      </c>
      <c r="CD136" s="224" t="s">
        <v>570</v>
      </c>
      <c r="CE136" s="13"/>
      <c r="CF136" s="127" t="s">
        <v>829</v>
      </c>
      <c r="CG136" s="13"/>
      <c r="CH136" s="13"/>
      <c r="CI136" s="13"/>
      <c r="CJ136" s="13"/>
      <c r="CK136" s="13"/>
      <c r="CL136" s="13"/>
      <c r="CM136" s="13"/>
      <c r="CN136" s="13"/>
      <c r="CO136" s="13"/>
      <c r="CP136" s="13"/>
      <c r="CQ136" s="13"/>
      <c r="CR136" s="13" t="s">
        <v>582</v>
      </c>
      <c r="CS136" s="13" t="s">
        <v>570</v>
      </c>
      <c r="CT136" s="37" t="s">
        <v>452</v>
      </c>
      <c r="CU136" s="25">
        <v>0.05</v>
      </c>
      <c r="CV136" s="23">
        <v>42422</v>
      </c>
      <c r="CW136" s="30">
        <f>AQ136*0.5</f>
        <v>51882.51</v>
      </c>
      <c r="CX136" s="30"/>
      <c r="CY136" s="23">
        <v>42550</v>
      </c>
      <c r="CZ136" s="37">
        <v>41506.01</v>
      </c>
      <c r="DA136" s="37"/>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31">
        <f t="shared" si="69"/>
        <v>93388.52</v>
      </c>
      <c r="DZ136" s="13"/>
      <c r="EA136" s="13"/>
      <c r="EB136" s="13"/>
      <c r="EC136" s="13"/>
      <c r="ED136" s="13"/>
      <c r="EE136" s="13"/>
      <c r="EF136" s="13"/>
      <c r="EG136" s="13">
        <v>120</v>
      </c>
      <c r="EH136" s="13" t="s">
        <v>588</v>
      </c>
      <c r="EI136" s="23">
        <f t="shared" si="67"/>
        <v>42423</v>
      </c>
      <c r="EJ136" s="23">
        <f t="shared" si="68"/>
        <v>42543</v>
      </c>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25">
        <v>0.2</v>
      </c>
      <c r="FK136" s="25">
        <v>0.4</v>
      </c>
      <c r="FL136" s="25">
        <v>0.6</v>
      </c>
      <c r="FM136" s="25">
        <v>0.8</v>
      </c>
      <c r="FN136" s="25">
        <v>1</v>
      </c>
      <c r="FO136" s="25">
        <v>1</v>
      </c>
      <c r="FP136" s="25">
        <v>1</v>
      </c>
      <c r="FQ136" s="25">
        <v>1</v>
      </c>
      <c r="FR136" s="25">
        <v>1</v>
      </c>
      <c r="FS136" s="25">
        <v>1</v>
      </c>
      <c r="FT136" s="25">
        <v>1</v>
      </c>
      <c r="FU136" s="25">
        <v>1</v>
      </c>
      <c r="FV136" s="25">
        <v>1</v>
      </c>
      <c r="FW136" s="25">
        <v>1</v>
      </c>
      <c r="FX136" s="25">
        <v>1</v>
      </c>
      <c r="FY136" s="25">
        <v>1</v>
      </c>
      <c r="FZ136" s="25">
        <v>1</v>
      </c>
      <c r="GA136" s="25">
        <v>1</v>
      </c>
      <c r="GB136" s="25">
        <v>1</v>
      </c>
      <c r="GC136" s="25">
        <v>1</v>
      </c>
      <c r="GD136" s="25">
        <v>1</v>
      </c>
      <c r="GE136" s="25">
        <v>1</v>
      </c>
      <c r="GF136" s="25">
        <v>1</v>
      </c>
      <c r="GG136" s="25">
        <v>1</v>
      </c>
      <c r="GH136" s="25">
        <v>1</v>
      </c>
      <c r="GI136" s="25">
        <v>1</v>
      </c>
      <c r="GJ136" s="25">
        <v>1</v>
      </c>
      <c r="GK136" s="25">
        <v>1</v>
      </c>
      <c r="GL136" s="25">
        <v>1</v>
      </c>
      <c r="GM136" s="25">
        <v>1</v>
      </c>
      <c r="GN136" s="25">
        <v>1</v>
      </c>
      <c r="GO136" s="25">
        <v>1</v>
      </c>
      <c r="GP136" s="25">
        <v>1</v>
      </c>
      <c r="GQ136" s="25">
        <v>1</v>
      </c>
      <c r="GR136" s="25">
        <v>1</v>
      </c>
      <c r="GS136" s="25">
        <v>1</v>
      </c>
      <c r="GT136" s="25">
        <v>1</v>
      </c>
      <c r="GU136" s="25">
        <v>1</v>
      </c>
      <c r="GV136" s="25" t="s">
        <v>455</v>
      </c>
      <c r="GW136" s="25" t="s">
        <v>455</v>
      </c>
      <c r="GX136" s="25" t="s">
        <v>455</v>
      </c>
      <c r="GY136" s="25" t="s">
        <v>455</v>
      </c>
      <c r="GZ136" s="25" t="s">
        <v>455</v>
      </c>
      <c r="HA136" s="25" t="s">
        <v>455</v>
      </c>
      <c r="HB136" s="25" t="s">
        <v>455</v>
      </c>
      <c r="HC136" s="25" t="s">
        <v>455</v>
      </c>
      <c r="HD136" s="25" t="s">
        <v>455</v>
      </c>
      <c r="HE136" s="25" t="s">
        <v>455</v>
      </c>
      <c r="HF136" s="25" t="s">
        <v>455</v>
      </c>
      <c r="HG136" s="25" t="s">
        <v>455</v>
      </c>
      <c r="HH136" s="25" t="s">
        <v>455</v>
      </c>
      <c r="HI136" s="25"/>
      <c r="HJ136" s="25"/>
      <c r="HK136" s="25"/>
      <c r="HL136" s="25"/>
      <c r="HM136" s="25"/>
      <c r="HN136" s="25"/>
      <c r="HO136" s="25"/>
      <c r="HP136" s="25"/>
      <c r="HQ136" s="25"/>
      <c r="HR136" s="25"/>
      <c r="HS136" s="25"/>
      <c r="HT136" s="25"/>
      <c r="HU136" s="13" t="s">
        <v>636</v>
      </c>
      <c r="HV136" s="13"/>
      <c r="HW136" s="32"/>
      <c r="HX136" s="23"/>
      <c r="HY136" s="55"/>
      <c r="HZ136" s="55"/>
      <c r="IA136" s="55"/>
      <c r="IB136" s="55"/>
      <c r="IC136" s="55"/>
      <c r="ID136" s="55"/>
      <c r="IE136" s="55"/>
      <c r="IF136" s="107">
        <v>104515.86</v>
      </c>
      <c r="IG136" s="107">
        <v>103638.01000000001</v>
      </c>
      <c r="IH136" s="250">
        <f t="shared" si="66"/>
        <v>0</v>
      </c>
      <c r="II136" s="55"/>
      <c r="IJ136" s="55"/>
      <c r="IK136" s="55"/>
      <c r="IL136" s="55"/>
      <c r="IM136" s="55"/>
      <c r="IN136" s="55"/>
      <c r="IO136" s="55"/>
      <c r="IP136" s="55"/>
      <c r="IQ136" s="55"/>
      <c r="IR136" s="55"/>
      <c r="IS136" s="55"/>
      <c r="IT136" s="55"/>
      <c r="IU136" s="55"/>
      <c r="IV136" s="55"/>
      <c r="IW136" s="55"/>
      <c r="IX136" s="55"/>
      <c r="IY136" s="55"/>
      <c r="IZ136" s="55"/>
      <c r="JA136" s="55"/>
      <c r="JB136" s="55"/>
      <c r="JC136" s="55"/>
      <c r="JD136" s="55">
        <v>2016</v>
      </c>
    </row>
    <row r="137" spans="1:264" s="5" customFormat="1" ht="54" hidden="1" customHeight="1">
      <c r="A137" s="26" t="s">
        <v>9</v>
      </c>
      <c r="B137" s="26" t="s">
        <v>27</v>
      </c>
      <c r="C137" s="13" t="s">
        <v>352</v>
      </c>
      <c r="D137" s="13" t="s">
        <v>377</v>
      </c>
      <c r="E137" s="16" t="s">
        <v>378</v>
      </c>
      <c r="F137" s="13" t="s">
        <v>357</v>
      </c>
      <c r="G137" s="39" t="s">
        <v>354</v>
      </c>
      <c r="H137" s="28" t="s">
        <v>1559</v>
      </c>
      <c r="I137" s="20" t="s">
        <v>368</v>
      </c>
      <c r="J137" s="40">
        <v>8</v>
      </c>
      <c r="K137" s="49" t="s">
        <v>375</v>
      </c>
      <c r="L137" s="26" t="s">
        <v>617</v>
      </c>
      <c r="M137" s="20" t="s">
        <v>368</v>
      </c>
      <c r="N137" s="20"/>
      <c r="O137" s="13" t="s">
        <v>3</v>
      </c>
      <c r="P137" s="13" t="s">
        <v>4</v>
      </c>
      <c r="Q137" s="22" t="s">
        <v>1118</v>
      </c>
      <c r="R137" s="22" t="s">
        <v>1502</v>
      </c>
      <c r="S137" s="13" t="s">
        <v>1385</v>
      </c>
      <c r="T137" s="13" t="s">
        <v>1503</v>
      </c>
      <c r="U137" s="13" t="s">
        <v>479</v>
      </c>
      <c r="V137" s="24">
        <v>1091762427001</v>
      </c>
      <c r="W137" s="13"/>
      <c r="X137" s="13"/>
      <c r="Y137" s="13"/>
      <c r="Z137" s="13"/>
      <c r="AA137" s="37"/>
      <c r="AB137" s="68">
        <v>470271.42</v>
      </c>
      <c r="AC137" s="29">
        <v>0</v>
      </c>
      <c r="AD137" s="37">
        <v>470271.42</v>
      </c>
      <c r="AE137" s="29">
        <v>0</v>
      </c>
      <c r="AF137" s="29">
        <f t="shared" si="70"/>
        <v>470271.42</v>
      </c>
      <c r="AG137" s="25">
        <v>0.12</v>
      </c>
      <c r="AH137" s="29">
        <f t="shared" si="71"/>
        <v>56432.570399999997</v>
      </c>
      <c r="AI137" s="29">
        <f t="shared" si="63"/>
        <v>0</v>
      </c>
      <c r="AJ137" s="29">
        <f t="shared" si="64"/>
        <v>526703.99040000001</v>
      </c>
      <c r="AK137" s="29">
        <v>463680.66</v>
      </c>
      <c r="AL137" s="29">
        <f>AB137-AK137</f>
        <v>6590.7600000000093</v>
      </c>
      <c r="AM137" s="29"/>
      <c r="AN137" s="37"/>
      <c r="AO137" s="37">
        <v>470271.42</v>
      </c>
      <c r="AP137" s="37"/>
      <c r="AQ137" s="37">
        <v>464267.47</v>
      </c>
      <c r="AR137" s="25">
        <v>0.14000000000000001</v>
      </c>
      <c r="AS137" s="37">
        <f>AQ137*0.14</f>
        <v>64997.445800000001</v>
      </c>
      <c r="AT137" s="37">
        <f>AQ137*1.14</f>
        <v>529264.91579999996</v>
      </c>
      <c r="AU137" s="37"/>
      <c r="AV137" s="37"/>
      <c r="AW137" s="37"/>
      <c r="AX137" s="37"/>
      <c r="AY137" s="37"/>
      <c r="AZ137" s="37"/>
      <c r="BA137" s="37"/>
      <c r="BB137" s="37"/>
      <c r="BC137" s="37"/>
      <c r="BD137" s="37"/>
      <c r="BE137" s="37"/>
      <c r="BF137" s="29">
        <f t="shared" si="59"/>
        <v>6003.9500000000116</v>
      </c>
      <c r="BG137" s="29">
        <f t="shared" si="57"/>
        <v>6003.9500000000116</v>
      </c>
      <c r="BH137" s="37" t="s">
        <v>594</v>
      </c>
      <c r="BI137" s="29" t="s">
        <v>570</v>
      </c>
      <c r="BJ137" s="29" t="s">
        <v>570</v>
      </c>
      <c r="BK137" s="29" t="s">
        <v>570</v>
      </c>
      <c r="BL137" s="29" t="s">
        <v>570</v>
      </c>
      <c r="BM137" s="29" t="s">
        <v>570</v>
      </c>
      <c r="BN137" s="23">
        <v>42787</v>
      </c>
      <c r="BO137" s="23">
        <v>42800</v>
      </c>
      <c r="BP137" s="23">
        <v>42807</v>
      </c>
      <c r="BQ137" s="23">
        <v>42814</v>
      </c>
      <c r="BR137" s="13" t="s">
        <v>570</v>
      </c>
      <c r="BS137" s="23">
        <v>42823</v>
      </c>
      <c r="BT137" s="23">
        <v>42825</v>
      </c>
      <c r="BU137" s="13" t="s">
        <v>570</v>
      </c>
      <c r="BV137" s="13" t="s">
        <v>570</v>
      </c>
      <c r="BW137" s="224" t="s">
        <v>570</v>
      </c>
      <c r="BX137" s="23">
        <v>42858</v>
      </c>
      <c r="BY137" s="23"/>
      <c r="BZ137" s="13"/>
      <c r="CA137" s="23">
        <v>42870</v>
      </c>
      <c r="CB137" s="224" t="s">
        <v>570</v>
      </c>
      <c r="CC137" s="224" t="s">
        <v>570</v>
      </c>
      <c r="CD137" s="224" t="s">
        <v>570</v>
      </c>
      <c r="CE137" s="13"/>
      <c r="CF137" s="13"/>
      <c r="CG137" s="13"/>
      <c r="CH137" s="13"/>
      <c r="CI137" s="13"/>
      <c r="CJ137" s="13"/>
      <c r="CK137" s="13"/>
      <c r="CL137" s="13"/>
      <c r="CM137" s="13"/>
      <c r="CN137" s="13"/>
      <c r="CO137" s="13"/>
      <c r="CP137" s="13"/>
      <c r="CQ137" s="13"/>
      <c r="CR137" s="13"/>
      <c r="CS137" s="13"/>
      <c r="CT137" s="37"/>
      <c r="CU137" s="37"/>
      <c r="CV137" s="23" t="s">
        <v>503</v>
      </c>
      <c r="CW137" s="30"/>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31">
        <f t="shared" si="69"/>
        <v>0</v>
      </c>
      <c r="DZ137" s="13"/>
      <c r="EA137" s="13"/>
      <c r="EB137" s="13"/>
      <c r="EC137" s="13"/>
      <c r="ED137" s="13"/>
      <c r="EE137" s="13"/>
      <c r="EF137" s="13"/>
      <c r="EG137" s="13">
        <v>150</v>
      </c>
      <c r="EH137" s="13" t="s">
        <v>588</v>
      </c>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25">
        <v>0</v>
      </c>
      <c r="FZ137" s="25">
        <v>0</v>
      </c>
      <c r="GA137" s="25">
        <v>0</v>
      </c>
      <c r="GB137" s="25">
        <v>0.5</v>
      </c>
      <c r="GC137" s="25">
        <v>0.5</v>
      </c>
      <c r="GD137" s="25">
        <v>0.95</v>
      </c>
      <c r="GE137" s="25">
        <v>0.95</v>
      </c>
      <c r="GF137" s="25">
        <v>0.95</v>
      </c>
      <c r="GG137" s="25">
        <v>0.95</v>
      </c>
      <c r="GH137" s="25">
        <v>1</v>
      </c>
      <c r="GI137" s="25">
        <v>1</v>
      </c>
      <c r="GJ137" s="25">
        <v>1</v>
      </c>
      <c r="GK137" s="25">
        <v>1</v>
      </c>
      <c r="GL137" s="25">
        <v>1</v>
      </c>
      <c r="GM137" s="25">
        <v>1</v>
      </c>
      <c r="GN137" s="25">
        <v>1</v>
      </c>
      <c r="GO137" s="25">
        <v>1</v>
      </c>
      <c r="GP137" s="25">
        <v>1</v>
      </c>
      <c r="GQ137" s="25">
        <v>1</v>
      </c>
      <c r="GR137" s="25">
        <v>1</v>
      </c>
      <c r="GS137" s="25">
        <v>1</v>
      </c>
      <c r="GT137" s="25">
        <v>1</v>
      </c>
      <c r="GU137" s="25">
        <v>1</v>
      </c>
      <c r="GV137" s="25" t="s">
        <v>1588</v>
      </c>
      <c r="GW137" s="25" t="s">
        <v>1588</v>
      </c>
      <c r="GX137" s="25" t="s">
        <v>1588</v>
      </c>
      <c r="GY137" s="25" t="s">
        <v>1588</v>
      </c>
      <c r="GZ137" s="25" t="s">
        <v>1588</v>
      </c>
      <c r="HA137" s="25" t="s">
        <v>455</v>
      </c>
      <c r="HB137" s="25" t="s">
        <v>455</v>
      </c>
      <c r="HC137" s="25" t="s">
        <v>455</v>
      </c>
      <c r="HD137" s="25" t="s">
        <v>455</v>
      </c>
      <c r="HE137" s="25" t="s">
        <v>455</v>
      </c>
      <c r="HF137" s="25" t="s">
        <v>455</v>
      </c>
      <c r="HG137" s="25" t="s">
        <v>455</v>
      </c>
      <c r="HH137" s="25" t="s">
        <v>455</v>
      </c>
      <c r="HI137" s="25" t="s">
        <v>1644</v>
      </c>
      <c r="HJ137" s="25"/>
      <c r="HK137" s="25"/>
      <c r="HL137" s="25" t="s">
        <v>1699</v>
      </c>
      <c r="HM137" s="25" t="s">
        <v>1740</v>
      </c>
      <c r="HN137" s="25" t="s">
        <v>1775</v>
      </c>
      <c r="HO137" s="25"/>
      <c r="HP137" s="25"/>
      <c r="HQ137" s="25"/>
      <c r="HR137" s="25"/>
      <c r="HS137" s="25"/>
      <c r="HT137" s="25"/>
      <c r="HU137" s="13" t="s">
        <v>1541</v>
      </c>
      <c r="HV137" s="16"/>
      <c r="HW137" s="13" t="s">
        <v>1202</v>
      </c>
      <c r="HX137" s="23">
        <v>42425</v>
      </c>
      <c r="HY137" s="55"/>
      <c r="HZ137" s="55"/>
      <c r="IA137" s="55"/>
      <c r="IB137" s="55"/>
      <c r="IC137" s="55"/>
      <c r="ID137" s="55"/>
      <c r="IE137" s="55"/>
      <c r="IF137" s="107">
        <v>470271.42</v>
      </c>
      <c r="IG137" s="107">
        <v>463680.66</v>
      </c>
      <c r="IH137" s="250">
        <f t="shared" si="66"/>
        <v>0</v>
      </c>
      <c r="II137" s="55"/>
      <c r="IJ137" s="55"/>
      <c r="IK137" s="55"/>
      <c r="IL137" s="55"/>
      <c r="IM137" s="55"/>
      <c r="IN137" s="55"/>
      <c r="IO137" s="55"/>
      <c r="IP137" s="55"/>
      <c r="IQ137" s="55"/>
      <c r="IR137" s="55"/>
      <c r="IS137" s="55"/>
      <c r="IT137" s="55"/>
      <c r="IU137" s="55"/>
      <c r="IV137" s="55"/>
      <c r="IW137" s="55"/>
      <c r="IX137" s="55"/>
      <c r="IY137" s="55"/>
      <c r="IZ137" s="55"/>
      <c r="JA137" s="55"/>
      <c r="JB137" s="55"/>
      <c r="JC137" s="55"/>
      <c r="JD137" s="55">
        <v>2018</v>
      </c>
    </row>
    <row r="138" spans="1:264" s="5" customFormat="1" ht="24.95" hidden="1" customHeight="1">
      <c r="A138" s="26" t="s">
        <v>9</v>
      </c>
      <c r="B138" s="26" t="s">
        <v>27</v>
      </c>
      <c r="C138" s="13" t="s">
        <v>349</v>
      </c>
      <c r="D138" s="13" t="s">
        <v>380</v>
      </c>
      <c r="E138" s="16" t="s">
        <v>350</v>
      </c>
      <c r="F138" s="13" t="s">
        <v>350</v>
      </c>
      <c r="G138" s="39" t="s">
        <v>351</v>
      </c>
      <c r="H138" s="28" t="s">
        <v>1559</v>
      </c>
      <c r="I138" s="47" t="s">
        <v>438</v>
      </c>
      <c r="J138" s="40">
        <v>9</v>
      </c>
      <c r="K138" s="49" t="s">
        <v>375</v>
      </c>
      <c r="L138" s="26" t="s">
        <v>437</v>
      </c>
      <c r="M138" s="20" t="s">
        <v>438</v>
      </c>
      <c r="N138" s="20"/>
      <c r="O138" s="13" t="s">
        <v>3</v>
      </c>
      <c r="P138" s="13" t="s">
        <v>4</v>
      </c>
      <c r="Q138" s="22" t="s">
        <v>1118</v>
      </c>
      <c r="R138" s="22" t="s">
        <v>1608</v>
      </c>
      <c r="S138" s="70" t="s">
        <v>1612</v>
      </c>
      <c r="T138" s="13" t="s">
        <v>1387</v>
      </c>
      <c r="U138" s="13" t="s">
        <v>479</v>
      </c>
      <c r="V138" s="24">
        <v>2191737620001</v>
      </c>
      <c r="W138" s="13"/>
      <c r="X138" s="13"/>
      <c r="Y138" s="13"/>
      <c r="Z138" s="13"/>
      <c r="AA138" s="37">
        <v>72579.099999999991</v>
      </c>
      <c r="AB138" s="68">
        <v>110015.55</v>
      </c>
      <c r="AC138" s="37">
        <v>72579.099999999991</v>
      </c>
      <c r="AD138" s="37">
        <f>AA138+AA139</f>
        <v>110015.54999999999</v>
      </c>
      <c r="AE138" s="29">
        <v>0</v>
      </c>
      <c r="AF138" s="29">
        <f t="shared" si="70"/>
        <v>110015.54999999999</v>
      </c>
      <c r="AG138" s="25">
        <v>0.12</v>
      </c>
      <c r="AH138" s="29">
        <f t="shared" si="71"/>
        <v>13201.865999999998</v>
      </c>
      <c r="AI138" s="29">
        <f t="shared" si="63"/>
        <v>0</v>
      </c>
      <c r="AJ138" s="29">
        <f t="shared" si="64"/>
        <v>123217.416</v>
      </c>
      <c r="AK138" s="29">
        <v>91063.5</v>
      </c>
      <c r="AL138" s="29">
        <f>AB138-AK138</f>
        <v>18952.050000000003</v>
      </c>
      <c r="AM138" s="29"/>
      <c r="AN138" s="37"/>
      <c r="AO138" s="37">
        <v>92536.17</v>
      </c>
      <c r="AP138" s="37"/>
      <c r="AQ138" s="37">
        <v>92536.17</v>
      </c>
      <c r="AR138" s="25">
        <v>0.12</v>
      </c>
      <c r="AS138" s="37">
        <f>AQ138*0.12</f>
        <v>11104.340399999999</v>
      </c>
      <c r="AT138" s="37">
        <f>AQ138*1.12</f>
        <v>103640.51040000001</v>
      </c>
      <c r="AU138" s="37"/>
      <c r="AV138" s="37"/>
      <c r="AW138" s="37"/>
      <c r="AX138" s="37"/>
      <c r="AY138" s="37"/>
      <c r="AZ138" s="37"/>
      <c r="BA138" s="37"/>
      <c r="BB138" s="37"/>
      <c r="BC138" s="37"/>
      <c r="BD138" s="37"/>
      <c r="BE138" s="37"/>
      <c r="BF138" s="37"/>
      <c r="BG138" s="29">
        <f t="shared" ref="BG138:BG140" si="72">BF138-AW138-AZ138-BC138-BE138</f>
        <v>0</v>
      </c>
      <c r="BH138" s="37"/>
      <c r="BI138" s="29" t="s">
        <v>570</v>
      </c>
      <c r="BJ138" s="29" t="s">
        <v>570</v>
      </c>
      <c r="BK138" s="29" t="s">
        <v>570</v>
      </c>
      <c r="BL138" s="29" t="s">
        <v>570</v>
      </c>
      <c r="BM138" s="29" t="s">
        <v>570</v>
      </c>
      <c r="BN138" s="23">
        <v>42909</v>
      </c>
      <c r="BO138" s="23">
        <v>42923</v>
      </c>
      <c r="BP138" s="23">
        <v>42930</v>
      </c>
      <c r="BQ138" s="23">
        <v>42940</v>
      </c>
      <c r="BR138" s="13" t="s">
        <v>570</v>
      </c>
      <c r="BS138" s="23">
        <v>42947</v>
      </c>
      <c r="BT138" s="23">
        <v>42957</v>
      </c>
      <c r="BU138" s="13" t="s">
        <v>570</v>
      </c>
      <c r="BV138" s="13" t="s">
        <v>570</v>
      </c>
      <c r="BW138" s="224" t="s">
        <v>570</v>
      </c>
      <c r="BX138" s="23">
        <v>42969</v>
      </c>
      <c r="BY138" s="224" t="s">
        <v>570</v>
      </c>
      <c r="BZ138" s="13"/>
      <c r="CA138" s="23">
        <v>43026</v>
      </c>
      <c r="CB138" s="224" t="s">
        <v>570</v>
      </c>
      <c r="CC138" s="224" t="s">
        <v>570</v>
      </c>
      <c r="CD138" s="224" t="s">
        <v>570</v>
      </c>
      <c r="CE138" s="13"/>
      <c r="CF138" s="13"/>
      <c r="CG138" s="13"/>
      <c r="CH138" s="13"/>
      <c r="CI138" s="13"/>
      <c r="CJ138" s="13"/>
      <c r="CK138" s="13"/>
      <c r="CL138" s="13"/>
      <c r="CM138" s="13"/>
      <c r="CN138" s="13"/>
      <c r="CO138" s="13"/>
      <c r="CP138" s="13"/>
      <c r="CQ138" s="13"/>
      <c r="CR138" s="13"/>
      <c r="CS138" s="13"/>
      <c r="CT138" s="37" t="s">
        <v>570</v>
      </c>
      <c r="CU138" s="37"/>
      <c r="CV138" s="23"/>
      <c r="CW138" s="30"/>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31">
        <f t="shared" si="69"/>
        <v>0</v>
      </c>
      <c r="DZ138" s="13"/>
      <c r="EA138" s="37">
        <v>36289.550000000003</v>
      </c>
      <c r="EB138" s="37">
        <v>36289.550000000003</v>
      </c>
      <c r="EC138" s="13"/>
      <c r="ED138" s="13"/>
      <c r="EE138" s="13"/>
      <c r="EF138" s="13"/>
      <c r="EG138" s="13">
        <v>90</v>
      </c>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25">
        <v>0</v>
      </c>
      <c r="FW138" s="25">
        <v>0</v>
      </c>
      <c r="FX138" s="25">
        <v>0</v>
      </c>
      <c r="FY138" s="25">
        <v>0</v>
      </c>
      <c r="FZ138" s="25">
        <v>0</v>
      </c>
      <c r="GA138" s="25">
        <v>0</v>
      </c>
      <c r="GB138" s="25">
        <v>0</v>
      </c>
      <c r="GC138" s="25">
        <v>0</v>
      </c>
      <c r="GD138" s="25">
        <v>1</v>
      </c>
      <c r="GE138" s="25">
        <v>1</v>
      </c>
      <c r="GF138" s="25">
        <v>1</v>
      </c>
      <c r="GG138" s="25">
        <v>1</v>
      </c>
      <c r="GH138" s="25">
        <v>1</v>
      </c>
      <c r="GI138" s="25">
        <v>1</v>
      </c>
      <c r="GJ138" s="25">
        <v>1</v>
      </c>
      <c r="GK138" s="25">
        <v>1</v>
      </c>
      <c r="GL138" s="25">
        <v>1</v>
      </c>
      <c r="GM138" s="25">
        <v>1</v>
      </c>
      <c r="GN138" s="25">
        <v>1</v>
      </c>
      <c r="GO138" s="25">
        <v>1</v>
      </c>
      <c r="GP138" s="25">
        <v>1</v>
      </c>
      <c r="GQ138" s="25">
        <v>1</v>
      </c>
      <c r="GR138" s="25">
        <v>1</v>
      </c>
      <c r="GS138" s="25">
        <v>1</v>
      </c>
      <c r="GT138" s="25">
        <v>1</v>
      </c>
      <c r="GU138" s="25">
        <v>1</v>
      </c>
      <c r="GV138" s="25" t="s">
        <v>452</v>
      </c>
      <c r="GW138" s="25" t="s">
        <v>452</v>
      </c>
      <c r="GX138" s="25" t="s">
        <v>452</v>
      </c>
      <c r="GY138" s="25" t="s">
        <v>452</v>
      </c>
      <c r="GZ138" s="25" t="s">
        <v>452</v>
      </c>
      <c r="HA138" s="25" t="s">
        <v>452</v>
      </c>
      <c r="HB138" s="25" t="s">
        <v>452</v>
      </c>
      <c r="HC138" s="25" t="s">
        <v>452</v>
      </c>
      <c r="HD138" s="25" t="s">
        <v>452</v>
      </c>
      <c r="HE138" s="25" t="s">
        <v>452</v>
      </c>
      <c r="HF138" s="25" t="s">
        <v>452</v>
      </c>
      <c r="HG138" s="25" t="s">
        <v>452</v>
      </c>
      <c r="HH138" s="25" t="s">
        <v>452</v>
      </c>
      <c r="HI138" s="25"/>
      <c r="HJ138" s="25"/>
      <c r="HK138" s="25"/>
      <c r="HL138" s="25"/>
      <c r="HM138" s="25" t="s">
        <v>1741</v>
      </c>
      <c r="HN138" s="25"/>
      <c r="HO138" s="25"/>
      <c r="HP138" s="25"/>
      <c r="HQ138" s="25"/>
      <c r="HR138" s="25"/>
      <c r="HS138" s="25"/>
      <c r="HT138" s="25"/>
      <c r="HU138" s="13" t="s">
        <v>637</v>
      </c>
      <c r="HV138" s="13"/>
      <c r="HW138" s="13" t="s">
        <v>1202</v>
      </c>
      <c r="HX138" s="23">
        <v>42636</v>
      </c>
      <c r="HY138" s="55"/>
      <c r="HZ138" s="55"/>
      <c r="IA138" s="55"/>
      <c r="IB138" s="55"/>
      <c r="IC138" s="55"/>
      <c r="ID138" s="55"/>
      <c r="IE138" s="55"/>
      <c r="IF138" s="107">
        <v>110015.55</v>
      </c>
      <c r="IG138" s="107">
        <v>91063.5</v>
      </c>
      <c r="IH138" s="250">
        <f t="shared" si="66"/>
        <v>0</v>
      </c>
      <c r="II138" s="55"/>
      <c r="IJ138" s="55"/>
      <c r="IK138" s="55"/>
      <c r="IL138" s="55"/>
      <c r="IM138" s="55"/>
      <c r="IN138" s="55"/>
      <c r="IO138" s="55"/>
      <c r="IP138" s="55"/>
      <c r="IQ138" s="55"/>
      <c r="IR138" s="55"/>
      <c r="IS138" s="55"/>
      <c r="IT138" s="55"/>
      <c r="IU138" s="55"/>
      <c r="IV138" s="55"/>
      <c r="IW138" s="55"/>
      <c r="IX138" s="55"/>
      <c r="IY138" s="55"/>
      <c r="IZ138" s="55"/>
      <c r="JA138" s="55"/>
      <c r="JB138" s="55"/>
      <c r="JC138" s="55"/>
      <c r="JD138" s="55">
        <v>2018</v>
      </c>
    </row>
    <row r="139" spans="1:264" s="5" customFormat="1" ht="24.95" hidden="1" customHeight="1">
      <c r="A139" s="26" t="s">
        <v>9</v>
      </c>
      <c r="B139" s="26" t="s">
        <v>27</v>
      </c>
      <c r="C139" s="13" t="s">
        <v>349</v>
      </c>
      <c r="D139" s="13" t="s">
        <v>380</v>
      </c>
      <c r="E139" s="16" t="s">
        <v>350</v>
      </c>
      <c r="F139" s="13" t="s">
        <v>350</v>
      </c>
      <c r="G139" s="39" t="s">
        <v>351</v>
      </c>
      <c r="H139" s="28" t="s">
        <v>1559</v>
      </c>
      <c r="I139" s="47" t="s">
        <v>438</v>
      </c>
      <c r="J139" s="40">
        <v>9</v>
      </c>
      <c r="K139" s="49" t="s">
        <v>375</v>
      </c>
      <c r="L139" s="26" t="s">
        <v>437</v>
      </c>
      <c r="M139" s="20" t="s">
        <v>438</v>
      </c>
      <c r="N139" s="20"/>
      <c r="O139" s="13" t="s">
        <v>3</v>
      </c>
      <c r="P139" s="13" t="s">
        <v>4</v>
      </c>
      <c r="Q139" s="22" t="s">
        <v>1118</v>
      </c>
      <c r="R139" s="22" t="s">
        <v>1608</v>
      </c>
      <c r="S139" s="70" t="s">
        <v>1612</v>
      </c>
      <c r="T139" s="13" t="s">
        <v>1387</v>
      </c>
      <c r="U139" s="13" t="s">
        <v>479</v>
      </c>
      <c r="V139" s="24">
        <v>2191737620001</v>
      </c>
      <c r="W139" s="13"/>
      <c r="X139" s="13"/>
      <c r="Y139" s="13"/>
      <c r="Z139" s="13"/>
      <c r="AA139" s="37">
        <v>37436.449999999997</v>
      </c>
      <c r="AB139" s="68">
        <v>0</v>
      </c>
      <c r="AC139" s="37">
        <v>37436.449999999997</v>
      </c>
      <c r="AD139" s="37"/>
      <c r="AE139" s="29">
        <v>0</v>
      </c>
      <c r="AF139" s="29">
        <f t="shared" si="70"/>
        <v>0</v>
      </c>
      <c r="AG139" s="25">
        <v>0.12</v>
      </c>
      <c r="AH139" s="29">
        <f t="shared" si="71"/>
        <v>0</v>
      </c>
      <c r="AI139" s="29">
        <f t="shared" si="63"/>
        <v>0</v>
      </c>
      <c r="AJ139" s="29">
        <f t="shared" si="64"/>
        <v>0</v>
      </c>
      <c r="AK139" s="29"/>
      <c r="AL139" s="29"/>
      <c r="AM139" s="29"/>
      <c r="AN139" s="37"/>
      <c r="AO139" s="37"/>
      <c r="AP139" s="37"/>
      <c r="AQ139" s="37"/>
      <c r="AR139" s="37"/>
      <c r="AS139" s="37"/>
      <c r="AT139" s="37"/>
      <c r="AU139" s="37"/>
      <c r="AV139" s="37"/>
      <c r="AW139" s="37"/>
      <c r="AX139" s="37"/>
      <c r="AY139" s="37"/>
      <c r="AZ139" s="37"/>
      <c r="BA139" s="37"/>
      <c r="BB139" s="37"/>
      <c r="BC139" s="37"/>
      <c r="BD139" s="37"/>
      <c r="BE139" s="37"/>
      <c r="BF139" s="37"/>
      <c r="BG139" s="29">
        <f t="shared" si="72"/>
        <v>0</v>
      </c>
      <c r="BH139" s="37"/>
      <c r="BI139" s="29" t="s">
        <v>570</v>
      </c>
      <c r="BJ139" s="29" t="s">
        <v>570</v>
      </c>
      <c r="BK139" s="29" t="s">
        <v>570</v>
      </c>
      <c r="BL139" s="29" t="s">
        <v>570</v>
      </c>
      <c r="BM139" s="29" t="s">
        <v>570</v>
      </c>
      <c r="BN139" s="23">
        <v>42909</v>
      </c>
      <c r="BO139" s="23">
        <v>42923</v>
      </c>
      <c r="BP139" s="23">
        <v>42930</v>
      </c>
      <c r="BQ139" s="23">
        <v>42940</v>
      </c>
      <c r="BR139" s="13" t="s">
        <v>570</v>
      </c>
      <c r="BS139" s="23">
        <v>42947</v>
      </c>
      <c r="BT139" s="23">
        <v>42957</v>
      </c>
      <c r="BU139" s="13" t="s">
        <v>570</v>
      </c>
      <c r="BV139" s="13" t="s">
        <v>570</v>
      </c>
      <c r="BW139" s="224" t="s">
        <v>570</v>
      </c>
      <c r="BX139" s="23">
        <v>42969</v>
      </c>
      <c r="BY139" s="224" t="s">
        <v>570</v>
      </c>
      <c r="BZ139" s="13"/>
      <c r="CA139" s="23">
        <v>43026</v>
      </c>
      <c r="CB139" s="224" t="s">
        <v>570</v>
      </c>
      <c r="CC139" s="224" t="s">
        <v>570</v>
      </c>
      <c r="CD139" s="224" t="s">
        <v>570</v>
      </c>
      <c r="CE139" s="13"/>
      <c r="CF139" s="13"/>
      <c r="CG139" s="13"/>
      <c r="CH139" s="13"/>
      <c r="CI139" s="13"/>
      <c r="CJ139" s="13"/>
      <c r="CK139" s="13"/>
      <c r="CL139" s="13"/>
      <c r="CM139" s="13"/>
      <c r="CN139" s="13"/>
      <c r="CO139" s="13"/>
      <c r="CP139" s="13"/>
      <c r="CQ139" s="13"/>
      <c r="CR139" s="13"/>
      <c r="CS139" s="13"/>
      <c r="CT139" s="37" t="s">
        <v>570</v>
      </c>
      <c r="CU139" s="37"/>
      <c r="CV139" s="23"/>
      <c r="CW139" s="30"/>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31">
        <f t="shared" si="69"/>
        <v>0</v>
      </c>
      <c r="DZ139" s="13"/>
      <c r="EA139" s="13"/>
      <c r="EB139" s="13"/>
      <c r="EC139" s="13"/>
      <c r="ED139" s="13"/>
      <c r="EE139" s="13"/>
      <c r="EF139" s="13"/>
      <c r="EG139" s="13">
        <v>90</v>
      </c>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25">
        <v>0</v>
      </c>
      <c r="FW139" s="25">
        <v>0</v>
      </c>
      <c r="FX139" s="25">
        <v>0</v>
      </c>
      <c r="FY139" s="25">
        <v>0</v>
      </c>
      <c r="FZ139" s="25">
        <v>0</v>
      </c>
      <c r="GA139" s="25">
        <v>0</v>
      </c>
      <c r="GB139" s="25">
        <v>0</v>
      </c>
      <c r="GC139" s="25">
        <v>0</v>
      </c>
      <c r="GD139" s="25">
        <v>0</v>
      </c>
      <c r="GE139" s="25">
        <v>0</v>
      </c>
      <c r="GF139" s="25">
        <v>0</v>
      </c>
      <c r="GG139" s="25">
        <v>0</v>
      </c>
      <c r="GH139" s="25">
        <v>1</v>
      </c>
      <c r="GI139" s="25">
        <v>1</v>
      </c>
      <c r="GJ139" s="25">
        <v>1</v>
      </c>
      <c r="GK139" s="25">
        <v>1</v>
      </c>
      <c r="GL139" s="25">
        <v>1</v>
      </c>
      <c r="GM139" s="25">
        <v>1</v>
      </c>
      <c r="GN139" s="25">
        <v>1</v>
      </c>
      <c r="GO139" s="25">
        <v>1</v>
      </c>
      <c r="GP139" s="25">
        <v>1</v>
      </c>
      <c r="GQ139" s="25">
        <v>1</v>
      </c>
      <c r="GR139" s="25">
        <v>1</v>
      </c>
      <c r="GS139" s="25">
        <v>1</v>
      </c>
      <c r="GT139" s="25">
        <v>1</v>
      </c>
      <c r="GU139" s="25">
        <v>1</v>
      </c>
      <c r="GV139" s="25" t="s">
        <v>1588</v>
      </c>
      <c r="GW139" s="25" t="s">
        <v>1588</v>
      </c>
      <c r="GX139" s="25" t="s">
        <v>1588</v>
      </c>
      <c r="GY139" s="25" t="s">
        <v>1588</v>
      </c>
      <c r="GZ139" s="25" t="s">
        <v>1588</v>
      </c>
      <c r="HA139" s="25" t="s">
        <v>455</v>
      </c>
      <c r="HB139" s="25" t="s">
        <v>455</v>
      </c>
      <c r="HC139" s="25" t="s">
        <v>455</v>
      </c>
      <c r="HD139" s="25" t="s">
        <v>455</v>
      </c>
      <c r="HE139" s="25" t="s">
        <v>455</v>
      </c>
      <c r="HF139" s="25" t="s">
        <v>455</v>
      </c>
      <c r="HG139" s="25" t="s">
        <v>455</v>
      </c>
      <c r="HH139" s="25" t="s">
        <v>455</v>
      </c>
      <c r="HI139" s="25"/>
      <c r="HJ139" s="25"/>
      <c r="HK139" s="25"/>
      <c r="HL139" s="25"/>
      <c r="HM139" s="25"/>
      <c r="HN139" s="25"/>
      <c r="HO139" s="25"/>
      <c r="HP139" s="25"/>
      <c r="HQ139" s="25"/>
      <c r="HR139" s="25"/>
      <c r="HS139" s="25"/>
      <c r="HT139" s="25"/>
      <c r="HU139" s="13" t="s">
        <v>637</v>
      </c>
      <c r="HV139" s="13"/>
      <c r="HW139" s="13" t="s">
        <v>1202</v>
      </c>
      <c r="HX139" s="23">
        <v>42636</v>
      </c>
      <c r="HY139" s="55"/>
      <c r="HZ139" s="55"/>
      <c r="IA139" s="55"/>
      <c r="IB139" s="55"/>
      <c r="IC139" s="55"/>
      <c r="ID139" s="55"/>
      <c r="IE139" s="55"/>
      <c r="IF139" s="107">
        <v>0</v>
      </c>
      <c r="IG139" s="107"/>
      <c r="IH139" s="250">
        <f t="shared" si="66"/>
        <v>0</v>
      </c>
      <c r="II139" s="55"/>
      <c r="IJ139" s="55"/>
      <c r="IK139" s="55"/>
      <c r="IL139" s="55"/>
      <c r="IM139" s="55"/>
      <c r="IN139" s="55"/>
      <c r="IO139" s="55"/>
      <c r="IP139" s="55"/>
      <c r="IQ139" s="55"/>
      <c r="IR139" s="55"/>
      <c r="IS139" s="55"/>
      <c r="IT139" s="55"/>
      <c r="IU139" s="55"/>
      <c r="IV139" s="55"/>
      <c r="IW139" s="55"/>
      <c r="IX139" s="55"/>
      <c r="IY139" s="55"/>
      <c r="IZ139" s="55"/>
      <c r="JA139" s="55"/>
      <c r="JB139" s="55"/>
      <c r="JC139" s="55"/>
      <c r="JD139" s="55">
        <v>2018</v>
      </c>
    </row>
    <row r="140" spans="1:264" s="5" customFormat="1" ht="24.95" hidden="1" customHeight="1">
      <c r="A140" s="26" t="s">
        <v>9</v>
      </c>
      <c r="B140" s="26" t="s">
        <v>27</v>
      </c>
      <c r="C140" s="13" t="s">
        <v>349</v>
      </c>
      <c r="D140" s="13" t="s">
        <v>380</v>
      </c>
      <c r="E140" s="16" t="s">
        <v>360</v>
      </c>
      <c r="F140" s="13" t="s">
        <v>360</v>
      </c>
      <c r="G140" s="39" t="s">
        <v>354</v>
      </c>
      <c r="H140" s="28" t="s">
        <v>1559</v>
      </c>
      <c r="I140" s="69" t="s">
        <v>439</v>
      </c>
      <c r="J140" s="40">
        <v>10</v>
      </c>
      <c r="K140" s="49" t="s">
        <v>375</v>
      </c>
      <c r="L140" s="26" t="s">
        <v>436</v>
      </c>
      <c r="M140" s="20" t="s">
        <v>439</v>
      </c>
      <c r="N140" s="20"/>
      <c r="O140" s="13" t="s">
        <v>3</v>
      </c>
      <c r="P140" s="13" t="s">
        <v>4</v>
      </c>
      <c r="Q140" s="22" t="s">
        <v>1118</v>
      </c>
      <c r="R140" s="22" t="s">
        <v>1568</v>
      </c>
      <c r="S140" s="13" t="s">
        <v>1569</v>
      </c>
      <c r="T140" s="13" t="s">
        <v>1387</v>
      </c>
      <c r="U140" s="13" t="s">
        <v>477</v>
      </c>
      <c r="V140" s="24">
        <v>2191747812001</v>
      </c>
      <c r="W140" s="13" t="s">
        <v>1570</v>
      </c>
      <c r="X140" s="13"/>
      <c r="Y140" s="13" t="s">
        <v>1571</v>
      </c>
      <c r="Z140" s="13"/>
      <c r="AA140" s="37"/>
      <c r="AB140" s="68">
        <v>31915.200000000001</v>
      </c>
      <c r="AC140" s="29">
        <v>0</v>
      </c>
      <c r="AD140" s="37">
        <v>31915.200000000001</v>
      </c>
      <c r="AE140" s="29">
        <v>0</v>
      </c>
      <c r="AF140" s="29">
        <f t="shared" si="70"/>
        <v>31915.200000000001</v>
      </c>
      <c r="AG140" s="25">
        <v>0.12</v>
      </c>
      <c r="AH140" s="29">
        <f t="shared" si="71"/>
        <v>3829.8240000000001</v>
      </c>
      <c r="AI140" s="29">
        <f t="shared" si="63"/>
        <v>0</v>
      </c>
      <c r="AJ140" s="29">
        <f t="shared" si="64"/>
        <v>35745.024000000005</v>
      </c>
      <c r="AK140" s="29">
        <v>19681.45</v>
      </c>
      <c r="AL140" s="29">
        <f>AB140-AK140</f>
        <v>12233.75</v>
      </c>
      <c r="AM140" s="29"/>
      <c r="AN140" s="37"/>
      <c r="AO140" s="37">
        <v>19767.59</v>
      </c>
      <c r="AP140" s="37"/>
      <c r="AQ140" s="37">
        <v>19767.59</v>
      </c>
      <c r="AR140" s="25">
        <v>0.12</v>
      </c>
      <c r="AS140" s="37">
        <f>AQ140*0.12</f>
        <v>2372.1107999999999</v>
      </c>
      <c r="AT140" s="37">
        <f>AQ140*1.12</f>
        <v>22139.700800000002</v>
      </c>
      <c r="AU140" s="37"/>
      <c r="AV140" s="37"/>
      <c r="AW140" s="37"/>
      <c r="AX140" s="37"/>
      <c r="AY140" s="37"/>
      <c r="AZ140" s="37"/>
      <c r="BA140" s="37"/>
      <c r="BB140" s="37"/>
      <c r="BC140" s="37"/>
      <c r="BD140" s="37"/>
      <c r="BE140" s="37"/>
      <c r="BF140" s="37"/>
      <c r="BG140" s="29">
        <f t="shared" si="72"/>
        <v>0</v>
      </c>
      <c r="BH140" s="37"/>
      <c r="BI140" s="29" t="s">
        <v>570</v>
      </c>
      <c r="BJ140" s="29" t="s">
        <v>570</v>
      </c>
      <c r="BK140" s="29" t="s">
        <v>570</v>
      </c>
      <c r="BL140" s="29" t="s">
        <v>570</v>
      </c>
      <c r="BM140" s="29" t="s">
        <v>570</v>
      </c>
      <c r="BN140" s="23">
        <v>42901</v>
      </c>
      <c r="BO140" s="23">
        <v>42915</v>
      </c>
      <c r="BP140" s="23">
        <v>42922</v>
      </c>
      <c r="BQ140" s="23">
        <v>42933</v>
      </c>
      <c r="BR140" s="13" t="s">
        <v>570</v>
      </c>
      <c r="BS140" s="23">
        <v>42940</v>
      </c>
      <c r="BT140" s="23">
        <v>42951</v>
      </c>
      <c r="BU140" s="13" t="s">
        <v>570</v>
      </c>
      <c r="BV140" s="13" t="s">
        <v>570</v>
      </c>
      <c r="BW140" s="224" t="s">
        <v>570</v>
      </c>
      <c r="BX140" s="23">
        <v>42965</v>
      </c>
      <c r="BY140" s="13"/>
      <c r="BZ140" s="13"/>
      <c r="CA140" s="23">
        <v>43010</v>
      </c>
      <c r="CB140" s="224" t="s">
        <v>570</v>
      </c>
      <c r="CC140" s="224" t="s">
        <v>570</v>
      </c>
      <c r="CD140" s="224" t="s">
        <v>570</v>
      </c>
      <c r="CE140" s="13"/>
      <c r="CF140" s="13"/>
      <c r="CG140" s="13"/>
      <c r="CH140" s="13"/>
      <c r="CI140" s="13"/>
      <c r="CJ140" s="13"/>
      <c r="CK140" s="13"/>
      <c r="CL140" s="13"/>
      <c r="CM140" s="13"/>
      <c r="CN140" s="13"/>
      <c r="CO140" s="13"/>
      <c r="CP140" s="13"/>
      <c r="CQ140" s="13"/>
      <c r="CR140" s="13"/>
      <c r="CS140" s="13"/>
      <c r="CT140" s="37"/>
      <c r="CU140" s="37"/>
      <c r="CV140" s="23" t="s">
        <v>503</v>
      </c>
      <c r="CW140" s="30"/>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31">
        <f t="shared" si="69"/>
        <v>0</v>
      </c>
      <c r="DZ140" s="13"/>
      <c r="EA140" s="13"/>
      <c r="EB140" s="13"/>
      <c r="EC140" s="13"/>
      <c r="ED140" s="13"/>
      <c r="EE140" s="13"/>
      <c r="EF140" s="13"/>
      <c r="EG140" s="13">
        <v>60</v>
      </c>
      <c r="EH140" s="13" t="s">
        <v>588</v>
      </c>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25">
        <v>0</v>
      </c>
      <c r="FW140" s="25">
        <v>0</v>
      </c>
      <c r="FX140" s="25">
        <v>0</v>
      </c>
      <c r="FY140" s="25">
        <v>0</v>
      </c>
      <c r="FZ140" s="25">
        <v>0</v>
      </c>
      <c r="GA140" s="25">
        <v>0</v>
      </c>
      <c r="GB140" s="25">
        <v>0</v>
      </c>
      <c r="GC140" s="25">
        <v>0</v>
      </c>
      <c r="GD140" s="25">
        <v>1</v>
      </c>
      <c r="GE140" s="25">
        <v>1</v>
      </c>
      <c r="GF140" s="25">
        <v>1</v>
      </c>
      <c r="GG140" s="25">
        <v>1</v>
      </c>
      <c r="GH140" s="25">
        <v>1</v>
      </c>
      <c r="GI140" s="25">
        <v>1</v>
      </c>
      <c r="GJ140" s="25">
        <v>1</v>
      </c>
      <c r="GK140" s="25">
        <v>1</v>
      </c>
      <c r="GL140" s="25">
        <v>1</v>
      </c>
      <c r="GM140" s="25">
        <v>1</v>
      </c>
      <c r="GN140" s="25">
        <v>1</v>
      </c>
      <c r="GO140" s="25">
        <v>1</v>
      </c>
      <c r="GP140" s="25">
        <v>1</v>
      </c>
      <c r="GQ140" s="25">
        <v>1</v>
      </c>
      <c r="GR140" s="25">
        <v>1</v>
      </c>
      <c r="GS140" s="25">
        <v>1</v>
      </c>
      <c r="GT140" s="25">
        <v>1</v>
      </c>
      <c r="GU140" s="25">
        <v>1</v>
      </c>
      <c r="GV140" s="25" t="s">
        <v>452</v>
      </c>
      <c r="GW140" s="25" t="s">
        <v>452</v>
      </c>
      <c r="GX140" s="25" t="s">
        <v>452</v>
      </c>
      <c r="GY140" s="25" t="s">
        <v>452</v>
      </c>
      <c r="GZ140" s="25" t="s">
        <v>452</v>
      </c>
      <c r="HA140" s="25" t="s">
        <v>452</v>
      </c>
      <c r="HB140" s="25" t="s">
        <v>452</v>
      </c>
      <c r="HC140" s="25" t="s">
        <v>452</v>
      </c>
      <c r="HD140" s="25" t="s">
        <v>452</v>
      </c>
      <c r="HE140" s="25" t="s">
        <v>452</v>
      </c>
      <c r="HF140" s="25" t="s">
        <v>452</v>
      </c>
      <c r="HG140" s="25" t="s">
        <v>452</v>
      </c>
      <c r="HH140" s="25" t="s">
        <v>452</v>
      </c>
      <c r="HI140" s="25"/>
      <c r="HJ140" s="25"/>
      <c r="HK140" s="25"/>
      <c r="HL140" s="25"/>
      <c r="HM140" s="25"/>
      <c r="HN140" s="25"/>
      <c r="HO140" s="25"/>
      <c r="HP140" s="25"/>
      <c r="HQ140" s="25"/>
      <c r="HR140" s="25"/>
      <c r="HS140" s="25"/>
      <c r="HT140" s="25"/>
      <c r="HU140" s="13" t="s">
        <v>637</v>
      </c>
      <c r="HV140" s="13"/>
      <c r="HW140" s="13" t="s">
        <v>1202</v>
      </c>
      <c r="HX140" s="23">
        <v>42636</v>
      </c>
      <c r="HY140" s="55"/>
      <c r="HZ140" s="55"/>
      <c r="IA140" s="55"/>
      <c r="IB140" s="55"/>
      <c r="IC140" s="55"/>
      <c r="ID140" s="55"/>
      <c r="IE140" s="55"/>
      <c r="IF140" s="107">
        <v>31915.200000000001</v>
      </c>
      <c r="IG140" s="107">
        <v>19681.45</v>
      </c>
      <c r="IH140" s="250">
        <f t="shared" si="66"/>
        <v>0</v>
      </c>
      <c r="II140" s="55"/>
      <c r="IJ140" s="55"/>
      <c r="IK140" s="55"/>
      <c r="IL140" s="55"/>
      <c r="IM140" s="55"/>
      <c r="IN140" s="55"/>
      <c r="IO140" s="55"/>
      <c r="IP140" s="55"/>
      <c r="IQ140" s="55"/>
      <c r="IR140" s="55"/>
      <c r="IS140" s="55"/>
      <c r="IT140" s="55"/>
      <c r="IU140" s="55"/>
      <c r="IV140" s="55"/>
      <c r="IW140" s="55"/>
      <c r="IX140" s="55"/>
      <c r="IY140" s="55"/>
      <c r="IZ140" s="55"/>
      <c r="JA140" s="55"/>
      <c r="JB140" s="55"/>
      <c r="JC140" s="55"/>
      <c r="JD140" s="55">
        <v>2018</v>
      </c>
    </row>
    <row r="141" spans="1:264" s="5" customFormat="1" ht="24.95" hidden="1" customHeight="1">
      <c r="A141" s="26" t="s">
        <v>9</v>
      </c>
      <c r="B141" s="26" t="s">
        <v>27</v>
      </c>
      <c r="C141" s="13" t="s">
        <v>349</v>
      </c>
      <c r="D141" s="13" t="s">
        <v>380</v>
      </c>
      <c r="E141" s="16" t="s">
        <v>360</v>
      </c>
      <c r="F141" s="13" t="s">
        <v>360</v>
      </c>
      <c r="G141" s="39" t="s">
        <v>354</v>
      </c>
      <c r="H141" s="28" t="s">
        <v>1559</v>
      </c>
      <c r="I141" s="69" t="s">
        <v>440</v>
      </c>
      <c r="J141" s="40">
        <v>11</v>
      </c>
      <c r="K141" s="49" t="s">
        <v>375</v>
      </c>
      <c r="L141" s="26" t="s">
        <v>1373</v>
      </c>
      <c r="M141" s="20" t="s">
        <v>440</v>
      </c>
      <c r="N141" s="20"/>
      <c r="O141" s="13" t="s">
        <v>3</v>
      </c>
      <c r="P141" s="13" t="s">
        <v>4</v>
      </c>
      <c r="Q141" s="22" t="s">
        <v>1118</v>
      </c>
      <c r="R141" s="37" t="s">
        <v>1565</v>
      </c>
      <c r="S141" s="37" t="s">
        <v>1525</v>
      </c>
      <c r="T141" s="13" t="s">
        <v>1387</v>
      </c>
      <c r="U141" s="13" t="s">
        <v>479</v>
      </c>
      <c r="V141" s="71">
        <v>1691714841001</v>
      </c>
      <c r="W141" s="37" t="s">
        <v>1567</v>
      </c>
      <c r="X141" s="37"/>
      <c r="Y141" s="37" t="s">
        <v>1566</v>
      </c>
      <c r="Z141" s="37"/>
      <c r="AA141" s="37"/>
      <c r="AB141" s="37">
        <v>34554</v>
      </c>
      <c r="AC141" s="29">
        <v>0</v>
      </c>
      <c r="AD141" s="37">
        <v>34554</v>
      </c>
      <c r="AE141" s="29">
        <v>0</v>
      </c>
      <c r="AF141" s="29">
        <f t="shared" si="70"/>
        <v>34554</v>
      </c>
      <c r="AG141" s="25">
        <v>0.12</v>
      </c>
      <c r="AH141" s="29">
        <f t="shared" si="71"/>
        <v>4146.4799999999996</v>
      </c>
      <c r="AI141" s="29">
        <f t="shared" si="63"/>
        <v>0</v>
      </c>
      <c r="AJ141" s="29">
        <f t="shared" si="64"/>
        <v>38700.480000000003</v>
      </c>
      <c r="AK141" s="29">
        <v>31787.68</v>
      </c>
      <c r="AL141" s="29">
        <f>AB141-AK141</f>
        <v>2766.3199999999997</v>
      </c>
      <c r="AM141" s="29"/>
      <c r="AN141" s="37"/>
      <c r="AO141" s="37">
        <v>34554</v>
      </c>
      <c r="AP141" s="37"/>
      <c r="AQ141" s="37">
        <v>32264.22</v>
      </c>
      <c r="AR141" s="25">
        <v>0.12</v>
      </c>
      <c r="AS141" s="29">
        <f>AQ141*0.12</f>
        <v>3871.7064</v>
      </c>
      <c r="AT141" s="29">
        <f>AQ141*1.12</f>
        <v>36135.926400000004</v>
      </c>
      <c r="AU141" s="37"/>
      <c r="AV141" s="37"/>
      <c r="AW141" s="37"/>
      <c r="AX141" s="29">
        <v>0</v>
      </c>
      <c r="AY141" s="37"/>
      <c r="AZ141" s="29" t="s">
        <v>570</v>
      </c>
      <c r="BA141" s="29" t="s">
        <v>570</v>
      </c>
      <c r="BB141" s="29"/>
      <c r="BC141" s="29"/>
      <c r="BD141" s="29"/>
      <c r="BE141" s="13"/>
      <c r="BF141" s="13"/>
      <c r="BG141" s="13"/>
      <c r="BH141" s="13"/>
      <c r="BI141" s="29" t="s">
        <v>570</v>
      </c>
      <c r="BJ141" s="13" t="s">
        <v>570</v>
      </c>
      <c r="BK141" s="29" t="s">
        <v>570</v>
      </c>
      <c r="BL141" s="29" t="s">
        <v>570</v>
      </c>
      <c r="BM141" s="29" t="s">
        <v>570</v>
      </c>
      <c r="BN141" s="23">
        <v>42898</v>
      </c>
      <c r="BO141" s="23">
        <v>42911</v>
      </c>
      <c r="BP141" s="23">
        <v>42919</v>
      </c>
      <c r="BQ141" s="23">
        <v>42928</v>
      </c>
      <c r="BR141" s="30" t="s">
        <v>570</v>
      </c>
      <c r="BS141" s="23">
        <v>42935</v>
      </c>
      <c r="BT141" s="23">
        <v>42947</v>
      </c>
      <c r="BU141" s="13" t="s">
        <v>570</v>
      </c>
      <c r="BV141" s="13" t="s">
        <v>570</v>
      </c>
      <c r="BW141" s="224" t="s">
        <v>570</v>
      </c>
      <c r="BX141" s="23">
        <v>42968</v>
      </c>
      <c r="BY141" s="13"/>
      <c r="BZ141" s="13"/>
      <c r="CA141" s="23">
        <v>42986</v>
      </c>
      <c r="CB141" s="224" t="s">
        <v>570</v>
      </c>
      <c r="CC141" s="224" t="s">
        <v>570</v>
      </c>
      <c r="CD141" s="224" t="s">
        <v>570</v>
      </c>
      <c r="CE141" s="13"/>
      <c r="CF141" s="13"/>
      <c r="CG141" s="13"/>
      <c r="CH141" s="13"/>
      <c r="CI141" s="13"/>
      <c r="CJ141" s="13"/>
      <c r="CK141" s="13"/>
      <c r="CL141" s="13"/>
      <c r="CM141" s="13"/>
      <c r="CN141" s="13"/>
      <c r="CO141" s="13"/>
      <c r="CP141" s="13"/>
      <c r="CQ141" s="13"/>
      <c r="CR141" s="13"/>
      <c r="CS141" s="13"/>
      <c r="CT141" s="13"/>
      <c r="CU141" s="31">
        <v>0</v>
      </c>
      <c r="CV141" s="13"/>
      <c r="CW141" s="13"/>
      <c r="CX141" s="13"/>
      <c r="CY141" s="13"/>
      <c r="CZ141" s="13"/>
      <c r="DA141" s="13"/>
      <c r="DB141" s="13"/>
      <c r="DC141" s="13"/>
      <c r="DD141" s="13" t="s">
        <v>588</v>
      </c>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25"/>
      <c r="EE141" s="25"/>
      <c r="EF141" s="13"/>
      <c r="EG141" s="13">
        <v>60</v>
      </c>
      <c r="EH141" s="13" t="s">
        <v>588</v>
      </c>
      <c r="EI141" s="23"/>
      <c r="EJ141" s="55"/>
      <c r="EK141" s="55"/>
      <c r="EL141" s="55"/>
      <c r="EM141" s="55"/>
      <c r="EN141" s="55"/>
      <c r="EO141" s="55"/>
      <c r="EP141" s="55"/>
      <c r="EQ141" s="55"/>
      <c r="ER141" s="55"/>
      <c r="ES141" s="55"/>
      <c r="ET141" s="55"/>
      <c r="EU141" s="55"/>
      <c r="EV141" s="55"/>
      <c r="EW141" s="55"/>
      <c r="EX141" s="55"/>
      <c r="EY141" s="55"/>
      <c r="EZ141" s="55"/>
      <c r="FA141" s="55"/>
      <c r="FB141" s="55"/>
      <c r="FC141" s="55"/>
      <c r="FD141" s="55"/>
      <c r="FE141" s="55"/>
      <c r="FF141" s="55"/>
      <c r="FG141" s="55"/>
      <c r="FH141" s="55"/>
      <c r="FI141" s="55"/>
      <c r="FJ141" s="55"/>
      <c r="FK141" s="55"/>
      <c r="FL141" s="55"/>
      <c r="FM141" s="55"/>
      <c r="FN141" s="55"/>
      <c r="FO141" s="55"/>
      <c r="FP141" s="55"/>
      <c r="FQ141" s="55"/>
      <c r="FR141" s="55"/>
      <c r="FS141" s="55"/>
      <c r="FT141" s="55"/>
      <c r="FU141" s="55"/>
      <c r="FV141" s="55"/>
      <c r="FW141" s="55"/>
      <c r="FX141" s="25">
        <v>0</v>
      </c>
      <c r="FY141" s="25">
        <v>0</v>
      </c>
      <c r="FZ141" s="25">
        <v>0</v>
      </c>
      <c r="GA141" s="25">
        <v>0</v>
      </c>
      <c r="GB141" s="25">
        <v>0</v>
      </c>
      <c r="GC141" s="25">
        <v>0</v>
      </c>
      <c r="GD141" s="25">
        <v>1</v>
      </c>
      <c r="GE141" s="25">
        <v>1</v>
      </c>
      <c r="GF141" s="25">
        <v>1</v>
      </c>
      <c r="GG141" s="25">
        <v>1</v>
      </c>
      <c r="GH141" s="25">
        <v>1</v>
      </c>
      <c r="GI141" s="25">
        <v>1</v>
      </c>
      <c r="GJ141" s="25">
        <v>1</v>
      </c>
      <c r="GK141" s="25">
        <v>1</v>
      </c>
      <c r="GL141" s="25">
        <v>1</v>
      </c>
      <c r="GM141" s="25">
        <v>1</v>
      </c>
      <c r="GN141" s="25">
        <v>1</v>
      </c>
      <c r="GO141" s="25">
        <v>1</v>
      </c>
      <c r="GP141" s="25">
        <v>1</v>
      </c>
      <c r="GQ141" s="25">
        <v>1</v>
      </c>
      <c r="GR141" s="25">
        <v>1</v>
      </c>
      <c r="GS141" s="25">
        <v>1</v>
      </c>
      <c r="GT141" s="25">
        <v>1</v>
      </c>
      <c r="GU141" s="25">
        <v>1</v>
      </c>
      <c r="GV141" s="25" t="s">
        <v>1588</v>
      </c>
      <c r="GW141" s="25" t="s">
        <v>455</v>
      </c>
      <c r="GX141" s="25" t="s">
        <v>455</v>
      </c>
      <c r="GY141" s="25" t="s">
        <v>455</v>
      </c>
      <c r="GZ141" s="25" t="s">
        <v>455</v>
      </c>
      <c r="HA141" s="25" t="s">
        <v>455</v>
      </c>
      <c r="HB141" s="25" t="s">
        <v>455</v>
      </c>
      <c r="HC141" s="25" t="s">
        <v>455</v>
      </c>
      <c r="HD141" s="25" t="s">
        <v>455</v>
      </c>
      <c r="HE141" s="25" t="s">
        <v>455</v>
      </c>
      <c r="HF141" s="25" t="s">
        <v>455</v>
      </c>
      <c r="HG141" s="25" t="s">
        <v>455</v>
      </c>
      <c r="HH141" s="25" t="s">
        <v>455</v>
      </c>
      <c r="HI141" s="25"/>
      <c r="HJ141" s="25"/>
      <c r="HK141" s="25"/>
      <c r="HL141" s="25"/>
      <c r="HM141" s="25"/>
      <c r="HN141" s="25"/>
      <c r="HO141" s="25"/>
      <c r="HP141" s="25"/>
      <c r="HQ141" s="25"/>
      <c r="HR141" s="25"/>
      <c r="HS141" s="25"/>
      <c r="HT141" s="25"/>
      <c r="HU141" s="55"/>
      <c r="HV141" s="55"/>
      <c r="HW141" s="13" t="s">
        <v>1202</v>
      </c>
      <c r="HX141" s="23">
        <v>42636</v>
      </c>
      <c r="HY141" s="55"/>
      <c r="HZ141" s="55"/>
      <c r="IA141" s="55"/>
      <c r="IB141" s="55"/>
      <c r="IC141" s="55"/>
      <c r="ID141" s="55"/>
      <c r="IE141" s="55"/>
      <c r="IF141" s="107">
        <v>34554</v>
      </c>
      <c r="IG141" s="107">
        <v>31787.68</v>
      </c>
      <c r="IH141" s="250">
        <f t="shared" si="66"/>
        <v>0</v>
      </c>
      <c r="II141" s="55"/>
      <c r="IJ141" s="55"/>
      <c r="IK141" s="55"/>
      <c r="IL141" s="55"/>
      <c r="IM141" s="55"/>
      <c r="IN141" s="55"/>
      <c r="IO141" s="55"/>
      <c r="IP141" s="55"/>
      <c r="IQ141" s="55"/>
      <c r="IR141" s="55"/>
      <c r="IS141" s="55"/>
      <c r="IT141" s="55"/>
      <c r="IU141" s="55"/>
      <c r="IV141" s="55"/>
      <c r="IW141" s="55"/>
      <c r="IX141" s="55"/>
      <c r="IY141" s="55"/>
      <c r="IZ141" s="55"/>
      <c r="JA141" s="55"/>
      <c r="JB141" s="55"/>
      <c r="JC141" s="55"/>
      <c r="JD141" s="55">
        <v>2018</v>
      </c>
    </row>
    <row r="142" spans="1:264" s="5" customFormat="1" ht="24.95" hidden="1" customHeight="1">
      <c r="A142" s="26" t="s">
        <v>9</v>
      </c>
      <c r="B142" s="26" t="s">
        <v>27</v>
      </c>
      <c r="C142" s="13" t="s">
        <v>349</v>
      </c>
      <c r="D142" s="13" t="s">
        <v>380</v>
      </c>
      <c r="E142" s="16" t="s">
        <v>360</v>
      </c>
      <c r="F142" s="13" t="s">
        <v>360</v>
      </c>
      <c r="G142" s="39" t="s">
        <v>354</v>
      </c>
      <c r="H142" s="28" t="s">
        <v>1559</v>
      </c>
      <c r="I142" s="69" t="s">
        <v>441</v>
      </c>
      <c r="J142" s="40">
        <v>12</v>
      </c>
      <c r="K142" s="49" t="s">
        <v>375</v>
      </c>
      <c r="L142" s="26" t="s">
        <v>1374</v>
      </c>
      <c r="M142" s="20" t="s">
        <v>441</v>
      </c>
      <c r="N142" s="20"/>
      <c r="O142" s="13" t="s">
        <v>3</v>
      </c>
      <c r="P142" s="13" t="s">
        <v>4</v>
      </c>
      <c r="Q142" s="22" t="s">
        <v>1118</v>
      </c>
      <c r="R142" s="22" t="s">
        <v>1572</v>
      </c>
      <c r="S142" s="13" t="s">
        <v>1573</v>
      </c>
      <c r="T142" s="13" t="s">
        <v>1387</v>
      </c>
      <c r="U142" s="13" t="s">
        <v>477</v>
      </c>
      <c r="V142" s="24">
        <v>1721772802001</v>
      </c>
      <c r="W142" s="13" t="s">
        <v>1574</v>
      </c>
      <c r="X142" s="13"/>
      <c r="Y142" s="13" t="s">
        <v>1575</v>
      </c>
      <c r="Z142" s="13"/>
      <c r="AA142" s="37"/>
      <c r="AB142" s="68">
        <v>27607.27</v>
      </c>
      <c r="AC142" s="29">
        <v>0</v>
      </c>
      <c r="AD142" s="37">
        <v>27607.27</v>
      </c>
      <c r="AE142" s="29">
        <v>0</v>
      </c>
      <c r="AF142" s="29">
        <f t="shared" si="70"/>
        <v>27607.27</v>
      </c>
      <c r="AG142" s="25">
        <v>0.12</v>
      </c>
      <c r="AH142" s="29">
        <f t="shared" si="71"/>
        <v>3312.8723999999997</v>
      </c>
      <c r="AI142" s="29">
        <f t="shared" si="63"/>
        <v>0</v>
      </c>
      <c r="AJ142" s="29">
        <f t="shared" si="64"/>
        <v>30920.142400000004</v>
      </c>
      <c r="AK142" s="29">
        <v>25374.259999999995</v>
      </c>
      <c r="AL142" s="29">
        <f>AB142-AK142</f>
        <v>2233.0100000000057</v>
      </c>
      <c r="AM142" s="29"/>
      <c r="AN142" s="37"/>
      <c r="AO142" s="37">
        <v>27607.27</v>
      </c>
      <c r="AP142" s="37"/>
      <c r="AQ142" s="37">
        <v>26194.1</v>
      </c>
      <c r="AR142" s="25">
        <v>0.12</v>
      </c>
      <c r="AS142" s="29">
        <f>AQ142*0.12</f>
        <v>3143.2919999999999</v>
      </c>
      <c r="AT142" s="37">
        <f>AQ142*1.12</f>
        <v>29337.392</v>
      </c>
      <c r="AU142" s="37"/>
      <c r="AV142" s="37"/>
      <c r="AW142" s="37"/>
      <c r="AX142" s="37"/>
      <c r="AY142" s="37"/>
      <c r="AZ142" s="37"/>
      <c r="BA142" s="37"/>
      <c r="BB142" s="37"/>
      <c r="BC142" s="37"/>
      <c r="BD142" s="37"/>
      <c r="BE142" s="37"/>
      <c r="BF142" s="37"/>
      <c r="BG142" s="29">
        <f t="shared" ref="BG142:BG180" si="73">BF142-AW142-AZ142-BC142-BE142</f>
        <v>0</v>
      </c>
      <c r="BH142" s="37"/>
      <c r="BI142" s="29" t="s">
        <v>570</v>
      </c>
      <c r="BJ142" s="29" t="s">
        <v>570</v>
      </c>
      <c r="BK142" s="29" t="s">
        <v>570</v>
      </c>
      <c r="BL142" s="29" t="s">
        <v>570</v>
      </c>
      <c r="BM142" s="29" t="s">
        <v>570</v>
      </c>
      <c r="BN142" s="23">
        <v>42898</v>
      </c>
      <c r="BO142" s="23">
        <v>42911</v>
      </c>
      <c r="BP142" s="23">
        <v>42919</v>
      </c>
      <c r="BQ142" s="23">
        <v>42928</v>
      </c>
      <c r="BR142" s="13" t="s">
        <v>570</v>
      </c>
      <c r="BS142" s="23">
        <v>42935</v>
      </c>
      <c r="BT142" s="23">
        <v>42582</v>
      </c>
      <c r="BU142" s="13" t="s">
        <v>570</v>
      </c>
      <c r="BV142" s="13" t="s">
        <v>570</v>
      </c>
      <c r="BW142" s="224" t="s">
        <v>570</v>
      </c>
      <c r="BX142" s="23">
        <v>42972</v>
      </c>
      <c r="BY142" s="13"/>
      <c r="BZ142" s="13"/>
      <c r="CA142" s="23">
        <v>43007</v>
      </c>
      <c r="CB142" s="224" t="s">
        <v>570</v>
      </c>
      <c r="CC142" s="224" t="s">
        <v>570</v>
      </c>
      <c r="CD142" s="224" t="s">
        <v>570</v>
      </c>
      <c r="CE142" s="13"/>
      <c r="CF142" s="13"/>
      <c r="CG142" s="13"/>
      <c r="CH142" s="13"/>
      <c r="CI142" s="13"/>
      <c r="CJ142" s="13"/>
      <c r="CK142" s="13"/>
      <c r="CL142" s="13"/>
      <c r="CM142" s="13"/>
      <c r="CN142" s="13"/>
      <c r="CO142" s="13"/>
      <c r="CP142" s="13"/>
      <c r="CQ142" s="13"/>
      <c r="CR142" s="13"/>
      <c r="CS142" s="13"/>
      <c r="CT142" s="37"/>
      <c r="CU142" s="37"/>
      <c r="CV142" s="23"/>
      <c r="CW142" s="30"/>
      <c r="CX142" s="13"/>
      <c r="CY142" s="13"/>
      <c r="CZ142" s="13"/>
      <c r="DA142" s="13"/>
      <c r="DB142" s="13"/>
      <c r="DC142" s="13"/>
      <c r="DD142" s="13" t="s">
        <v>588</v>
      </c>
      <c r="DE142" s="13"/>
      <c r="DF142" s="13"/>
      <c r="DG142" s="13"/>
      <c r="DH142" s="13"/>
      <c r="DI142" s="13"/>
      <c r="DJ142" s="13"/>
      <c r="DK142" s="13"/>
      <c r="DL142" s="13"/>
      <c r="DM142" s="13"/>
      <c r="DN142" s="13"/>
      <c r="DO142" s="13"/>
      <c r="DP142" s="13"/>
      <c r="DQ142" s="13"/>
      <c r="DR142" s="13"/>
      <c r="DS142" s="13"/>
      <c r="DT142" s="13"/>
      <c r="DU142" s="13"/>
      <c r="DV142" s="13"/>
      <c r="DW142" s="13"/>
      <c r="DX142" s="13"/>
      <c r="DY142" s="31">
        <f t="shared" ref="DY142:DY179" si="74">CW142+CZ142+DC142+DF142+DI142+DL142+DO142+DR142+DU142+DX142</f>
        <v>0</v>
      </c>
      <c r="DZ142" s="13"/>
      <c r="EA142" s="13"/>
      <c r="EB142" s="13"/>
      <c r="EC142" s="13"/>
      <c r="ED142" s="13"/>
      <c r="EE142" s="13"/>
      <c r="EF142" s="13"/>
      <c r="EG142" s="13">
        <v>60</v>
      </c>
      <c r="EH142" s="13" t="s">
        <v>588</v>
      </c>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25">
        <v>0</v>
      </c>
      <c r="FW142" s="25">
        <v>0</v>
      </c>
      <c r="FX142" s="25">
        <v>0</v>
      </c>
      <c r="FY142" s="25">
        <v>0</v>
      </c>
      <c r="FZ142" s="25">
        <v>0</v>
      </c>
      <c r="GA142" s="25">
        <v>0</v>
      </c>
      <c r="GB142" s="25">
        <v>0</v>
      </c>
      <c r="GC142" s="25">
        <v>0</v>
      </c>
      <c r="GD142" s="25">
        <v>1</v>
      </c>
      <c r="GE142" s="25">
        <v>1</v>
      </c>
      <c r="GF142" s="25">
        <v>1</v>
      </c>
      <c r="GG142" s="25">
        <v>1</v>
      </c>
      <c r="GH142" s="25">
        <v>1</v>
      </c>
      <c r="GI142" s="25">
        <v>1</v>
      </c>
      <c r="GJ142" s="25">
        <v>1</v>
      </c>
      <c r="GK142" s="25">
        <v>1</v>
      </c>
      <c r="GL142" s="25">
        <v>1</v>
      </c>
      <c r="GM142" s="25">
        <v>1</v>
      </c>
      <c r="GN142" s="25">
        <v>1</v>
      </c>
      <c r="GO142" s="25">
        <v>1</v>
      </c>
      <c r="GP142" s="25">
        <v>1</v>
      </c>
      <c r="GQ142" s="25">
        <v>1</v>
      </c>
      <c r="GR142" s="25">
        <v>1</v>
      </c>
      <c r="GS142" s="25">
        <v>1</v>
      </c>
      <c r="GT142" s="25">
        <v>1</v>
      </c>
      <c r="GU142" s="25">
        <v>1</v>
      </c>
      <c r="GV142" s="25" t="s">
        <v>452</v>
      </c>
      <c r="GW142" s="25" t="s">
        <v>452</v>
      </c>
      <c r="GX142" s="25" t="s">
        <v>452</v>
      </c>
      <c r="GY142" s="25" t="s">
        <v>452</v>
      </c>
      <c r="GZ142" s="25" t="s">
        <v>452</v>
      </c>
      <c r="HA142" s="25" t="s">
        <v>452</v>
      </c>
      <c r="HB142" s="25" t="s">
        <v>452</v>
      </c>
      <c r="HC142" s="25" t="s">
        <v>452</v>
      </c>
      <c r="HD142" s="25" t="s">
        <v>452</v>
      </c>
      <c r="HE142" s="25" t="s">
        <v>452</v>
      </c>
      <c r="HF142" s="25" t="s">
        <v>452</v>
      </c>
      <c r="HG142" s="25" t="s">
        <v>452</v>
      </c>
      <c r="HH142" s="25" t="s">
        <v>452</v>
      </c>
      <c r="HI142" s="25"/>
      <c r="HJ142" s="25"/>
      <c r="HK142" s="25"/>
      <c r="HL142" s="25"/>
      <c r="HM142" s="25"/>
      <c r="HN142" s="25"/>
      <c r="HO142" s="25"/>
      <c r="HP142" s="25"/>
      <c r="HQ142" s="25"/>
      <c r="HR142" s="25"/>
      <c r="HS142" s="25"/>
      <c r="HT142" s="25"/>
      <c r="HU142" s="13" t="s">
        <v>637</v>
      </c>
      <c r="HV142" s="13"/>
      <c r="HW142" s="13" t="s">
        <v>1202</v>
      </c>
      <c r="HX142" s="23">
        <v>42636</v>
      </c>
      <c r="HY142" s="55"/>
      <c r="HZ142" s="55"/>
      <c r="IA142" s="55"/>
      <c r="IB142" s="55"/>
      <c r="IC142" s="55"/>
      <c r="ID142" s="55"/>
      <c r="IE142" s="55"/>
      <c r="IF142" s="107">
        <v>27607.27</v>
      </c>
      <c r="IG142" s="107">
        <v>25374.259999999995</v>
      </c>
      <c r="IH142" s="250">
        <f t="shared" si="66"/>
        <v>0</v>
      </c>
      <c r="II142" s="55"/>
      <c r="IJ142" s="55"/>
      <c r="IK142" s="55"/>
      <c r="IL142" s="55"/>
      <c r="IM142" s="55"/>
      <c r="IN142" s="55"/>
      <c r="IO142" s="55"/>
      <c r="IP142" s="55"/>
      <c r="IQ142" s="55"/>
      <c r="IR142" s="55"/>
      <c r="IS142" s="55"/>
      <c r="IT142" s="55"/>
      <c r="IU142" s="55"/>
      <c r="IV142" s="55"/>
      <c r="IW142" s="55"/>
      <c r="IX142" s="55"/>
      <c r="IY142" s="55"/>
      <c r="IZ142" s="55"/>
      <c r="JA142" s="55"/>
      <c r="JB142" s="55"/>
      <c r="JC142" s="55"/>
      <c r="JD142" s="55">
        <v>2018</v>
      </c>
    </row>
    <row r="143" spans="1:264" s="5" customFormat="1" ht="24.95" hidden="1" customHeight="1">
      <c r="A143" s="26" t="s">
        <v>138</v>
      </c>
      <c r="B143" s="26" t="s">
        <v>27</v>
      </c>
      <c r="C143" s="13" t="s">
        <v>349</v>
      </c>
      <c r="D143" s="13" t="s">
        <v>380</v>
      </c>
      <c r="E143" s="16" t="s">
        <v>350</v>
      </c>
      <c r="F143" s="13" t="s">
        <v>350</v>
      </c>
      <c r="G143" s="39" t="s">
        <v>354</v>
      </c>
      <c r="H143" s="28" t="s">
        <v>1549</v>
      </c>
      <c r="I143" s="313" t="s">
        <v>140</v>
      </c>
      <c r="J143" s="40">
        <v>1</v>
      </c>
      <c r="K143" s="49" t="s">
        <v>375</v>
      </c>
      <c r="L143" s="26" t="s">
        <v>139</v>
      </c>
      <c r="M143" s="20" t="s">
        <v>140</v>
      </c>
      <c r="N143" s="20"/>
      <c r="O143" s="13" t="s">
        <v>3</v>
      </c>
      <c r="P143" s="13" t="s">
        <v>4</v>
      </c>
      <c r="Q143" s="22" t="s">
        <v>1118</v>
      </c>
      <c r="R143" s="22" t="s">
        <v>1056</v>
      </c>
      <c r="S143" s="13" t="s">
        <v>657</v>
      </c>
      <c r="T143" s="13" t="s">
        <v>1387</v>
      </c>
      <c r="U143" s="13" t="s">
        <v>479</v>
      </c>
      <c r="V143" s="24">
        <v>1792356342001</v>
      </c>
      <c r="W143" s="13"/>
      <c r="X143" s="13"/>
      <c r="Y143" s="13" t="s">
        <v>1057</v>
      </c>
      <c r="Z143" s="13"/>
      <c r="AA143" s="37"/>
      <c r="AB143" s="68">
        <v>2300000</v>
      </c>
      <c r="AC143" s="29">
        <v>0</v>
      </c>
      <c r="AD143" s="37">
        <v>2300000</v>
      </c>
      <c r="AE143" s="29">
        <f>AK143-AD143</f>
        <v>92117.070000000298</v>
      </c>
      <c r="AF143" s="29">
        <f t="shared" si="70"/>
        <v>2392117.0700000003</v>
      </c>
      <c r="AG143" s="25">
        <v>0.12</v>
      </c>
      <c r="AH143" s="29">
        <f t="shared" si="71"/>
        <v>276000</v>
      </c>
      <c r="AI143" s="29">
        <f t="shared" si="63"/>
        <v>11054.048400000036</v>
      </c>
      <c r="AJ143" s="29">
        <f t="shared" si="64"/>
        <v>2679171.1184000005</v>
      </c>
      <c r="AK143" s="29">
        <v>2392117.0700000003</v>
      </c>
      <c r="AL143" s="29">
        <v>0</v>
      </c>
      <c r="AM143" s="29"/>
      <c r="AN143" s="37"/>
      <c r="AO143" s="37">
        <v>2280437.4900000002</v>
      </c>
      <c r="AP143" s="37"/>
      <c r="AQ143" s="37">
        <v>2198800.0099999998</v>
      </c>
      <c r="AR143" s="37"/>
      <c r="AS143" s="37"/>
      <c r="AT143" s="37"/>
      <c r="AU143" s="37"/>
      <c r="AV143" s="37"/>
      <c r="AW143" s="37"/>
      <c r="AX143" s="37"/>
      <c r="AY143" s="37"/>
      <c r="AZ143" s="37"/>
      <c r="BA143" s="37"/>
      <c r="BB143" s="37"/>
      <c r="BC143" s="37"/>
      <c r="BD143" s="37"/>
      <c r="BE143" s="37"/>
      <c r="BF143" s="29">
        <f>AB143-AQ143</f>
        <v>101199.99000000022</v>
      </c>
      <c r="BG143" s="29">
        <f t="shared" si="73"/>
        <v>101199.99000000022</v>
      </c>
      <c r="BH143" s="37" t="s">
        <v>594</v>
      </c>
      <c r="BI143" s="29" t="s">
        <v>570</v>
      </c>
      <c r="BJ143" s="29" t="s">
        <v>570</v>
      </c>
      <c r="BK143" s="29" t="s">
        <v>570</v>
      </c>
      <c r="BL143" s="29" t="s">
        <v>570</v>
      </c>
      <c r="BM143" s="29" t="s">
        <v>570</v>
      </c>
      <c r="BN143" s="23">
        <v>42255</v>
      </c>
      <c r="BO143" s="23">
        <v>42275</v>
      </c>
      <c r="BP143" s="23">
        <v>42279</v>
      </c>
      <c r="BQ143" s="23">
        <v>42300</v>
      </c>
      <c r="BR143" s="13" t="s">
        <v>570</v>
      </c>
      <c r="BS143" s="23">
        <v>42328</v>
      </c>
      <c r="BT143" s="23">
        <v>42333</v>
      </c>
      <c r="BU143" s="13" t="s">
        <v>570</v>
      </c>
      <c r="BV143" s="13" t="s">
        <v>570</v>
      </c>
      <c r="BW143" s="224" t="s">
        <v>570</v>
      </c>
      <c r="BX143" s="23">
        <v>42714</v>
      </c>
      <c r="BY143" s="13" t="s">
        <v>570</v>
      </c>
      <c r="BZ143" s="13" t="s">
        <v>503</v>
      </c>
      <c r="CA143" s="23">
        <v>42360</v>
      </c>
      <c r="CB143" s="224" t="s">
        <v>570</v>
      </c>
      <c r="CC143" s="224" t="s">
        <v>570</v>
      </c>
      <c r="CD143" s="224" t="s">
        <v>570</v>
      </c>
      <c r="CE143" s="13"/>
      <c r="CF143" s="127" t="s">
        <v>829</v>
      </c>
      <c r="CG143" s="13"/>
      <c r="CH143" s="13"/>
      <c r="CI143" s="13"/>
      <c r="CJ143" s="13"/>
      <c r="CK143" s="13"/>
      <c r="CL143" s="13"/>
      <c r="CM143" s="13"/>
      <c r="CN143" s="13"/>
      <c r="CO143" s="13"/>
      <c r="CP143" s="13"/>
      <c r="CQ143" s="13"/>
      <c r="CR143" s="127" t="s">
        <v>829</v>
      </c>
      <c r="CS143" s="13" t="s">
        <v>570</v>
      </c>
      <c r="CT143" s="37" t="s">
        <v>452</v>
      </c>
      <c r="CU143" s="25">
        <v>0.05</v>
      </c>
      <c r="CV143" s="23">
        <v>42531</v>
      </c>
      <c r="CW143" s="30">
        <v>1099400</v>
      </c>
      <c r="CX143" s="134" t="s">
        <v>1272</v>
      </c>
      <c r="CY143" s="23">
        <v>42655</v>
      </c>
      <c r="CZ143" s="37">
        <v>120402.59</v>
      </c>
      <c r="DA143" s="160" t="s">
        <v>1273</v>
      </c>
      <c r="DB143" s="23">
        <v>42704</v>
      </c>
      <c r="DC143" s="37">
        <f>82732.75-41366.38</f>
        <v>41366.370000000003</v>
      </c>
      <c r="DD143" s="160" t="s">
        <v>1274</v>
      </c>
      <c r="DE143" s="23">
        <v>42765</v>
      </c>
      <c r="DF143" s="37">
        <f>55154.26-27577.13</f>
        <v>27577.13</v>
      </c>
      <c r="DG143" s="134" t="s">
        <v>1275</v>
      </c>
      <c r="DH143" s="23">
        <v>42767</v>
      </c>
      <c r="DI143" s="37">
        <v>62490.37</v>
      </c>
      <c r="DJ143" s="13"/>
      <c r="DK143" s="13"/>
      <c r="DL143" s="13"/>
      <c r="DM143" s="13"/>
      <c r="DN143" s="13"/>
      <c r="DO143" s="13"/>
      <c r="DP143" s="13"/>
      <c r="DQ143" s="13"/>
      <c r="DR143" s="13"/>
      <c r="DS143" s="13"/>
      <c r="DT143" s="13"/>
      <c r="DU143" s="13"/>
      <c r="DV143" s="13"/>
      <c r="DW143" s="13"/>
      <c r="DX143" s="13"/>
      <c r="DY143" s="31">
        <f t="shared" si="74"/>
        <v>1351236.4600000002</v>
      </c>
      <c r="DZ143" s="30">
        <v>474820.23</v>
      </c>
      <c r="EA143" s="37">
        <v>395784</v>
      </c>
      <c r="EB143" s="13"/>
      <c r="EC143" s="37">
        <v>67026.820000000007</v>
      </c>
      <c r="ED143" s="13"/>
      <c r="EE143" s="30">
        <f>DY143+DZ143+EA143+EB143+EC143+ED143</f>
        <v>2288867.5100000002</v>
      </c>
      <c r="EF143" s="30">
        <f>EE143-AQ143</f>
        <v>90067.500000000466</v>
      </c>
      <c r="EG143" s="24">
        <v>270</v>
      </c>
      <c r="EH143" s="13" t="s">
        <v>588</v>
      </c>
      <c r="EI143" s="23">
        <f>CV143+1</f>
        <v>42532</v>
      </c>
      <c r="EJ143" s="23">
        <f t="shared" ref="EJ143:EJ151" si="75">EI143+EG143</f>
        <v>42802</v>
      </c>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25"/>
      <c r="FI143" s="25"/>
      <c r="FJ143" s="25"/>
      <c r="FK143" s="25"/>
      <c r="FL143" s="25"/>
      <c r="FM143" s="25"/>
      <c r="FN143" s="25">
        <v>2.5000000000000001E-2</v>
      </c>
      <c r="FO143" s="25">
        <v>0.1</v>
      </c>
      <c r="FP143" s="25">
        <v>0.2</v>
      </c>
      <c r="FQ143" s="25">
        <v>0.2</v>
      </c>
      <c r="FR143" s="25">
        <v>0.25</v>
      </c>
      <c r="FS143" s="25">
        <v>0.3</v>
      </c>
      <c r="FT143" s="25">
        <v>0.4</v>
      </c>
      <c r="FU143" s="25">
        <v>0.45</v>
      </c>
      <c r="FV143" s="25">
        <v>0.5</v>
      </c>
      <c r="FW143" s="25">
        <v>0.5</v>
      </c>
      <c r="FX143" s="25">
        <v>0.7</v>
      </c>
      <c r="FY143" s="25">
        <v>0.9</v>
      </c>
      <c r="FZ143" s="25">
        <v>0.95</v>
      </c>
      <c r="GA143" s="25">
        <v>0.95</v>
      </c>
      <c r="GB143" s="25">
        <v>0.95</v>
      </c>
      <c r="GC143" s="25">
        <v>0.95</v>
      </c>
      <c r="GD143" s="25">
        <v>1</v>
      </c>
      <c r="GE143" s="25">
        <v>1</v>
      </c>
      <c r="GF143" s="25">
        <v>1</v>
      </c>
      <c r="GG143" s="25">
        <v>1</v>
      </c>
      <c r="GH143" s="25">
        <v>1</v>
      </c>
      <c r="GI143" s="25">
        <v>1</v>
      </c>
      <c r="GJ143" s="25">
        <v>1</v>
      </c>
      <c r="GK143" s="25">
        <v>1</v>
      </c>
      <c r="GL143" s="25">
        <v>1</v>
      </c>
      <c r="GM143" s="25">
        <v>1</v>
      </c>
      <c r="GN143" s="25">
        <v>1</v>
      </c>
      <c r="GO143" s="25">
        <v>1</v>
      </c>
      <c r="GP143" s="25">
        <v>1</v>
      </c>
      <c r="GQ143" s="25">
        <v>1</v>
      </c>
      <c r="GR143" s="25">
        <v>1</v>
      </c>
      <c r="GS143" s="25">
        <v>1</v>
      </c>
      <c r="GT143" s="25">
        <v>1</v>
      </c>
      <c r="GU143" s="25">
        <v>1</v>
      </c>
      <c r="GV143" s="25" t="s">
        <v>452</v>
      </c>
      <c r="GW143" s="25" t="s">
        <v>452</v>
      </c>
      <c r="GX143" s="25" t="s">
        <v>452</v>
      </c>
      <c r="GY143" s="25" t="s">
        <v>452</v>
      </c>
      <c r="GZ143" s="25" t="s">
        <v>452</v>
      </c>
      <c r="HA143" s="25" t="s">
        <v>452</v>
      </c>
      <c r="HB143" s="25" t="s">
        <v>452</v>
      </c>
      <c r="HC143" s="25" t="s">
        <v>452</v>
      </c>
      <c r="HD143" s="25" t="s">
        <v>452</v>
      </c>
      <c r="HE143" s="25" t="s">
        <v>452</v>
      </c>
      <c r="HF143" s="25" t="s">
        <v>452</v>
      </c>
      <c r="HG143" s="25" t="s">
        <v>452</v>
      </c>
      <c r="HH143" s="25" t="s">
        <v>452</v>
      </c>
      <c r="HI143" s="25"/>
      <c r="HJ143" s="25"/>
      <c r="HK143" s="25"/>
      <c r="HL143" s="25"/>
      <c r="HM143" s="25" t="s">
        <v>1743</v>
      </c>
      <c r="HN143" s="25"/>
      <c r="HO143" s="25"/>
      <c r="HP143" s="25"/>
      <c r="HQ143" s="25"/>
      <c r="HR143" s="25"/>
      <c r="HS143" s="25"/>
      <c r="HT143" s="25"/>
      <c r="HU143" s="13"/>
      <c r="HV143" s="13"/>
      <c r="HW143" s="32"/>
      <c r="HX143" s="55"/>
      <c r="HY143" s="55"/>
      <c r="HZ143" s="55"/>
      <c r="IA143" s="55"/>
      <c r="IB143" s="55"/>
      <c r="IC143" s="55"/>
      <c r="ID143" s="55"/>
      <c r="IE143" s="55"/>
      <c r="IF143" s="107">
        <v>2300000</v>
      </c>
      <c r="IG143" s="107">
        <v>2392117.0700000003</v>
      </c>
      <c r="IH143" s="250">
        <f t="shared" si="66"/>
        <v>0</v>
      </c>
      <c r="II143" s="55"/>
      <c r="IJ143" s="55"/>
      <c r="IK143" s="55"/>
      <c r="IL143" s="55"/>
      <c r="IM143" s="55"/>
      <c r="IN143" s="55"/>
      <c r="IO143" s="55"/>
      <c r="IP143" s="55"/>
      <c r="IQ143" s="55"/>
      <c r="IR143" s="55"/>
      <c r="IS143" s="55"/>
      <c r="IT143" s="55"/>
      <c r="IU143" s="55"/>
      <c r="IV143" s="55"/>
      <c r="IW143" s="55"/>
      <c r="IX143" s="55"/>
      <c r="IY143" s="55"/>
      <c r="IZ143" s="55"/>
      <c r="JA143" s="55"/>
      <c r="JB143" s="55"/>
      <c r="JC143" s="55"/>
      <c r="JD143" s="55">
        <v>2017</v>
      </c>
    </row>
    <row r="144" spans="1:264" s="5" customFormat="1" ht="24.95" hidden="1" customHeight="1">
      <c r="A144" s="26" t="s">
        <v>138</v>
      </c>
      <c r="B144" s="26" t="s">
        <v>27</v>
      </c>
      <c r="C144" s="13" t="s">
        <v>352</v>
      </c>
      <c r="D144" s="13" t="s">
        <v>377</v>
      </c>
      <c r="E144" s="168" t="s">
        <v>357</v>
      </c>
      <c r="F144" s="169" t="s">
        <v>357</v>
      </c>
      <c r="G144" s="39" t="s">
        <v>354</v>
      </c>
      <c r="H144" s="28" t="s">
        <v>1549</v>
      </c>
      <c r="I144" s="73" t="s">
        <v>373</v>
      </c>
      <c r="J144" s="40">
        <v>2</v>
      </c>
      <c r="K144" s="49" t="s">
        <v>375</v>
      </c>
      <c r="L144" s="26" t="s">
        <v>671</v>
      </c>
      <c r="M144" s="74" t="s">
        <v>373</v>
      </c>
      <c r="N144" s="74"/>
      <c r="O144" s="13" t="s">
        <v>3</v>
      </c>
      <c r="P144" s="13" t="s">
        <v>4</v>
      </c>
      <c r="Q144" s="22" t="s">
        <v>1118</v>
      </c>
      <c r="R144" s="22" t="s">
        <v>1058</v>
      </c>
      <c r="S144" s="13" t="s">
        <v>1059</v>
      </c>
      <c r="T144" s="13" t="s">
        <v>1387</v>
      </c>
      <c r="U144" s="13" t="s">
        <v>479</v>
      </c>
      <c r="V144" s="13" t="s">
        <v>1060</v>
      </c>
      <c r="W144" s="13" t="s">
        <v>1062</v>
      </c>
      <c r="X144" s="13" t="s">
        <v>969</v>
      </c>
      <c r="Y144" s="13" t="s">
        <v>1061</v>
      </c>
      <c r="Z144" s="13" t="s">
        <v>969</v>
      </c>
      <c r="AA144" s="37"/>
      <c r="AB144" s="64">
        <v>312569</v>
      </c>
      <c r="AC144" s="29">
        <v>0</v>
      </c>
      <c r="AD144" s="65">
        <v>312569</v>
      </c>
      <c r="AE144" s="29">
        <v>0</v>
      </c>
      <c r="AF144" s="29">
        <f t="shared" si="70"/>
        <v>312569</v>
      </c>
      <c r="AG144" s="25">
        <v>0.12</v>
      </c>
      <c r="AH144" s="29">
        <f t="shared" si="71"/>
        <v>37508.28</v>
      </c>
      <c r="AI144" s="29">
        <f t="shared" si="63"/>
        <v>0</v>
      </c>
      <c r="AJ144" s="29">
        <f t="shared" si="64"/>
        <v>350077.28</v>
      </c>
      <c r="AK144" s="29">
        <v>311343.48</v>
      </c>
      <c r="AL144" s="29">
        <f>AB144-AK144</f>
        <v>1225.5200000000186</v>
      </c>
      <c r="AM144" s="29"/>
      <c r="AN144" s="37"/>
      <c r="AO144" s="65">
        <v>312569</v>
      </c>
      <c r="AP144" s="37"/>
      <c r="AQ144" s="37">
        <v>281582.90000000002</v>
      </c>
      <c r="AR144" s="25">
        <v>0.14000000000000001</v>
      </c>
      <c r="AS144" s="37">
        <f>AQ144*0.14</f>
        <v>39421.606000000007</v>
      </c>
      <c r="AT144" s="37">
        <f>AQ144*1.14</f>
        <v>321004.50599999999</v>
      </c>
      <c r="AU144" s="37"/>
      <c r="AV144" s="37"/>
      <c r="AW144" s="37"/>
      <c r="AX144" s="37"/>
      <c r="AY144" s="37"/>
      <c r="AZ144" s="37"/>
      <c r="BA144" s="37"/>
      <c r="BB144" s="37"/>
      <c r="BC144" s="37"/>
      <c r="BD144" s="37"/>
      <c r="BE144" s="37"/>
      <c r="BF144" s="29">
        <f>AB144-AQ144</f>
        <v>30986.099999999977</v>
      </c>
      <c r="BG144" s="29">
        <f t="shared" si="73"/>
        <v>30986.099999999977</v>
      </c>
      <c r="BH144" s="37" t="s">
        <v>594</v>
      </c>
      <c r="BI144" s="29" t="s">
        <v>570</v>
      </c>
      <c r="BJ144" s="29" t="s">
        <v>570</v>
      </c>
      <c r="BK144" s="29" t="s">
        <v>570</v>
      </c>
      <c r="BL144" s="29" t="s">
        <v>570</v>
      </c>
      <c r="BM144" s="29" t="s">
        <v>570</v>
      </c>
      <c r="BN144" s="23">
        <v>42711</v>
      </c>
      <c r="BO144" s="23">
        <v>42717</v>
      </c>
      <c r="BP144" s="23">
        <v>42725</v>
      </c>
      <c r="BQ144" s="23">
        <v>42731</v>
      </c>
      <c r="BR144" s="13" t="s">
        <v>570</v>
      </c>
      <c r="BS144" s="23">
        <v>42746</v>
      </c>
      <c r="BT144" s="23">
        <v>42748</v>
      </c>
      <c r="BU144" s="13" t="s">
        <v>570</v>
      </c>
      <c r="BV144" s="13" t="s">
        <v>570</v>
      </c>
      <c r="BW144" s="224" t="s">
        <v>570</v>
      </c>
      <c r="BX144" s="23">
        <v>42389</v>
      </c>
      <c r="BY144" s="13" t="s">
        <v>570</v>
      </c>
      <c r="BZ144" s="23">
        <v>42393</v>
      </c>
      <c r="CA144" s="23">
        <v>42772</v>
      </c>
      <c r="CB144" s="224" t="s">
        <v>570</v>
      </c>
      <c r="CC144" s="224" t="s">
        <v>570</v>
      </c>
      <c r="CD144" s="224" t="s">
        <v>570</v>
      </c>
      <c r="CE144" s="13"/>
      <c r="CF144" s="127" t="s">
        <v>829</v>
      </c>
      <c r="CG144" s="13"/>
      <c r="CH144" s="13"/>
      <c r="CI144" s="13"/>
      <c r="CJ144" s="13"/>
      <c r="CK144" s="13"/>
      <c r="CL144" s="13"/>
      <c r="CM144" s="13"/>
      <c r="CN144" s="13"/>
      <c r="CO144" s="13"/>
      <c r="CP144" s="13"/>
      <c r="CQ144" s="13"/>
      <c r="CR144" s="127" t="s">
        <v>829</v>
      </c>
      <c r="CS144" s="13" t="s">
        <v>570</v>
      </c>
      <c r="CT144" s="37" t="s">
        <v>570</v>
      </c>
      <c r="CU144" s="37" t="s">
        <v>570</v>
      </c>
      <c r="CV144" s="23">
        <v>42775</v>
      </c>
      <c r="CW144" s="30">
        <v>140791.45000000001</v>
      </c>
      <c r="CX144" s="13"/>
      <c r="CY144" s="13"/>
      <c r="CZ144" s="30"/>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31">
        <f t="shared" si="74"/>
        <v>140791.45000000001</v>
      </c>
      <c r="DZ144" s="13"/>
      <c r="EA144" s="13"/>
      <c r="EB144" s="13"/>
      <c r="EC144" s="13"/>
      <c r="ED144" s="13"/>
      <c r="EE144" s="30">
        <f>DY144+DZ144+EA144+EB144+EC144+ED144</f>
        <v>140791.45000000001</v>
      </c>
      <c r="EF144" s="30">
        <f>EE144-AQ144</f>
        <v>-140791.45000000001</v>
      </c>
      <c r="EG144" s="13">
        <v>180</v>
      </c>
      <c r="EH144" s="13" t="s">
        <v>588</v>
      </c>
      <c r="EI144" s="23">
        <f>CV144+1</f>
        <v>42776</v>
      </c>
      <c r="EJ144" s="23">
        <f t="shared" si="75"/>
        <v>42956</v>
      </c>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25"/>
      <c r="FI144" s="25"/>
      <c r="FJ144" s="25"/>
      <c r="FK144" s="25"/>
      <c r="FL144" s="25"/>
      <c r="FM144" s="25"/>
      <c r="FN144" s="25"/>
      <c r="FO144" s="25"/>
      <c r="FP144" s="25"/>
      <c r="FQ144" s="25"/>
      <c r="FR144" s="25"/>
      <c r="FS144" s="25">
        <v>0</v>
      </c>
      <c r="FT144" s="25">
        <v>0</v>
      </c>
      <c r="FU144" s="25">
        <v>0.1</v>
      </c>
      <c r="FV144" s="25">
        <v>0.4</v>
      </c>
      <c r="FW144" s="25">
        <v>0.4</v>
      </c>
      <c r="FX144" s="25">
        <v>0.7</v>
      </c>
      <c r="FY144" s="25">
        <v>0.98</v>
      </c>
      <c r="FZ144" s="25">
        <v>0.99</v>
      </c>
      <c r="GA144" s="25">
        <v>1</v>
      </c>
      <c r="GB144" s="25">
        <v>1</v>
      </c>
      <c r="GC144" s="25">
        <v>1</v>
      </c>
      <c r="GD144" s="25">
        <v>1</v>
      </c>
      <c r="GE144" s="25">
        <v>1</v>
      </c>
      <c r="GF144" s="25">
        <v>1</v>
      </c>
      <c r="GG144" s="25">
        <v>1</v>
      </c>
      <c r="GH144" s="25">
        <v>1</v>
      </c>
      <c r="GI144" s="25">
        <v>1</v>
      </c>
      <c r="GJ144" s="25">
        <v>1</v>
      </c>
      <c r="GK144" s="25">
        <v>1</v>
      </c>
      <c r="GL144" s="25">
        <v>1</v>
      </c>
      <c r="GM144" s="25">
        <v>1</v>
      </c>
      <c r="GN144" s="25">
        <v>1</v>
      </c>
      <c r="GO144" s="25">
        <v>1</v>
      </c>
      <c r="GP144" s="25">
        <v>1</v>
      </c>
      <c r="GQ144" s="25">
        <v>1</v>
      </c>
      <c r="GR144" s="25">
        <v>1</v>
      </c>
      <c r="GS144" s="25">
        <v>1</v>
      </c>
      <c r="GT144" s="25">
        <v>1</v>
      </c>
      <c r="GU144" s="25">
        <v>1</v>
      </c>
      <c r="GV144" s="25" t="s">
        <v>455</v>
      </c>
      <c r="GW144" s="25" t="s">
        <v>455</v>
      </c>
      <c r="GX144" s="25" t="s">
        <v>455</v>
      </c>
      <c r="GY144" s="25" t="s">
        <v>455</v>
      </c>
      <c r="GZ144" s="25" t="s">
        <v>455</v>
      </c>
      <c r="HA144" s="25" t="s">
        <v>455</v>
      </c>
      <c r="HB144" s="25" t="s">
        <v>455</v>
      </c>
      <c r="HC144" s="25" t="s">
        <v>455</v>
      </c>
      <c r="HD144" s="25" t="s">
        <v>455</v>
      </c>
      <c r="HE144" s="25" t="s">
        <v>455</v>
      </c>
      <c r="HF144" s="25" t="s">
        <v>455</v>
      </c>
      <c r="HG144" s="25" t="s">
        <v>455</v>
      </c>
      <c r="HH144" s="25" t="s">
        <v>455</v>
      </c>
      <c r="HI144" s="25"/>
      <c r="HJ144" s="25"/>
      <c r="HK144" s="25"/>
      <c r="HL144" s="25"/>
      <c r="HM144" s="25"/>
      <c r="HN144" s="25"/>
      <c r="HO144" s="25"/>
      <c r="HP144" s="25"/>
      <c r="HQ144" s="25"/>
      <c r="HR144" s="25"/>
      <c r="HS144" s="25"/>
      <c r="HT144" s="25"/>
      <c r="HU144" s="13" t="s">
        <v>672</v>
      </c>
      <c r="HV144" s="13"/>
      <c r="HW144" s="32"/>
      <c r="HX144" s="23">
        <v>42531</v>
      </c>
      <c r="HY144" s="55"/>
      <c r="HZ144" s="55"/>
      <c r="IA144" s="55"/>
      <c r="IB144" s="55"/>
      <c r="IC144" s="55"/>
      <c r="ID144" s="55"/>
      <c r="IE144" s="55"/>
      <c r="IF144" s="107">
        <v>312569</v>
      </c>
      <c r="IG144" s="107">
        <v>311343.48</v>
      </c>
      <c r="IH144" s="250">
        <f t="shared" si="66"/>
        <v>0</v>
      </c>
      <c r="II144" s="55"/>
      <c r="IJ144" s="55"/>
      <c r="IK144" s="55"/>
      <c r="IL144" s="55"/>
      <c r="IM144" s="55"/>
      <c r="IN144" s="55"/>
      <c r="IO144" s="55"/>
      <c r="IP144" s="55"/>
      <c r="IQ144" s="55"/>
      <c r="IR144" s="55"/>
      <c r="IS144" s="55"/>
      <c r="IT144" s="55"/>
      <c r="IU144" s="55"/>
      <c r="IV144" s="55"/>
      <c r="IW144" s="55"/>
      <c r="IX144" s="55"/>
      <c r="IY144" s="55"/>
      <c r="IZ144" s="55"/>
      <c r="JA144" s="55"/>
      <c r="JB144" s="55"/>
      <c r="JC144" s="55"/>
      <c r="JD144" s="55">
        <v>2018</v>
      </c>
    </row>
    <row r="145" spans="1:265" s="5" customFormat="1" ht="52.5" hidden="1" customHeight="1">
      <c r="A145" s="26" t="s">
        <v>16</v>
      </c>
      <c r="B145" s="26" t="s">
        <v>27</v>
      </c>
      <c r="C145" s="13" t="s">
        <v>349</v>
      </c>
      <c r="D145" s="13" t="s">
        <v>380</v>
      </c>
      <c r="E145" s="16" t="s">
        <v>350</v>
      </c>
      <c r="F145" s="13" t="s">
        <v>350</v>
      </c>
      <c r="G145" s="39" t="s">
        <v>354</v>
      </c>
      <c r="H145" s="28" t="s">
        <v>1518</v>
      </c>
      <c r="I145" s="20" t="s">
        <v>142</v>
      </c>
      <c r="J145" s="40">
        <v>2</v>
      </c>
      <c r="K145" s="49" t="s">
        <v>375</v>
      </c>
      <c r="L145" s="26" t="s">
        <v>141</v>
      </c>
      <c r="M145" s="20" t="s">
        <v>142</v>
      </c>
      <c r="N145" s="20"/>
      <c r="O145" s="13" t="s">
        <v>3</v>
      </c>
      <c r="P145" s="13" t="s">
        <v>4</v>
      </c>
      <c r="Q145" s="22" t="s">
        <v>364</v>
      </c>
      <c r="R145" s="26" t="s">
        <v>141</v>
      </c>
      <c r="S145" s="13" t="s">
        <v>868</v>
      </c>
      <c r="T145" s="13" t="s">
        <v>1387</v>
      </c>
      <c r="U145" s="13" t="s">
        <v>479</v>
      </c>
      <c r="V145" s="13" t="s">
        <v>869</v>
      </c>
      <c r="W145" s="13" t="s">
        <v>969</v>
      </c>
      <c r="X145" s="13" t="s">
        <v>969</v>
      </c>
      <c r="Y145" s="13" t="s">
        <v>920</v>
      </c>
      <c r="Z145" s="13" t="s">
        <v>921</v>
      </c>
      <c r="AA145" s="37"/>
      <c r="AB145" s="68">
        <v>741752.03</v>
      </c>
      <c r="AC145" s="29">
        <v>0</v>
      </c>
      <c r="AD145" s="37">
        <v>741752.03</v>
      </c>
      <c r="AE145" s="29">
        <v>0</v>
      </c>
      <c r="AF145" s="29">
        <f t="shared" si="70"/>
        <v>741752.03</v>
      </c>
      <c r="AG145" s="25">
        <v>0.12</v>
      </c>
      <c r="AH145" s="29">
        <f t="shared" si="71"/>
        <v>89010.243600000002</v>
      </c>
      <c r="AI145" s="29">
        <f t="shared" si="63"/>
        <v>0</v>
      </c>
      <c r="AJ145" s="29">
        <f t="shared" si="64"/>
        <v>830762.27360000007</v>
      </c>
      <c r="AK145" s="29">
        <v>766875.07000000007</v>
      </c>
      <c r="AL145" s="29">
        <f>AB145-AK145</f>
        <v>-25123.040000000037</v>
      </c>
      <c r="AM145" s="29"/>
      <c r="AN145" s="37"/>
      <c r="AO145" s="37">
        <v>741752.03</v>
      </c>
      <c r="AP145" s="37"/>
      <c r="AQ145" s="37">
        <v>701945.62</v>
      </c>
      <c r="AR145" s="35">
        <v>0.14000000000000001</v>
      </c>
      <c r="AS145" s="37">
        <f>AQ145*0.14</f>
        <v>98272.386800000007</v>
      </c>
      <c r="AT145" s="37">
        <f>AQ145*1.14</f>
        <v>800218.00679999997</v>
      </c>
      <c r="AU145" s="37"/>
      <c r="AV145" s="25"/>
      <c r="AW145" s="37"/>
      <c r="AX145" s="37"/>
      <c r="AY145" s="37"/>
      <c r="AZ145" s="37"/>
      <c r="BA145" s="37" t="s">
        <v>1043</v>
      </c>
      <c r="BB145" s="25" t="s">
        <v>1042</v>
      </c>
      <c r="BC145" s="37">
        <v>19364</v>
      </c>
      <c r="BD145" s="37">
        <f>BC145*0.14</f>
        <v>2710.96</v>
      </c>
      <c r="BE145" s="37"/>
      <c r="BF145" s="29">
        <f>AB145-AQ145</f>
        <v>39806.410000000033</v>
      </c>
      <c r="BG145" s="29">
        <f t="shared" si="73"/>
        <v>20442.410000000033</v>
      </c>
      <c r="BH145" s="37" t="s">
        <v>594</v>
      </c>
      <c r="BI145" s="29" t="s">
        <v>570</v>
      </c>
      <c r="BJ145" s="29" t="s">
        <v>570</v>
      </c>
      <c r="BK145" s="29" t="s">
        <v>570</v>
      </c>
      <c r="BL145" s="29" t="s">
        <v>570</v>
      </c>
      <c r="BM145" s="29" t="s">
        <v>570</v>
      </c>
      <c r="BN145" s="23">
        <v>42279</v>
      </c>
      <c r="BO145" s="23">
        <v>42314</v>
      </c>
      <c r="BP145" s="23">
        <v>42319</v>
      </c>
      <c r="BQ145" s="23">
        <v>42324</v>
      </c>
      <c r="BR145" s="23" t="s">
        <v>570</v>
      </c>
      <c r="BS145" s="23">
        <v>42332</v>
      </c>
      <c r="BT145" s="23">
        <v>42335</v>
      </c>
      <c r="BU145" s="13" t="s">
        <v>570</v>
      </c>
      <c r="BV145" s="13" t="s">
        <v>570</v>
      </c>
      <c r="BW145" s="224" t="s">
        <v>570</v>
      </c>
      <c r="BX145" s="23">
        <v>42347</v>
      </c>
      <c r="BY145" s="23" t="s">
        <v>570</v>
      </c>
      <c r="BZ145" s="13" t="s">
        <v>503</v>
      </c>
      <c r="CA145" s="23">
        <v>42537</v>
      </c>
      <c r="CB145" s="224" t="s">
        <v>570</v>
      </c>
      <c r="CC145" s="224" t="s">
        <v>570</v>
      </c>
      <c r="CD145" s="224" t="s">
        <v>570</v>
      </c>
      <c r="CE145" s="13"/>
      <c r="CF145" s="127" t="s">
        <v>829</v>
      </c>
      <c r="CG145" s="13"/>
      <c r="CH145" s="13"/>
      <c r="CI145" s="13"/>
      <c r="CJ145" s="13"/>
      <c r="CK145" s="13"/>
      <c r="CL145" s="13"/>
      <c r="CM145" s="13"/>
      <c r="CN145" s="13"/>
      <c r="CO145" s="13"/>
      <c r="CP145" s="13"/>
      <c r="CQ145" s="13"/>
      <c r="CR145" s="127" t="s">
        <v>829</v>
      </c>
      <c r="CS145" s="13" t="s">
        <v>570</v>
      </c>
      <c r="CT145" s="37" t="s">
        <v>452</v>
      </c>
      <c r="CU145" s="25">
        <v>0.05</v>
      </c>
      <c r="CV145" s="23">
        <v>42551</v>
      </c>
      <c r="CW145" s="30">
        <f>AQ145*0.5</f>
        <v>350972.81</v>
      </c>
      <c r="CX145" s="237" t="s">
        <v>1475</v>
      </c>
      <c r="CY145" s="155">
        <v>42859</v>
      </c>
      <c r="CZ145" s="54">
        <v>9682</v>
      </c>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31">
        <f t="shared" si="74"/>
        <v>360654.81</v>
      </c>
      <c r="DZ145" s="13"/>
      <c r="EA145" s="13"/>
      <c r="EB145" s="13"/>
      <c r="EC145" s="13"/>
      <c r="ED145" s="13"/>
      <c r="EE145" s="13"/>
      <c r="EF145" s="13"/>
      <c r="EG145" s="24">
        <v>180</v>
      </c>
      <c r="EH145" s="13" t="s">
        <v>588</v>
      </c>
      <c r="EI145" s="23">
        <f>CV145+1</f>
        <v>42552</v>
      </c>
      <c r="EJ145" s="23">
        <f t="shared" si="75"/>
        <v>42732</v>
      </c>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25">
        <v>0.17499999999999999</v>
      </c>
      <c r="FV145" s="25">
        <v>0.17499999999999999</v>
      </c>
      <c r="FW145" s="25">
        <v>0.17499999999999999</v>
      </c>
      <c r="FX145" s="25">
        <v>0.17499999999999999</v>
      </c>
      <c r="FY145" s="25">
        <v>0.2</v>
      </c>
      <c r="FZ145" s="25">
        <v>0.2</v>
      </c>
      <c r="GA145" s="25">
        <v>0.44</v>
      </c>
      <c r="GB145" s="25">
        <v>0.44</v>
      </c>
      <c r="GC145" s="25">
        <v>0.65</v>
      </c>
      <c r="GD145" s="25">
        <v>0.65</v>
      </c>
      <c r="GE145" s="25">
        <v>0.65</v>
      </c>
      <c r="GF145" s="25">
        <v>0.65</v>
      </c>
      <c r="GG145" s="25">
        <v>0.65</v>
      </c>
      <c r="GH145" s="25">
        <v>0.65</v>
      </c>
      <c r="GI145" s="25">
        <v>0.65</v>
      </c>
      <c r="GJ145" s="25">
        <v>0.65</v>
      </c>
      <c r="GK145" s="25">
        <v>0.65</v>
      </c>
      <c r="GL145" s="25">
        <v>0.65</v>
      </c>
      <c r="GM145" s="25">
        <v>0.65</v>
      </c>
      <c r="GN145" s="25">
        <v>0.65</v>
      </c>
      <c r="GO145" s="25">
        <v>0.65</v>
      </c>
      <c r="GP145" s="25">
        <v>0.65</v>
      </c>
      <c r="GQ145" s="25">
        <v>0.75</v>
      </c>
      <c r="GR145" s="25">
        <v>0.8</v>
      </c>
      <c r="GS145" s="25">
        <v>0.85</v>
      </c>
      <c r="GT145" s="25">
        <v>1</v>
      </c>
      <c r="GU145" s="25">
        <v>1</v>
      </c>
      <c r="GV145" s="25" t="s">
        <v>1588</v>
      </c>
      <c r="GW145" s="25" t="s">
        <v>1588</v>
      </c>
      <c r="GX145" s="25" t="s">
        <v>1588</v>
      </c>
      <c r="GY145" s="25" t="s">
        <v>1588</v>
      </c>
      <c r="GZ145" s="25" t="s">
        <v>1588</v>
      </c>
      <c r="HA145" s="25" t="s">
        <v>1588</v>
      </c>
      <c r="HB145" s="25" t="s">
        <v>1588</v>
      </c>
      <c r="HC145" s="25" t="s">
        <v>1588</v>
      </c>
      <c r="HD145" s="25" t="s">
        <v>1588</v>
      </c>
      <c r="HE145" s="25" t="s">
        <v>1588</v>
      </c>
      <c r="HF145" s="25" t="s">
        <v>1588</v>
      </c>
      <c r="HG145" s="25" t="s">
        <v>455</v>
      </c>
      <c r="HH145" s="25" t="s">
        <v>455</v>
      </c>
      <c r="HI145" s="25" t="s">
        <v>2045</v>
      </c>
      <c r="HJ145" s="25"/>
      <c r="HK145" s="25"/>
      <c r="HL145" s="25" t="s">
        <v>1716</v>
      </c>
      <c r="HM145" s="25" t="s">
        <v>1716</v>
      </c>
      <c r="HN145" s="25"/>
      <c r="HO145" s="25"/>
      <c r="HP145" s="25"/>
      <c r="HQ145" s="25" t="s">
        <v>2051</v>
      </c>
      <c r="HR145" s="25" t="s">
        <v>2063</v>
      </c>
      <c r="HS145" s="25" t="s">
        <v>2068</v>
      </c>
      <c r="HT145" s="25" t="s">
        <v>2068</v>
      </c>
      <c r="HU145" s="16" t="s">
        <v>1252</v>
      </c>
      <c r="HV145" s="13"/>
      <c r="HW145" s="32"/>
      <c r="HX145" s="55"/>
      <c r="HY145" s="55"/>
      <c r="HZ145" s="55"/>
      <c r="IA145" s="55"/>
      <c r="IB145" s="55"/>
      <c r="IC145" s="55"/>
      <c r="ID145" s="55"/>
      <c r="IE145" s="55"/>
      <c r="IF145" s="107">
        <v>741752.03</v>
      </c>
      <c r="IG145" s="107"/>
      <c r="IH145" s="250">
        <f t="shared" si="66"/>
        <v>766875.07000000007</v>
      </c>
      <c r="II145" s="55"/>
      <c r="IJ145" s="55"/>
      <c r="IK145" s="55"/>
      <c r="IL145" s="55"/>
      <c r="IM145" s="55"/>
      <c r="IN145" s="55"/>
      <c r="IO145" s="55"/>
      <c r="IP145" s="55"/>
      <c r="IQ145" s="55"/>
      <c r="IR145" s="55"/>
      <c r="IS145" s="55"/>
      <c r="IT145" s="55"/>
      <c r="IU145" s="55"/>
      <c r="IV145" s="55"/>
      <c r="IW145" s="55"/>
      <c r="IX145" s="55"/>
      <c r="IY145" s="55"/>
      <c r="IZ145" s="55"/>
      <c r="JA145" s="55"/>
      <c r="JB145" s="55"/>
      <c r="JC145" s="55"/>
      <c r="JD145" s="55">
        <v>2019</v>
      </c>
      <c r="JE145" s="5" t="s">
        <v>2010</v>
      </c>
    </row>
    <row r="146" spans="1:265" s="5" customFormat="1" ht="110.25" hidden="1" customHeight="1">
      <c r="A146" s="26" t="s">
        <v>16</v>
      </c>
      <c r="B146" s="26" t="s">
        <v>27</v>
      </c>
      <c r="C146" s="13" t="s">
        <v>349</v>
      </c>
      <c r="D146" s="13" t="s">
        <v>380</v>
      </c>
      <c r="E146" s="16" t="s">
        <v>350</v>
      </c>
      <c r="F146" s="13" t="s">
        <v>350</v>
      </c>
      <c r="G146" s="39" t="s">
        <v>351</v>
      </c>
      <c r="H146" s="28" t="s">
        <v>1518</v>
      </c>
      <c r="I146" s="20" t="s">
        <v>144</v>
      </c>
      <c r="J146" s="40">
        <v>3</v>
      </c>
      <c r="K146" s="49" t="s">
        <v>375</v>
      </c>
      <c r="L146" s="26" t="s">
        <v>143</v>
      </c>
      <c r="M146" s="20" t="s">
        <v>144</v>
      </c>
      <c r="N146" s="20"/>
      <c r="O146" s="13" t="s">
        <v>3</v>
      </c>
      <c r="P146" s="13" t="s">
        <v>4</v>
      </c>
      <c r="Q146" s="22" t="s">
        <v>364</v>
      </c>
      <c r="R146" s="26" t="s">
        <v>143</v>
      </c>
      <c r="S146" s="13" t="s">
        <v>868</v>
      </c>
      <c r="T146" s="13" t="s">
        <v>1387</v>
      </c>
      <c r="U146" s="13" t="s">
        <v>479</v>
      </c>
      <c r="V146" s="13" t="s">
        <v>869</v>
      </c>
      <c r="W146" s="13" t="s">
        <v>969</v>
      </c>
      <c r="X146" s="13" t="s">
        <v>969</v>
      </c>
      <c r="Y146" s="13" t="s">
        <v>870</v>
      </c>
      <c r="Z146" s="13" t="s">
        <v>922</v>
      </c>
      <c r="AA146" s="37"/>
      <c r="AB146" s="68">
        <v>226099.6</v>
      </c>
      <c r="AC146" s="29">
        <v>0</v>
      </c>
      <c r="AD146" s="37">
        <v>226099.59821428568</v>
      </c>
      <c r="AE146" s="29">
        <v>0</v>
      </c>
      <c r="AF146" s="29">
        <f t="shared" si="70"/>
        <v>226099.59821428568</v>
      </c>
      <c r="AG146" s="25">
        <v>0.12</v>
      </c>
      <c r="AH146" s="29">
        <f t="shared" si="71"/>
        <v>27131.951785714282</v>
      </c>
      <c r="AI146" s="29">
        <f t="shared" si="63"/>
        <v>0</v>
      </c>
      <c r="AJ146" s="29">
        <f t="shared" si="64"/>
        <v>253231.55</v>
      </c>
      <c r="AK146" s="29">
        <v>250396.56000000003</v>
      </c>
      <c r="AL146" s="29">
        <f>AB146-AK146</f>
        <v>-24296.960000000021</v>
      </c>
      <c r="AM146" s="29"/>
      <c r="AN146" s="37"/>
      <c r="AO146" s="37">
        <v>226099.59821428568</v>
      </c>
      <c r="AP146" s="37"/>
      <c r="AQ146" s="37">
        <v>230063.78</v>
      </c>
      <c r="AR146" s="35">
        <v>0.14000000000000001</v>
      </c>
      <c r="AS146" s="37">
        <f>AQ146*0.14</f>
        <v>32208.929200000002</v>
      </c>
      <c r="AT146" s="37">
        <f>AQ146*1.14</f>
        <v>262272.70919999998</v>
      </c>
      <c r="AU146" s="37"/>
      <c r="AV146" s="37"/>
      <c r="AW146" s="37"/>
      <c r="AX146" s="37"/>
      <c r="AY146" s="37"/>
      <c r="AZ146" s="37"/>
      <c r="BA146" s="37"/>
      <c r="BB146" s="37"/>
      <c r="BC146" s="37"/>
      <c r="BD146" s="37"/>
      <c r="BE146" s="37"/>
      <c r="BF146" s="29">
        <f>AB146-AQ146</f>
        <v>-3964.179999999993</v>
      </c>
      <c r="BG146" s="29">
        <f t="shared" si="73"/>
        <v>-3964.179999999993</v>
      </c>
      <c r="BH146" s="37" t="s">
        <v>594</v>
      </c>
      <c r="BI146" s="29" t="s">
        <v>570</v>
      </c>
      <c r="BJ146" s="29" t="s">
        <v>570</v>
      </c>
      <c r="BK146" s="29" t="s">
        <v>570</v>
      </c>
      <c r="BL146" s="29" t="s">
        <v>570</v>
      </c>
      <c r="BM146" s="29" t="s">
        <v>570</v>
      </c>
      <c r="BN146" s="23">
        <v>42279</v>
      </c>
      <c r="BO146" s="23">
        <v>42299</v>
      </c>
      <c r="BP146" s="23">
        <v>42307</v>
      </c>
      <c r="BQ146" s="23">
        <v>42324</v>
      </c>
      <c r="BR146" s="13" t="s">
        <v>570</v>
      </c>
      <c r="BS146" s="23">
        <v>42332</v>
      </c>
      <c r="BT146" s="23">
        <v>42334</v>
      </c>
      <c r="BU146" s="13" t="s">
        <v>570</v>
      </c>
      <c r="BV146" s="13" t="s">
        <v>570</v>
      </c>
      <c r="BW146" s="224" t="s">
        <v>570</v>
      </c>
      <c r="BX146" s="23">
        <v>42572</v>
      </c>
      <c r="BY146" s="13" t="s">
        <v>570</v>
      </c>
      <c r="BZ146" s="13" t="s">
        <v>503</v>
      </c>
      <c r="CA146" s="23">
        <v>42570</v>
      </c>
      <c r="CB146" s="224" t="s">
        <v>570</v>
      </c>
      <c r="CC146" s="224" t="s">
        <v>570</v>
      </c>
      <c r="CD146" s="224" t="s">
        <v>570</v>
      </c>
      <c r="CE146" s="13"/>
      <c r="CF146" s="127" t="s">
        <v>829</v>
      </c>
      <c r="CG146" s="13"/>
      <c r="CH146" s="13"/>
      <c r="CI146" s="13"/>
      <c r="CJ146" s="13"/>
      <c r="CK146" s="13"/>
      <c r="CL146" s="13"/>
      <c r="CM146" s="13"/>
      <c r="CN146" s="13"/>
      <c r="CO146" s="13"/>
      <c r="CP146" s="13"/>
      <c r="CQ146" s="13"/>
      <c r="CR146" s="127" t="s">
        <v>829</v>
      </c>
      <c r="CS146" s="13" t="s">
        <v>570</v>
      </c>
      <c r="CT146" s="37" t="s">
        <v>452</v>
      </c>
      <c r="CU146" s="25">
        <v>0.05</v>
      </c>
      <c r="CV146" s="23">
        <v>42604</v>
      </c>
      <c r="CW146" s="30">
        <f>AQ146*0.5</f>
        <v>115031.89</v>
      </c>
      <c r="CX146" s="30"/>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31">
        <f t="shared" si="74"/>
        <v>115031.89</v>
      </c>
      <c r="DZ146" s="13"/>
      <c r="EA146" s="13"/>
      <c r="EB146" s="13"/>
      <c r="EC146" s="13"/>
      <c r="ED146" s="13"/>
      <c r="EE146" s="13"/>
      <c r="EF146" s="13"/>
      <c r="EG146" s="24">
        <v>270</v>
      </c>
      <c r="EH146" s="13" t="s">
        <v>588</v>
      </c>
      <c r="EI146" s="23">
        <f>CV146+1</f>
        <v>42605</v>
      </c>
      <c r="EJ146" s="23">
        <f t="shared" si="75"/>
        <v>42875</v>
      </c>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25">
        <v>0.17499999999999999</v>
      </c>
      <c r="FV146" s="25">
        <v>0.17499999999999999</v>
      </c>
      <c r="FW146" s="25">
        <v>0.17499999999999999</v>
      </c>
      <c r="FX146" s="25">
        <v>0.17499999999999999</v>
      </c>
      <c r="FY146" s="25">
        <v>0.2</v>
      </c>
      <c r="FZ146" s="25">
        <v>0.2</v>
      </c>
      <c r="GA146" s="25">
        <v>0.4</v>
      </c>
      <c r="GB146" s="25">
        <v>0.4</v>
      </c>
      <c r="GC146" s="25">
        <v>0.4</v>
      </c>
      <c r="GD146" s="25">
        <v>0.4</v>
      </c>
      <c r="GE146" s="25">
        <v>0.4</v>
      </c>
      <c r="GF146" s="25">
        <v>0.4</v>
      </c>
      <c r="GG146" s="25">
        <v>0.4</v>
      </c>
      <c r="GH146" s="25">
        <v>0.44</v>
      </c>
      <c r="GI146" s="25">
        <v>0.44</v>
      </c>
      <c r="GJ146" s="25">
        <v>0.44</v>
      </c>
      <c r="GK146" s="25">
        <v>0.44</v>
      </c>
      <c r="GL146" s="25">
        <v>0.44</v>
      </c>
      <c r="GM146" s="25">
        <v>0.44</v>
      </c>
      <c r="GN146" s="25">
        <v>0.44</v>
      </c>
      <c r="GO146" s="25">
        <v>0.95</v>
      </c>
      <c r="GP146" s="25">
        <v>0.98</v>
      </c>
      <c r="GQ146" s="25">
        <v>1</v>
      </c>
      <c r="GR146" s="25">
        <v>1</v>
      </c>
      <c r="GS146" s="25">
        <v>1</v>
      </c>
      <c r="GT146" s="25">
        <v>1</v>
      </c>
      <c r="GU146" s="25">
        <v>1</v>
      </c>
      <c r="GV146" s="25" t="s">
        <v>1588</v>
      </c>
      <c r="GW146" s="25" t="s">
        <v>1588</v>
      </c>
      <c r="GX146" s="25" t="s">
        <v>1588</v>
      </c>
      <c r="GY146" s="25" t="s">
        <v>1588</v>
      </c>
      <c r="GZ146" s="25" t="s">
        <v>1588</v>
      </c>
      <c r="HA146" s="25" t="s">
        <v>1588</v>
      </c>
      <c r="HB146" s="25" t="s">
        <v>1588</v>
      </c>
      <c r="HC146" s="25" t="s">
        <v>1588</v>
      </c>
      <c r="HD146" s="25" t="s">
        <v>1588</v>
      </c>
      <c r="HE146" s="25" t="s">
        <v>1588</v>
      </c>
      <c r="HF146" s="25" t="s">
        <v>1588</v>
      </c>
      <c r="HG146" s="25" t="s">
        <v>455</v>
      </c>
      <c r="HH146" s="25" t="s">
        <v>455</v>
      </c>
      <c r="HI146" s="25" t="s">
        <v>1645</v>
      </c>
      <c r="HJ146" s="25"/>
      <c r="HK146" s="25"/>
      <c r="HL146" s="25" t="s">
        <v>1717</v>
      </c>
      <c r="HM146" s="25" t="s">
        <v>1717</v>
      </c>
      <c r="HN146" s="25"/>
      <c r="HO146" s="25" t="s">
        <v>1887</v>
      </c>
      <c r="HP146" s="25"/>
      <c r="HQ146" s="25"/>
      <c r="HR146" s="25"/>
      <c r="HS146" s="25"/>
      <c r="HT146" s="25"/>
      <c r="HU146" s="13" t="s">
        <v>1253</v>
      </c>
      <c r="HV146" s="13"/>
      <c r="HW146" s="32"/>
      <c r="HX146" s="55"/>
      <c r="HY146" s="55"/>
      <c r="HZ146" s="55"/>
      <c r="IA146" s="55"/>
      <c r="IB146" s="55"/>
      <c r="IC146" s="55"/>
      <c r="ID146" s="55"/>
      <c r="IE146" s="55"/>
      <c r="IF146" s="107">
        <v>226099.6</v>
      </c>
      <c r="IG146" s="107"/>
      <c r="IH146" s="250">
        <f t="shared" si="66"/>
        <v>250396.56000000003</v>
      </c>
      <c r="II146" s="55"/>
      <c r="IJ146" s="55"/>
      <c r="IK146" s="55"/>
      <c r="IL146" s="55"/>
      <c r="IM146" s="55"/>
      <c r="IN146" s="55"/>
      <c r="IO146" s="55"/>
      <c r="IP146" s="55"/>
      <c r="IQ146" s="55"/>
      <c r="IR146" s="55"/>
      <c r="IS146" s="55"/>
      <c r="IT146" s="55"/>
      <c r="IU146" s="55"/>
      <c r="IV146" s="55"/>
      <c r="IW146" s="55"/>
      <c r="IX146" s="55"/>
      <c r="IY146" s="55"/>
      <c r="IZ146" s="55"/>
      <c r="JA146" s="55"/>
      <c r="JB146" s="55"/>
      <c r="JC146" s="55"/>
      <c r="JD146" s="55">
        <v>2019</v>
      </c>
      <c r="JE146" s="5" t="s">
        <v>2011</v>
      </c>
    </row>
    <row r="147" spans="1:265" s="106" customFormat="1" ht="24.95" hidden="1" customHeight="1">
      <c r="A147" s="315" t="s">
        <v>19</v>
      </c>
      <c r="B147" s="315" t="s">
        <v>27</v>
      </c>
      <c r="C147" s="13" t="s">
        <v>349</v>
      </c>
      <c r="D147" s="13" t="s">
        <v>380</v>
      </c>
      <c r="E147" s="16" t="s">
        <v>360</v>
      </c>
      <c r="F147" s="13" t="s">
        <v>360</v>
      </c>
      <c r="G147" s="39" t="s">
        <v>354</v>
      </c>
      <c r="H147" s="39" t="s">
        <v>1580</v>
      </c>
      <c r="I147" s="313" t="s">
        <v>146</v>
      </c>
      <c r="J147" s="40">
        <v>2</v>
      </c>
      <c r="K147" s="49" t="s">
        <v>375</v>
      </c>
      <c r="L147" s="315" t="s">
        <v>145</v>
      </c>
      <c r="M147" s="345" t="s">
        <v>146</v>
      </c>
      <c r="N147" s="345"/>
      <c r="O147" s="346" t="s">
        <v>3</v>
      </c>
      <c r="P147" s="346" t="s">
        <v>4</v>
      </c>
      <c r="Q147" s="347" t="s">
        <v>1118</v>
      </c>
      <c r="R147" s="22" t="s">
        <v>1108</v>
      </c>
      <c r="S147" s="22" t="s">
        <v>827</v>
      </c>
      <c r="T147" s="13" t="s">
        <v>1387</v>
      </c>
      <c r="U147" s="13" t="s">
        <v>479</v>
      </c>
      <c r="V147" s="24">
        <v>179217958001</v>
      </c>
      <c r="W147" s="13"/>
      <c r="X147" s="13"/>
      <c r="Y147" s="13" t="s">
        <v>828</v>
      </c>
      <c r="Z147" s="13" t="s">
        <v>503</v>
      </c>
      <c r="AA147" s="37"/>
      <c r="AB147" s="356">
        <f>1191735.45-91275.87</f>
        <v>1100459.58</v>
      </c>
      <c r="AC147" s="348">
        <v>0</v>
      </c>
      <c r="AD147" s="357">
        <v>1191735.45</v>
      </c>
      <c r="AE147" s="348">
        <v>0</v>
      </c>
      <c r="AF147" s="348">
        <f t="shared" si="70"/>
        <v>1191735.45</v>
      </c>
      <c r="AG147" s="349">
        <v>0.12</v>
      </c>
      <c r="AH147" s="348">
        <f t="shared" si="71"/>
        <v>143008.25399999999</v>
      </c>
      <c r="AI147" s="348">
        <f t="shared" si="63"/>
        <v>0</v>
      </c>
      <c r="AJ147" s="348">
        <f t="shared" si="64"/>
        <v>1334743.7040000001</v>
      </c>
      <c r="AK147" s="348">
        <v>1100459.58</v>
      </c>
      <c r="AL147" s="348">
        <f>AB147-AK147</f>
        <v>0</v>
      </c>
      <c r="AM147" s="29"/>
      <c r="AN147" s="37"/>
      <c r="AO147" s="37">
        <v>1191735.45</v>
      </c>
      <c r="AP147" s="37"/>
      <c r="AQ147" s="37">
        <v>1132043.6000000001</v>
      </c>
      <c r="AR147" s="37"/>
      <c r="AS147" s="37"/>
      <c r="AT147" s="37"/>
      <c r="AU147" s="37"/>
      <c r="AV147" s="37"/>
      <c r="AW147" s="37"/>
      <c r="AX147" s="37"/>
      <c r="AY147" s="37"/>
      <c r="AZ147" s="37"/>
      <c r="BA147" s="37"/>
      <c r="BB147" s="37"/>
      <c r="BC147" s="37"/>
      <c r="BD147" s="37"/>
      <c r="BE147" s="37"/>
      <c r="BF147" s="29">
        <f>AB147-AQ147</f>
        <v>-31584.020000000019</v>
      </c>
      <c r="BG147" s="29">
        <f t="shared" si="73"/>
        <v>-31584.020000000019</v>
      </c>
      <c r="BH147" s="37" t="s">
        <v>594</v>
      </c>
      <c r="BI147" s="29" t="s">
        <v>570</v>
      </c>
      <c r="BJ147" s="29" t="s">
        <v>570</v>
      </c>
      <c r="BK147" s="29" t="s">
        <v>570</v>
      </c>
      <c r="BL147" s="29" t="s">
        <v>570</v>
      </c>
      <c r="BM147" s="29" t="s">
        <v>570</v>
      </c>
      <c r="BN147" s="23">
        <v>42233</v>
      </c>
      <c r="BO147" s="23">
        <v>42237</v>
      </c>
      <c r="BP147" s="23">
        <v>42242</v>
      </c>
      <c r="BQ147" s="23">
        <v>42263</v>
      </c>
      <c r="BR147" s="13"/>
      <c r="BS147" s="23">
        <v>42289</v>
      </c>
      <c r="BT147" s="23">
        <v>42297</v>
      </c>
      <c r="BU147" s="13" t="s">
        <v>570</v>
      </c>
      <c r="BV147" s="13" t="s">
        <v>570</v>
      </c>
      <c r="BW147" s="224" t="s">
        <v>570</v>
      </c>
      <c r="BX147" s="13" t="s">
        <v>503</v>
      </c>
      <c r="BY147" s="13" t="s">
        <v>570</v>
      </c>
      <c r="BZ147" s="13" t="s">
        <v>503</v>
      </c>
      <c r="CA147" s="23">
        <v>42354</v>
      </c>
      <c r="CB147" s="224" t="s">
        <v>570</v>
      </c>
      <c r="CC147" s="224" t="s">
        <v>570</v>
      </c>
      <c r="CD147" s="224" t="s">
        <v>570</v>
      </c>
      <c r="CE147" s="127" t="s">
        <v>829</v>
      </c>
      <c r="CF147" s="127" t="s">
        <v>829</v>
      </c>
      <c r="CG147" s="23" t="s">
        <v>830</v>
      </c>
      <c r="CH147" s="127" t="s">
        <v>829</v>
      </c>
      <c r="CI147" s="127" t="s">
        <v>829</v>
      </c>
      <c r="CJ147" s="23" t="s">
        <v>830</v>
      </c>
      <c r="CK147" s="23" t="s">
        <v>830</v>
      </c>
      <c r="CL147" s="23" t="s">
        <v>830</v>
      </c>
      <c r="CM147" s="23" t="s">
        <v>830</v>
      </c>
      <c r="CN147" s="23" t="s">
        <v>832</v>
      </c>
      <c r="CO147" s="23" t="s">
        <v>830</v>
      </c>
      <c r="CP147" s="23"/>
      <c r="CQ147" s="23" t="s">
        <v>830</v>
      </c>
      <c r="CR147" s="127" t="s">
        <v>829</v>
      </c>
      <c r="CS147" s="13" t="s">
        <v>570</v>
      </c>
      <c r="CT147" s="37" t="s">
        <v>452</v>
      </c>
      <c r="CU147" s="25">
        <v>0.05</v>
      </c>
      <c r="CV147" s="23">
        <v>42458</v>
      </c>
      <c r="CW147" s="30">
        <f>AQ147*0.5</f>
        <v>566021.80000000005</v>
      </c>
      <c r="CX147" s="13" t="s">
        <v>1005</v>
      </c>
      <c r="CY147" s="23">
        <v>42629</v>
      </c>
      <c r="CZ147" s="30">
        <f>452817.44-226408.72</f>
        <v>226408.72</v>
      </c>
      <c r="DA147" s="13" t="s">
        <v>1006</v>
      </c>
      <c r="DB147" s="23">
        <v>42681</v>
      </c>
      <c r="DC147" s="30">
        <v>226408.72</v>
      </c>
      <c r="DD147" s="13" t="s">
        <v>1007</v>
      </c>
      <c r="DE147" s="23">
        <v>42733</v>
      </c>
      <c r="DF147" s="30">
        <f>194824.7-113204.36</f>
        <v>81620.340000000011</v>
      </c>
      <c r="DG147" s="13"/>
      <c r="DH147" s="13"/>
      <c r="DI147" s="13"/>
      <c r="DJ147" s="13"/>
      <c r="DK147" s="13"/>
      <c r="DL147" s="13"/>
      <c r="DM147" s="13"/>
      <c r="DN147" s="13"/>
      <c r="DO147" s="13"/>
      <c r="DP147" s="13"/>
      <c r="DQ147" s="13"/>
      <c r="DR147" s="13"/>
      <c r="DS147" s="13"/>
      <c r="DT147" s="13"/>
      <c r="DU147" s="13"/>
      <c r="DV147" s="13"/>
      <c r="DW147" s="13"/>
      <c r="DX147" s="13"/>
      <c r="DY147" s="31">
        <f t="shared" si="74"/>
        <v>1100459.58</v>
      </c>
      <c r="DZ147" s="13"/>
      <c r="EA147" s="13"/>
      <c r="EB147" s="13"/>
      <c r="EC147" s="13"/>
      <c r="ED147" s="13"/>
      <c r="EE147" s="13"/>
      <c r="EF147" s="13"/>
      <c r="EG147" s="24">
        <v>180</v>
      </c>
      <c r="EH147" s="13" t="s">
        <v>588</v>
      </c>
      <c r="EI147" s="23">
        <f>CV147+1</f>
        <v>42459</v>
      </c>
      <c r="EJ147" s="23">
        <f t="shared" si="75"/>
        <v>42639</v>
      </c>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25">
        <v>1</v>
      </c>
      <c r="FT147" s="25">
        <v>1</v>
      </c>
      <c r="FU147" s="25">
        <v>1</v>
      </c>
      <c r="FV147" s="25">
        <v>1</v>
      </c>
      <c r="FW147" s="25">
        <v>1</v>
      </c>
      <c r="FX147" s="25">
        <v>1</v>
      </c>
      <c r="FY147" s="25">
        <v>1</v>
      </c>
      <c r="FZ147" s="25">
        <v>1</v>
      </c>
      <c r="GA147" s="25">
        <v>1</v>
      </c>
      <c r="GB147" s="25">
        <v>1</v>
      </c>
      <c r="GC147" s="25">
        <v>1</v>
      </c>
      <c r="GD147" s="25">
        <v>1</v>
      </c>
      <c r="GE147" s="25">
        <v>1</v>
      </c>
      <c r="GF147" s="25">
        <v>1</v>
      </c>
      <c r="GG147" s="25">
        <v>1</v>
      </c>
      <c r="GH147" s="25">
        <v>1</v>
      </c>
      <c r="GI147" s="25">
        <v>1</v>
      </c>
      <c r="GJ147" s="25">
        <v>1</v>
      </c>
      <c r="GK147" s="25">
        <v>1</v>
      </c>
      <c r="GL147" s="25">
        <v>1</v>
      </c>
      <c r="GM147" s="25">
        <v>1</v>
      </c>
      <c r="GN147" s="25">
        <v>1</v>
      </c>
      <c r="GO147" s="25">
        <v>1</v>
      </c>
      <c r="GP147" s="25">
        <v>1</v>
      </c>
      <c r="GQ147" s="25">
        <v>1</v>
      </c>
      <c r="GR147" s="25">
        <v>1</v>
      </c>
      <c r="GS147" s="25">
        <v>1</v>
      </c>
      <c r="GT147" s="349">
        <v>1</v>
      </c>
      <c r="GU147" s="349">
        <v>1</v>
      </c>
      <c r="GV147" s="25" t="s">
        <v>455</v>
      </c>
      <c r="GW147" s="25" t="s">
        <v>455</v>
      </c>
      <c r="GX147" s="25" t="s">
        <v>455</v>
      </c>
      <c r="GY147" s="25" t="s">
        <v>455</v>
      </c>
      <c r="GZ147" s="25" t="s">
        <v>455</v>
      </c>
      <c r="HA147" s="25" t="s">
        <v>455</v>
      </c>
      <c r="HB147" s="25" t="s">
        <v>455</v>
      </c>
      <c r="HC147" s="25" t="s">
        <v>455</v>
      </c>
      <c r="HD147" s="25" t="s">
        <v>455</v>
      </c>
      <c r="HE147" s="25" t="s">
        <v>455</v>
      </c>
      <c r="HF147" s="25" t="s">
        <v>455</v>
      </c>
      <c r="HG147" s="349" t="s">
        <v>455</v>
      </c>
      <c r="HH147" s="349" t="s">
        <v>455</v>
      </c>
      <c r="HI147" s="25"/>
      <c r="HJ147" s="25"/>
      <c r="HK147" s="25"/>
      <c r="HL147" s="25"/>
      <c r="HM147" s="25"/>
      <c r="HN147" s="25"/>
      <c r="HO147" s="25"/>
      <c r="HP147" s="25"/>
      <c r="HQ147" s="25"/>
      <c r="HR147" s="25"/>
      <c r="HS147" s="349"/>
      <c r="HT147" s="349"/>
      <c r="HU147" s="346" t="s">
        <v>483</v>
      </c>
      <c r="HV147" s="346"/>
      <c r="HW147" s="351"/>
      <c r="HX147" s="353"/>
      <c r="HY147" s="353"/>
      <c r="HZ147" s="353"/>
      <c r="IA147" s="353"/>
      <c r="IB147" s="353"/>
      <c r="IC147" s="353"/>
      <c r="ID147" s="353"/>
      <c r="IE147" s="353"/>
      <c r="IF147" s="107">
        <v>1191735.45</v>
      </c>
      <c r="IG147" s="107">
        <v>1100459.58</v>
      </c>
      <c r="IH147" s="354">
        <f t="shared" si="66"/>
        <v>0</v>
      </c>
      <c r="II147" s="353"/>
      <c r="IJ147" s="353"/>
      <c r="IK147" s="353"/>
      <c r="IL147" s="353"/>
      <c r="IM147" s="353"/>
      <c r="IN147" s="353"/>
      <c r="IO147" s="353"/>
      <c r="IP147" s="353"/>
      <c r="IQ147" s="353"/>
      <c r="IR147" s="353"/>
      <c r="IS147" s="353"/>
      <c r="IT147" s="353"/>
      <c r="IU147" s="353"/>
      <c r="IV147" s="353"/>
      <c r="IW147" s="353"/>
      <c r="IX147" s="353"/>
      <c r="IY147" s="55"/>
      <c r="IZ147" s="55"/>
      <c r="JA147" s="55"/>
      <c r="JB147" s="55"/>
      <c r="JC147" s="55"/>
      <c r="JD147" s="353">
        <v>2016</v>
      </c>
    </row>
    <row r="148" spans="1:265" s="17" customFormat="1" ht="33" hidden="1" customHeight="1">
      <c r="A148" s="26" t="s">
        <v>19</v>
      </c>
      <c r="B148" s="26" t="s">
        <v>27</v>
      </c>
      <c r="C148" s="13" t="s">
        <v>352</v>
      </c>
      <c r="D148" s="13" t="s">
        <v>377</v>
      </c>
      <c r="E148" s="16" t="s">
        <v>355</v>
      </c>
      <c r="F148" s="13" t="s">
        <v>355</v>
      </c>
      <c r="G148" s="39" t="s">
        <v>354</v>
      </c>
      <c r="H148" s="39" t="s">
        <v>1580</v>
      </c>
      <c r="I148" s="313" t="s">
        <v>147</v>
      </c>
      <c r="J148" s="40">
        <v>3</v>
      </c>
      <c r="K148" s="49" t="s">
        <v>375</v>
      </c>
      <c r="L148" s="26" t="s">
        <v>1881</v>
      </c>
      <c r="M148" s="130" t="s">
        <v>1751</v>
      </c>
      <c r="N148" s="20" t="s">
        <v>1752</v>
      </c>
      <c r="O148" s="13" t="s">
        <v>3</v>
      </c>
      <c r="P148" s="13" t="s">
        <v>4</v>
      </c>
      <c r="Q148" s="22" t="s">
        <v>364</v>
      </c>
      <c r="R148" s="22" t="s">
        <v>2080</v>
      </c>
      <c r="S148" s="13" t="s">
        <v>2079</v>
      </c>
      <c r="T148" s="13"/>
      <c r="U148" s="13"/>
      <c r="V148" s="13"/>
      <c r="W148" s="13"/>
      <c r="X148" s="13"/>
      <c r="Y148" s="13"/>
      <c r="Z148" s="13"/>
      <c r="AA148" s="37"/>
      <c r="AB148" s="68">
        <f>123805.42+50049.35</f>
        <v>173854.77</v>
      </c>
      <c r="AC148" s="29">
        <v>0</v>
      </c>
      <c r="AD148" s="37">
        <f>123805.42+50049.35</f>
        <v>173854.77</v>
      </c>
      <c r="AE148" s="29">
        <v>84260.69</v>
      </c>
      <c r="AF148" s="29">
        <v>258115.46</v>
      </c>
      <c r="AG148" s="25">
        <v>0.12</v>
      </c>
      <c r="AH148" s="29">
        <f t="shared" si="71"/>
        <v>20862.572399999997</v>
      </c>
      <c r="AI148" s="29">
        <f t="shared" ref="AI148:AI186" si="76">AE148*0.12</f>
        <v>10111.282799999999</v>
      </c>
      <c r="AJ148" s="29">
        <f t="shared" si="64"/>
        <v>289089.31520000001</v>
      </c>
      <c r="AK148" s="29"/>
      <c r="AL148" s="29"/>
      <c r="AM148" s="29"/>
      <c r="AN148" s="37"/>
      <c r="AO148" s="37">
        <v>258115.46</v>
      </c>
      <c r="AP148" s="37">
        <v>235895.52</v>
      </c>
      <c r="AQ148" s="37"/>
      <c r="AR148" s="302">
        <v>0.12</v>
      </c>
      <c r="AS148" s="37">
        <f>AP148*0.12</f>
        <v>28307.462399999997</v>
      </c>
      <c r="AT148" s="37">
        <f>ROUND(AS148+AP148,2)</f>
        <v>264202.98</v>
      </c>
      <c r="AU148" s="37"/>
      <c r="AV148" s="37"/>
      <c r="AW148" s="37"/>
      <c r="AX148" s="37"/>
      <c r="AY148" s="37"/>
      <c r="AZ148" s="37"/>
      <c r="BA148" s="37"/>
      <c r="BB148" s="37"/>
      <c r="BC148" s="37"/>
      <c r="BD148" s="37"/>
      <c r="BE148" s="37"/>
      <c r="BF148" s="37"/>
      <c r="BG148" s="29">
        <f t="shared" ref="BG148" si="77">BF148-AW148-AZ148-BC148-BE148</f>
        <v>0</v>
      </c>
      <c r="BH148" s="37"/>
      <c r="BI148" s="29" t="s">
        <v>570</v>
      </c>
      <c r="BJ148" s="29" t="s">
        <v>570</v>
      </c>
      <c r="BK148" s="29" t="s">
        <v>570</v>
      </c>
      <c r="BL148" s="29" t="s">
        <v>570</v>
      </c>
      <c r="BM148" s="29" t="s">
        <v>570</v>
      </c>
      <c r="BN148" s="23">
        <v>43657</v>
      </c>
      <c r="BO148" s="23"/>
      <c r="BP148" s="23"/>
      <c r="BQ148" s="23"/>
      <c r="BR148" s="13"/>
      <c r="BS148" s="23"/>
      <c r="BT148" s="23"/>
      <c r="BU148" s="13"/>
      <c r="BV148" s="13"/>
      <c r="BW148" s="224"/>
      <c r="BX148" s="23">
        <v>43789</v>
      </c>
      <c r="BY148" s="13"/>
      <c r="BZ148" s="13"/>
      <c r="CA148" s="23"/>
      <c r="CB148" s="224" t="s">
        <v>570</v>
      </c>
      <c r="CC148" s="224" t="s">
        <v>570</v>
      </c>
      <c r="CD148" s="224" t="s">
        <v>570</v>
      </c>
      <c r="CE148" s="13"/>
      <c r="CF148" s="13"/>
      <c r="CG148" s="13"/>
      <c r="CH148" s="13"/>
      <c r="CI148" s="13"/>
      <c r="CJ148" s="13"/>
      <c r="CK148" s="13"/>
      <c r="CL148" s="13"/>
      <c r="CM148" s="13"/>
      <c r="CN148" s="13"/>
      <c r="CO148" s="13"/>
      <c r="CP148" s="13"/>
      <c r="CQ148" s="13"/>
      <c r="CR148" s="13"/>
      <c r="CS148" s="13"/>
      <c r="CT148" s="37"/>
      <c r="CU148" s="37"/>
      <c r="CV148" s="23">
        <v>43789</v>
      </c>
      <c r="CW148" s="30">
        <v>117947.77</v>
      </c>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31">
        <f t="shared" ref="DY148" si="78">CW148+CZ148+DC148+DF148+DI148+DL148+DO148+DR148+DU148+DX148</f>
        <v>117947.77</v>
      </c>
      <c r="DZ148" s="13"/>
      <c r="EA148" s="13"/>
      <c r="EB148" s="13"/>
      <c r="EC148" s="13"/>
      <c r="ED148" s="13"/>
      <c r="EE148" s="13"/>
      <c r="EF148" s="13"/>
      <c r="EG148" s="13">
        <v>180</v>
      </c>
      <c r="EH148" s="13" t="s">
        <v>588</v>
      </c>
      <c r="EI148" s="23">
        <v>43789</v>
      </c>
      <c r="EJ148" s="23">
        <f t="shared" si="75"/>
        <v>43969</v>
      </c>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25">
        <v>0</v>
      </c>
      <c r="FW148" s="25">
        <v>0</v>
      </c>
      <c r="FX148" s="25">
        <v>0</v>
      </c>
      <c r="FY148" s="25">
        <v>0</v>
      </c>
      <c r="FZ148" s="25">
        <v>0</v>
      </c>
      <c r="GA148" s="25">
        <v>0</v>
      </c>
      <c r="GB148" s="25">
        <v>0</v>
      </c>
      <c r="GC148" s="25">
        <v>0</v>
      </c>
      <c r="GD148" s="25">
        <v>0</v>
      </c>
      <c r="GE148" s="25">
        <v>0</v>
      </c>
      <c r="GF148" s="25">
        <v>0</v>
      </c>
      <c r="GG148" s="25">
        <v>0</v>
      </c>
      <c r="GH148" s="25">
        <v>0</v>
      </c>
      <c r="GI148" s="25">
        <v>0</v>
      </c>
      <c r="GJ148" s="25">
        <v>0</v>
      </c>
      <c r="GK148" s="25">
        <v>0</v>
      </c>
      <c r="GL148" s="25">
        <v>0</v>
      </c>
      <c r="GM148" s="25">
        <v>0</v>
      </c>
      <c r="GN148" s="25">
        <v>0</v>
      </c>
      <c r="GO148" s="25">
        <v>0</v>
      </c>
      <c r="GP148" s="25">
        <v>0</v>
      </c>
      <c r="GQ148" s="25">
        <v>0</v>
      </c>
      <c r="GR148" s="25">
        <v>0</v>
      </c>
      <c r="GS148" s="25">
        <v>0</v>
      </c>
      <c r="GT148" s="25">
        <v>0</v>
      </c>
      <c r="GU148" s="25">
        <v>0</v>
      </c>
      <c r="GV148" s="25" t="s">
        <v>1588</v>
      </c>
      <c r="GW148" s="25" t="s">
        <v>1588</v>
      </c>
      <c r="GX148" s="25" t="s">
        <v>1588</v>
      </c>
      <c r="GY148" s="25" t="s">
        <v>1588</v>
      </c>
      <c r="GZ148" s="25" t="s">
        <v>1588</v>
      </c>
      <c r="HA148" s="25" t="s">
        <v>1588</v>
      </c>
      <c r="HB148" s="25" t="s">
        <v>1588</v>
      </c>
      <c r="HC148" s="25" t="s">
        <v>1588</v>
      </c>
      <c r="HD148" s="25" t="s">
        <v>1588</v>
      </c>
      <c r="HE148" s="25" t="s">
        <v>1588</v>
      </c>
      <c r="HF148" s="25" t="s">
        <v>1588</v>
      </c>
      <c r="HG148" s="25" t="s">
        <v>1588</v>
      </c>
      <c r="HH148" s="25" t="s">
        <v>1588</v>
      </c>
      <c r="HI148" s="25" t="s">
        <v>1653</v>
      </c>
      <c r="HJ148" s="25"/>
      <c r="HK148" s="25"/>
      <c r="HL148" s="25"/>
      <c r="HM148" s="25"/>
      <c r="HN148" s="25"/>
      <c r="HO148" s="25"/>
      <c r="HP148" s="25"/>
      <c r="HQ148" s="25"/>
      <c r="HR148" s="25"/>
      <c r="HS148" s="25" t="s">
        <v>2070</v>
      </c>
      <c r="HT148" s="25" t="s">
        <v>2070</v>
      </c>
      <c r="HU148" s="13" t="s">
        <v>1760</v>
      </c>
      <c r="HV148" s="13"/>
      <c r="HW148" s="32"/>
      <c r="HX148" s="55"/>
      <c r="HY148" s="55"/>
      <c r="HZ148" s="55"/>
      <c r="IA148" s="55"/>
      <c r="IB148" s="55"/>
      <c r="IC148" s="55"/>
      <c r="ID148" s="55"/>
      <c r="IE148" s="55"/>
      <c r="IF148" s="107">
        <v>123805.42</v>
      </c>
      <c r="IG148" s="107"/>
      <c r="IH148" s="250">
        <f t="shared" si="66"/>
        <v>0</v>
      </c>
      <c r="II148" s="55"/>
      <c r="IJ148" s="55"/>
      <c r="IK148" s="55"/>
      <c r="IL148" s="55"/>
      <c r="IM148" s="55"/>
      <c r="IN148" s="55"/>
      <c r="IO148" s="55"/>
      <c r="IP148" s="55"/>
      <c r="IQ148" s="55"/>
      <c r="IR148" s="55"/>
      <c r="IS148" s="55"/>
      <c r="IT148" s="55"/>
      <c r="IU148" s="55"/>
      <c r="IV148" s="55"/>
      <c r="IW148" s="55"/>
      <c r="IX148" s="55"/>
      <c r="IY148" s="55"/>
      <c r="IZ148" s="55"/>
      <c r="JA148" s="55"/>
      <c r="JB148" s="55"/>
      <c r="JC148" s="55"/>
      <c r="JD148" s="55">
        <v>2020</v>
      </c>
    </row>
    <row r="149" spans="1:265" s="106" customFormat="1" ht="24.95" hidden="1" customHeight="1">
      <c r="A149" s="315" t="s">
        <v>19</v>
      </c>
      <c r="B149" s="315" t="s">
        <v>27</v>
      </c>
      <c r="C149" s="13" t="s">
        <v>349</v>
      </c>
      <c r="D149" s="13" t="s">
        <v>380</v>
      </c>
      <c r="E149" s="16" t="s">
        <v>350</v>
      </c>
      <c r="F149" s="13" t="s">
        <v>350</v>
      </c>
      <c r="G149" s="39" t="s">
        <v>354</v>
      </c>
      <c r="H149" s="39" t="s">
        <v>1580</v>
      </c>
      <c r="I149" s="313" t="s">
        <v>984</v>
      </c>
      <c r="J149" s="40">
        <v>4</v>
      </c>
      <c r="K149" s="49" t="s">
        <v>375</v>
      </c>
      <c r="L149" s="315" t="s">
        <v>1909</v>
      </c>
      <c r="M149" s="345" t="s">
        <v>148</v>
      </c>
      <c r="N149" s="345"/>
      <c r="O149" s="346" t="s">
        <v>3</v>
      </c>
      <c r="P149" s="346" t="s">
        <v>4</v>
      </c>
      <c r="Q149" s="347" t="s">
        <v>1118</v>
      </c>
      <c r="R149" s="22" t="s">
        <v>1100</v>
      </c>
      <c r="S149" s="13" t="s">
        <v>396</v>
      </c>
      <c r="T149" s="13" t="s">
        <v>1387</v>
      </c>
      <c r="U149" s="13" t="s">
        <v>479</v>
      </c>
      <c r="V149" s="13" t="s">
        <v>475</v>
      </c>
      <c r="W149" s="13" t="s">
        <v>969</v>
      </c>
      <c r="X149" s="13" t="s">
        <v>969</v>
      </c>
      <c r="Y149" s="13" t="s">
        <v>1101</v>
      </c>
      <c r="Z149" s="13" t="s">
        <v>503</v>
      </c>
      <c r="AA149" s="37"/>
      <c r="AB149" s="356">
        <f>84000-1000</f>
        <v>83000</v>
      </c>
      <c r="AC149" s="348">
        <v>0</v>
      </c>
      <c r="AD149" s="357">
        <v>84000</v>
      </c>
      <c r="AE149" s="348">
        <v>0</v>
      </c>
      <c r="AF149" s="348">
        <f t="shared" si="70"/>
        <v>84000</v>
      </c>
      <c r="AG149" s="349">
        <v>0.12</v>
      </c>
      <c r="AH149" s="348">
        <f t="shared" si="71"/>
        <v>10080</v>
      </c>
      <c r="AI149" s="348">
        <f t="shared" si="76"/>
        <v>0</v>
      </c>
      <c r="AJ149" s="348">
        <f t="shared" si="64"/>
        <v>94080.000000000015</v>
      </c>
      <c r="AK149" s="348">
        <v>83000</v>
      </c>
      <c r="AL149" s="348">
        <f>AB149-AK149</f>
        <v>0</v>
      </c>
      <c r="AM149" s="29"/>
      <c r="AN149" s="37"/>
      <c r="AO149" s="37">
        <v>84000</v>
      </c>
      <c r="AP149" s="37"/>
      <c r="AQ149" s="37">
        <v>83000</v>
      </c>
      <c r="AR149" s="37"/>
      <c r="AS149" s="37"/>
      <c r="AT149" s="37"/>
      <c r="AU149" s="37"/>
      <c r="AV149" s="37"/>
      <c r="AW149" s="37"/>
      <c r="AX149" s="37"/>
      <c r="AY149" s="37"/>
      <c r="AZ149" s="37"/>
      <c r="BA149" s="37"/>
      <c r="BB149" s="37"/>
      <c r="BC149" s="37"/>
      <c r="BD149" s="37"/>
      <c r="BE149" s="37"/>
      <c r="BF149" s="29">
        <f t="shared" ref="BF149:BF159" si="79">AB149-AQ149</f>
        <v>0</v>
      </c>
      <c r="BG149" s="29">
        <f t="shared" si="73"/>
        <v>0</v>
      </c>
      <c r="BH149" s="37" t="s">
        <v>1109</v>
      </c>
      <c r="BI149" s="29" t="s">
        <v>570</v>
      </c>
      <c r="BJ149" s="29" t="s">
        <v>570</v>
      </c>
      <c r="BK149" s="29" t="s">
        <v>570</v>
      </c>
      <c r="BL149" s="29" t="s">
        <v>570</v>
      </c>
      <c r="BM149" s="29" t="s">
        <v>570</v>
      </c>
      <c r="BN149" s="13"/>
      <c r="BO149" s="13"/>
      <c r="BP149" s="13"/>
      <c r="BQ149" s="23">
        <v>42263</v>
      </c>
      <c r="BR149" s="13"/>
      <c r="BS149" s="13"/>
      <c r="BT149" s="13"/>
      <c r="BU149" s="13" t="s">
        <v>570</v>
      </c>
      <c r="BV149" s="13" t="s">
        <v>570</v>
      </c>
      <c r="BW149" s="224" t="s">
        <v>570</v>
      </c>
      <c r="BX149" s="13"/>
      <c r="BY149" s="13" t="s">
        <v>570</v>
      </c>
      <c r="BZ149" s="23">
        <v>42535</v>
      </c>
      <c r="CA149" s="23">
        <v>42564</v>
      </c>
      <c r="CB149" s="224" t="s">
        <v>570</v>
      </c>
      <c r="CC149" s="224" t="s">
        <v>570</v>
      </c>
      <c r="CD149" s="224" t="s">
        <v>570</v>
      </c>
      <c r="CE149" s="23" t="s">
        <v>830</v>
      </c>
      <c r="CF149" s="127" t="s">
        <v>829</v>
      </c>
      <c r="CG149" s="23" t="s">
        <v>830</v>
      </c>
      <c r="CH149" s="23" t="s">
        <v>830</v>
      </c>
      <c r="CI149" s="23" t="s">
        <v>830</v>
      </c>
      <c r="CJ149" s="23" t="s">
        <v>830</v>
      </c>
      <c r="CK149" s="23" t="s">
        <v>830</v>
      </c>
      <c r="CL149" s="23" t="s">
        <v>830</v>
      </c>
      <c r="CM149" s="23" t="s">
        <v>830</v>
      </c>
      <c r="CN149" s="23" t="s">
        <v>830</v>
      </c>
      <c r="CO149" s="23" t="s">
        <v>830</v>
      </c>
      <c r="CP149" s="13" t="s">
        <v>570</v>
      </c>
      <c r="CQ149" s="23" t="s">
        <v>830</v>
      </c>
      <c r="CR149" s="127" t="s">
        <v>829</v>
      </c>
      <c r="CS149" s="13" t="s">
        <v>570</v>
      </c>
      <c r="CT149" s="37" t="s">
        <v>452</v>
      </c>
      <c r="CU149" s="25">
        <v>0.05</v>
      </c>
      <c r="CV149" s="23">
        <v>42618</v>
      </c>
      <c r="CW149" s="30">
        <f>AQ149*0.5</f>
        <v>41500</v>
      </c>
      <c r="CX149" s="13" t="s">
        <v>1477</v>
      </c>
      <c r="CY149" s="23">
        <v>42852</v>
      </c>
      <c r="CZ149" s="30">
        <v>41500</v>
      </c>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31">
        <f t="shared" si="74"/>
        <v>83000</v>
      </c>
      <c r="DZ149" s="13"/>
      <c r="EA149" s="13"/>
      <c r="EB149" s="13"/>
      <c r="EC149" s="13"/>
      <c r="ED149" s="13"/>
      <c r="EE149" s="13"/>
      <c r="EF149" s="13"/>
      <c r="EG149" s="24">
        <v>150</v>
      </c>
      <c r="EH149" s="13" t="s">
        <v>588</v>
      </c>
      <c r="EI149" s="23">
        <f>CV149+1</f>
        <v>42619</v>
      </c>
      <c r="EJ149" s="23">
        <f t="shared" si="75"/>
        <v>42769</v>
      </c>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25">
        <v>0.05</v>
      </c>
      <c r="FR149" s="25">
        <v>0.05</v>
      </c>
      <c r="FS149" s="25">
        <v>0.05</v>
      </c>
      <c r="FT149" s="25">
        <v>0.8</v>
      </c>
      <c r="FU149" s="25">
        <v>1</v>
      </c>
      <c r="FV149" s="25">
        <v>1</v>
      </c>
      <c r="FW149" s="25">
        <v>1</v>
      </c>
      <c r="FX149" s="25">
        <v>1</v>
      </c>
      <c r="FY149" s="25">
        <v>1</v>
      </c>
      <c r="FZ149" s="25">
        <v>1</v>
      </c>
      <c r="GA149" s="25">
        <v>1</v>
      </c>
      <c r="GB149" s="25">
        <v>1</v>
      </c>
      <c r="GC149" s="25">
        <v>1</v>
      </c>
      <c r="GD149" s="25">
        <v>1</v>
      </c>
      <c r="GE149" s="25">
        <v>1</v>
      </c>
      <c r="GF149" s="25">
        <v>1</v>
      </c>
      <c r="GG149" s="25">
        <v>1</v>
      </c>
      <c r="GH149" s="25">
        <v>1</v>
      </c>
      <c r="GI149" s="25">
        <v>1</v>
      </c>
      <c r="GJ149" s="25">
        <v>1</v>
      </c>
      <c r="GK149" s="25">
        <v>1</v>
      </c>
      <c r="GL149" s="25">
        <v>1</v>
      </c>
      <c r="GM149" s="25">
        <v>1</v>
      </c>
      <c r="GN149" s="25">
        <v>1</v>
      </c>
      <c r="GO149" s="25">
        <v>1</v>
      </c>
      <c r="GP149" s="25">
        <v>1</v>
      </c>
      <c r="GQ149" s="25">
        <v>1</v>
      </c>
      <c r="GR149" s="25">
        <v>1</v>
      </c>
      <c r="GS149" s="25">
        <v>1</v>
      </c>
      <c r="GT149" s="349">
        <v>1</v>
      </c>
      <c r="GU149" s="349">
        <v>1</v>
      </c>
      <c r="GV149" s="25" t="s">
        <v>455</v>
      </c>
      <c r="GW149" s="25" t="s">
        <v>455</v>
      </c>
      <c r="GX149" s="25" t="s">
        <v>455</v>
      </c>
      <c r="GY149" s="25" t="s">
        <v>455</v>
      </c>
      <c r="GZ149" s="25" t="s">
        <v>455</v>
      </c>
      <c r="HA149" s="25" t="s">
        <v>455</v>
      </c>
      <c r="HB149" s="25" t="s">
        <v>455</v>
      </c>
      <c r="HC149" s="25" t="s">
        <v>455</v>
      </c>
      <c r="HD149" s="25" t="s">
        <v>455</v>
      </c>
      <c r="HE149" s="25" t="s">
        <v>455</v>
      </c>
      <c r="HF149" s="25" t="s">
        <v>455</v>
      </c>
      <c r="HG149" s="349" t="s">
        <v>455</v>
      </c>
      <c r="HH149" s="349" t="s">
        <v>455</v>
      </c>
      <c r="HI149" s="25"/>
      <c r="HJ149" s="25"/>
      <c r="HK149" s="25"/>
      <c r="HL149" s="25"/>
      <c r="HM149" s="25"/>
      <c r="HN149" s="25"/>
      <c r="HO149" s="25"/>
      <c r="HP149" s="25"/>
      <c r="HQ149" s="25"/>
      <c r="HR149" s="25"/>
      <c r="HS149" s="349"/>
      <c r="HT149" s="349"/>
      <c r="HU149" s="346" t="s">
        <v>1998</v>
      </c>
      <c r="HV149" s="346"/>
      <c r="HW149" s="351"/>
      <c r="HX149" s="353"/>
      <c r="HY149" s="353"/>
      <c r="HZ149" s="353"/>
      <c r="IA149" s="353"/>
      <c r="IB149" s="353"/>
      <c r="IC149" s="353"/>
      <c r="ID149" s="353"/>
      <c r="IE149" s="353"/>
      <c r="IF149" s="107">
        <v>84000</v>
      </c>
      <c r="IG149" s="107">
        <v>83000</v>
      </c>
      <c r="IH149" s="354">
        <f t="shared" si="66"/>
        <v>0</v>
      </c>
      <c r="II149" s="353"/>
      <c r="IJ149" s="353"/>
      <c r="IK149" s="353"/>
      <c r="IL149" s="353"/>
      <c r="IM149" s="353"/>
      <c r="IN149" s="353"/>
      <c r="IO149" s="353"/>
      <c r="IP149" s="353"/>
      <c r="IQ149" s="353"/>
      <c r="IR149" s="353"/>
      <c r="IS149" s="353"/>
      <c r="IT149" s="353"/>
      <c r="IU149" s="353"/>
      <c r="IV149" s="353"/>
      <c r="IW149" s="353"/>
      <c r="IX149" s="353"/>
      <c r="IY149" s="55"/>
      <c r="IZ149" s="55"/>
      <c r="JA149" s="55"/>
      <c r="JB149" s="55"/>
      <c r="JC149" s="55"/>
      <c r="JD149" s="353">
        <v>2017</v>
      </c>
    </row>
    <row r="150" spans="1:265" s="5" customFormat="1" ht="24.95" hidden="1" customHeight="1">
      <c r="A150" s="26" t="s">
        <v>19</v>
      </c>
      <c r="B150" s="26" t="s">
        <v>27</v>
      </c>
      <c r="C150" s="13" t="s">
        <v>349</v>
      </c>
      <c r="D150" s="13" t="s">
        <v>380</v>
      </c>
      <c r="E150" s="16" t="s">
        <v>350</v>
      </c>
      <c r="F150" s="13" t="s">
        <v>350</v>
      </c>
      <c r="G150" s="39" t="s">
        <v>354</v>
      </c>
      <c r="H150" s="39" t="s">
        <v>1580</v>
      </c>
      <c r="I150" s="313" t="s">
        <v>2012</v>
      </c>
      <c r="J150" s="40">
        <v>4</v>
      </c>
      <c r="K150" s="49" t="s">
        <v>375</v>
      </c>
      <c r="L150" s="26" t="s">
        <v>149</v>
      </c>
      <c r="M150" s="20" t="s">
        <v>150</v>
      </c>
      <c r="N150" s="20"/>
      <c r="O150" s="13" t="s">
        <v>3</v>
      </c>
      <c r="P150" s="13" t="s">
        <v>4</v>
      </c>
      <c r="Q150" s="22" t="s">
        <v>1118</v>
      </c>
      <c r="R150" s="22" t="s">
        <v>1112</v>
      </c>
      <c r="S150" s="13" t="s">
        <v>367</v>
      </c>
      <c r="T150" s="13" t="s">
        <v>1387</v>
      </c>
      <c r="U150" s="13" t="s">
        <v>479</v>
      </c>
      <c r="V150" s="13" t="s">
        <v>710</v>
      </c>
      <c r="W150" s="13" t="s">
        <v>969</v>
      </c>
      <c r="X150" s="13" t="s">
        <v>969</v>
      </c>
      <c r="Y150" s="13" t="s">
        <v>1106</v>
      </c>
      <c r="Z150" s="13" t="s">
        <v>503</v>
      </c>
      <c r="AA150" s="37"/>
      <c r="AB150" s="68">
        <v>93969.600000000006</v>
      </c>
      <c r="AC150" s="29">
        <v>0</v>
      </c>
      <c r="AD150" s="37">
        <v>93969.600000000006</v>
      </c>
      <c r="AE150" s="29">
        <v>0</v>
      </c>
      <c r="AF150" s="29">
        <f t="shared" si="70"/>
        <v>93969.600000000006</v>
      </c>
      <c r="AG150" s="25">
        <v>0.12</v>
      </c>
      <c r="AH150" s="29">
        <f t="shared" si="71"/>
        <v>11276.352000000001</v>
      </c>
      <c r="AI150" s="29">
        <f t="shared" si="76"/>
        <v>0</v>
      </c>
      <c r="AJ150" s="29">
        <f t="shared" si="64"/>
        <v>105245.95200000002</v>
      </c>
      <c r="AK150" s="29">
        <v>93969.600000000006</v>
      </c>
      <c r="AL150" s="126">
        <f>AB150-AK150</f>
        <v>0</v>
      </c>
      <c r="AM150" s="29"/>
      <c r="AN150" s="37"/>
      <c r="AO150" s="37">
        <v>93969.600000000006</v>
      </c>
      <c r="AP150" s="37"/>
      <c r="AQ150" s="37">
        <v>93969.600000000006</v>
      </c>
      <c r="AR150" s="37"/>
      <c r="AS150" s="37"/>
      <c r="AT150" s="37"/>
      <c r="AU150" s="37"/>
      <c r="AV150" s="37"/>
      <c r="AW150" s="37"/>
      <c r="AX150" s="37"/>
      <c r="AY150" s="37"/>
      <c r="AZ150" s="37"/>
      <c r="BA150" s="37"/>
      <c r="BB150" s="37"/>
      <c r="BC150" s="37"/>
      <c r="BD150" s="37"/>
      <c r="BE150" s="37"/>
      <c r="BF150" s="29">
        <f t="shared" si="79"/>
        <v>0</v>
      </c>
      <c r="BG150" s="29">
        <f t="shared" si="73"/>
        <v>0</v>
      </c>
      <c r="BH150" s="37" t="s">
        <v>594</v>
      </c>
      <c r="BI150" s="29" t="s">
        <v>570</v>
      </c>
      <c r="BJ150" s="29" t="s">
        <v>570</v>
      </c>
      <c r="BK150" s="29" t="s">
        <v>570</v>
      </c>
      <c r="BL150" s="29" t="s">
        <v>570</v>
      </c>
      <c r="BM150" s="29" t="s">
        <v>570</v>
      </c>
      <c r="BN150" s="23">
        <v>42384</v>
      </c>
      <c r="BO150" s="23">
        <v>42389</v>
      </c>
      <c r="BP150" s="23">
        <v>42394</v>
      </c>
      <c r="BQ150" s="23">
        <v>42415</v>
      </c>
      <c r="BR150" s="13" t="s">
        <v>570</v>
      </c>
      <c r="BS150" s="23">
        <v>42440</v>
      </c>
      <c r="BT150" s="23">
        <v>42448</v>
      </c>
      <c r="BU150" s="13" t="s">
        <v>570</v>
      </c>
      <c r="BV150" s="13" t="s">
        <v>570</v>
      </c>
      <c r="BW150" s="224" t="s">
        <v>570</v>
      </c>
      <c r="BX150" s="23">
        <v>42493</v>
      </c>
      <c r="BY150" s="13" t="s">
        <v>570</v>
      </c>
      <c r="BZ150" s="23">
        <v>42535</v>
      </c>
      <c r="CA150" s="23">
        <v>42570</v>
      </c>
      <c r="CB150" s="224" t="s">
        <v>570</v>
      </c>
      <c r="CC150" s="224" t="s">
        <v>570</v>
      </c>
      <c r="CD150" s="224" t="s">
        <v>570</v>
      </c>
      <c r="CE150" s="127" t="s">
        <v>829</v>
      </c>
      <c r="CF150" s="127" t="s">
        <v>829</v>
      </c>
      <c r="CG150" s="23" t="s">
        <v>830</v>
      </c>
      <c r="CH150" s="127" t="s">
        <v>829</v>
      </c>
      <c r="CI150" s="127" t="s">
        <v>829</v>
      </c>
      <c r="CJ150" s="23" t="s">
        <v>830</v>
      </c>
      <c r="CK150" s="23" t="s">
        <v>830</v>
      </c>
      <c r="CL150" s="23" t="s">
        <v>830</v>
      </c>
      <c r="CM150" s="23" t="s">
        <v>830</v>
      </c>
      <c r="CN150" s="23" t="s">
        <v>830</v>
      </c>
      <c r="CO150" s="23" t="s">
        <v>830</v>
      </c>
      <c r="CP150" s="13" t="s">
        <v>570</v>
      </c>
      <c r="CQ150" s="23" t="s">
        <v>830</v>
      </c>
      <c r="CR150" s="23" t="s">
        <v>830</v>
      </c>
      <c r="CS150" s="13" t="s">
        <v>570</v>
      </c>
      <c r="CT150" s="37" t="s">
        <v>452</v>
      </c>
      <c r="CU150" s="25">
        <v>0.05</v>
      </c>
      <c r="CV150" s="23">
        <v>42620</v>
      </c>
      <c r="CW150" s="30">
        <f>AQ150*0.5</f>
        <v>46984.800000000003</v>
      </c>
      <c r="CX150" s="13" t="s">
        <v>1008</v>
      </c>
      <c r="CY150" s="23">
        <v>42732</v>
      </c>
      <c r="CZ150" s="30">
        <f>42566.32-23492.4</f>
        <v>19073.919999999998</v>
      </c>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31">
        <f t="shared" si="74"/>
        <v>66058.720000000001</v>
      </c>
      <c r="DZ150" s="13"/>
      <c r="EA150" s="13"/>
      <c r="EB150" s="13"/>
      <c r="EC150" s="13"/>
      <c r="ED150" s="13"/>
      <c r="EE150" s="13"/>
      <c r="EF150" s="13"/>
      <c r="EG150" s="24">
        <v>90</v>
      </c>
      <c r="EH150" s="13" t="s">
        <v>588</v>
      </c>
      <c r="EI150" s="23">
        <f>CV150+1</f>
        <v>42621</v>
      </c>
      <c r="EJ150" s="23">
        <f t="shared" si="75"/>
        <v>42711</v>
      </c>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25">
        <v>0.46</v>
      </c>
      <c r="FR150" s="25">
        <v>0.75</v>
      </c>
      <c r="FS150" s="25">
        <v>1</v>
      </c>
      <c r="FT150" s="25">
        <v>1</v>
      </c>
      <c r="FU150" s="25">
        <v>1</v>
      </c>
      <c r="FV150" s="25">
        <v>1</v>
      </c>
      <c r="FW150" s="25">
        <v>1</v>
      </c>
      <c r="FX150" s="25">
        <v>1</v>
      </c>
      <c r="FY150" s="25">
        <v>1</v>
      </c>
      <c r="FZ150" s="25">
        <v>1</v>
      </c>
      <c r="GA150" s="25">
        <v>1</v>
      </c>
      <c r="GB150" s="25">
        <v>1</v>
      </c>
      <c r="GC150" s="25">
        <v>1</v>
      </c>
      <c r="GD150" s="25">
        <v>1</v>
      </c>
      <c r="GE150" s="25">
        <v>1</v>
      </c>
      <c r="GF150" s="25">
        <v>1</v>
      </c>
      <c r="GG150" s="25">
        <v>1</v>
      </c>
      <c r="GH150" s="25">
        <v>1</v>
      </c>
      <c r="GI150" s="25">
        <v>1</v>
      </c>
      <c r="GJ150" s="25">
        <v>1</v>
      </c>
      <c r="GK150" s="25">
        <v>1</v>
      </c>
      <c r="GL150" s="25">
        <v>1</v>
      </c>
      <c r="GM150" s="25">
        <v>1</v>
      </c>
      <c r="GN150" s="25">
        <v>1</v>
      </c>
      <c r="GO150" s="25">
        <v>1</v>
      </c>
      <c r="GP150" s="25">
        <v>1</v>
      </c>
      <c r="GQ150" s="25">
        <v>1</v>
      </c>
      <c r="GR150" s="25">
        <v>1</v>
      </c>
      <c r="GS150" s="25">
        <v>1</v>
      </c>
      <c r="GT150" s="25">
        <v>1</v>
      </c>
      <c r="GU150" s="25">
        <v>1</v>
      </c>
      <c r="GV150" s="25" t="s">
        <v>455</v>
      </c>
      <c r="GW150" s="25" t="s">
        <v>455</v>
      </c>
      <c r="GX150" s="25" t="s">
        <v>455</v>
      </c>
      <c r="GY150" s="25" t="s">
        <v>455</v>
      </c>
      <c r="GZ150" s="25" t="s">
        <v>455</v>
      </c>
      <c r="HA150" s="25" t="s">
        <v>455</v>
      </c>
      <c r="HB150" s="25" t="s">
        <v>455</v>
      </c>
      <c r="HC150" s="25" t="s">
        <v>455</v>
      </c>
      <c r="HD150" s="25" t="s">
        <v>455</v>
      </c>
      <c r="HE150" s="25" t="s">
        <v>455</v>
      </c>
      <c r="HF150" s="25" t="s">
        <v>455</v>
      </c>
      <c r="HG150" s="25" t="s">
        <v>455</v>
      </c>
      <c r="HH150" s="25" t="s">
        <v>455</v>
      </c>
      <c r="HI150" s="25"/>
      <c r="HJ150" s="25"/>
      <c r="HK150" s="25"/>
      <c r="HL150" s="25"/>
      <c r="HM150" s="25"/>
      <c r="HN150" s="25"/>
      <c r="HO150" s="25"/>
      <c r="HP150" s="25"/>
      <c r="HQ150" s="25"/>
      <c r="HR150" s="25"/>
      <c r="HS150" s="25"/>
      <c r="HT150" s="25"/>
      <c r="HU150" s="13"/>
      <c r="HV150" s="13"/>
      <c r="HW150" s="32"/>
      <c r="HX150" s="55"/>
      <c r="HY150" s="55"/>
      <c r="HZ150" s="55"/>
      <c r="IA150" s="55"/>
      <c r="IB150" s="55"/>
      <c r="IC150" s="55"/>
      <c r="ID150" s="55"/>
      <c r="IE150" s="55"/>
      <c r="IF150" s="107">
        <v>93969.600000000006</v>
      </c>
      <c r="IG150" s="107">
        <v>93969.600000000006</v>
      </c>
      <c r="IH150" s="250">
        <f t="shared" si="66"/>
        <v>0</v>
      </c>
      <c r="II150" s="55"/>
      <c r="IJ150" s="55"/>
      <c r="IK150" s="55"/>
      <c r="IL150" s="55"/>
      <c r="IM150" s="55"/>
      <c r="IN150" s="55"/>
      <c r="IO150" s="55"/>
      <c r="IP150" s="55"/>
      <c r="IQ150" s="55"/>
      <c r="IR150" s="55"/>
      <c r="IS150" s="55"/>
      <c r="IT150" s="55"/>
      <c r="IU150" s="55"/>
      <c r="IV150" s="55"/>
      <c r="IW150" s="55"/>
      <c r="IX150" s="55"/>
      <c r="IY150" s="55"/>
      <c r="IZ150" s="55"/>
      <c r="JA150" s="55"/>
      <c r="JB150" s="55"/>
      <c r="JC150" s="55"/>
      <c r="JD150" s="55">
        <v>2016</v>
      </c>
    </row>
    <row r="151" spans="1:265" s="106" customFormat="1" ht="24.95" hidden="1" customHeight="1">
      <c r="A151" s="315" t="s">
        <v>19</v>
      </c>
      <c r="B151" s="315" t="s">
        <v>27</v>
      </c>
      <c r="C151" s="13" t="s">
        <v>349</v>
      </c>
      <c r="D151" s="13" t="s">
        <v>380</v>
      </c>
      <c r="E151" s="16" t="s">
        <v>360</v>
      </c>
      <c r="F151" s="13" t="s">
        <v>360</v>
      </c>
      <c r="G151" s="39" t="s">
        <v>354</v>
      </c>
      <c r="H151" s="39" t="s">
        <v>1580</v>
      </c>
      <c r="I151" s="313" t="s">
        <v>985</v>
      </c>
      <c r="J151" s="40">
        <v>9</v>
      </c>
      <c r="K151" s="49" t="s">
        <v>375</v>
      </c>
      <c r="L151" s="315" t="s">
        <v>151</v>
      </c>
      <c r="M151" s="358" t="s">
        <v>152</v>
      </c>
      <c r="N151" s="358" t="s">
        <v>1933</v>
      </c>
      <c r="O151" s="346" t="s">
        <v>3</v>
      </c>
      <c r="P151" s="346" t="s">
        <v>4</v>
      </c>
      <c r="Q151" s="347" t="s">
        <v>1118</v>
      </c>
      <c r="R151" s="22" t="s">
        <v>1103</v>
      </c>
      <c r="S151" s="13" t="s">
        <v>365</v>
      </c>
      <c r="T151" s="13" t="s">
        <v>1387</v>
      </c>
      <c r="U151" s="13" t="s">
        <v>477</v>
      </c>
      <c r="V151" s="22" t="s">
        <v>1104</v>
      </c>
      <c r="W151" s="13"/>
      <c r="X151" s="13"/>
      <c r="Y151" s="13" t="s">
        <v>1101</v>
      </c>
      <c r="Z151" s="13" t="s">
        <v>503</v>
      </c>
      <c r="AA151" s="131">
        <v>53390</v>
      </c>
      <c r="AB151" s="359">
        <f>145051.8+9021.79</f>
        <v>154073.59</v>
      </c>
      <c r="AC151" s="360">
        <v>53390</v>
      </c>
      <c r="AD151" s="360">
        <f>AA151+AA152+AA153</f>
        <v>145051.79999999999</v>
      </c>
      <c r="AE151" s="348">
        <f>AK151-AB151</f>
        <v>0</v>
      </c>
      <c r="AF151" s="348">
        <f t="shared" si="70"/>
        <v>145051.79999999999</v>
      </c>
      <c r="AG151" s="349">
        <v>0.12</v>
      </c>
      <c r="AH151" s="348">
        <f t="shared" si="71"/>
        <v>17406.215999999997</v>
      </c>
      <c r="AI151" s="348">
        <f t="shared" si="76"/>
        <v>0</v>
      </c>
      <c r="AJ151" s="348">
        <f t="shared" si="64"/>
        <v>162458.016</v>
      </c>
      <c r="AK151" s="348">
        <v>154073.59</v>
      </c>
      <c r="AL151" s="361">
        <v>0</v>
      </c>
      <c r="AM151" s="29"/>
      <c r="AN151" s="75"/>
      <c r="AO151" s="76">
        <v>154335.47</v>
      </c>
      <c r="AP151" s="75"/>
      <c r="AQ151" s="76">
        <v>148346.07999999999</v>
      </c>
      <c r="AR151" s="76"/>
      <c r="AS151" s="76"/>
      <c r="AT151" s="76"/>
      <c r="AU151" s="76"/>
      <c r="AV151" s="76"/>
      <c r="AW151" s="76"/>
      <c r="AX151" s="76"/>
      <c r="AY151" s="76"/>
      <c r="AZ151" s="76"/>
      <c r="BA151" s="76"/>
      <c r="BB151" s="76"/>
      <c r="BC151" s="76"/>
      <c r="BD151" s="76"/>
      <c r="BE151" s="76"/>
      <c r="BF151" s="29">
        <f t="shared" si="79"/>
        <v>5727.5100000000093</v>
      </c>
      <c r="BG151" s="29">
        <f t="shared" si="73"/>
        <v>5727.5100000000093</v>
      </c>
      <c r="BH151" s="37" t="s">
        <v>594</v>
      </c>
      <c r="BI151" s="29" t="s">
        <v>570</v>
      </c>
      <c r="BJ151" s="29" t="s">
        <v>570</v>
      </c>
      <c r="BK151" s="29" t="s">
        <v>570</v>
      </c>
      <c r="BL151" s="29" t="s">
        <v>570</v>
      </c>
      <c r="BM151" s="29" t="s">
        <v>570</v>
      </c>
      <c r="BN151" s="23">
        <v>42384</v>
      </c>
      <c r="BO151" s="23">
        <v>42389</v>
      </c>
      <c r="BP151" s="23">
        <v>42394</v>
      </c>
      <c r="BQ151" s="23">
        <v>42415</v>
      </c>
      <c r="BR151" s="13" t="s">
        <v>570</v>
      </c>
      <c r="BS151" s="23">
        <v>42445</v>
      </c>
      <c r="BT151" s="23">
        <v>42453</v>
      </c>
      <c r="BU151" s="13" t="s">
        <v>570</v>
      </c>
      <c r="BV151" s="13" t="s">
        <v>570</v>
      </c>
      <c r="BW151" s="224" t="s">
        <v>570</v>
      </c>
      <c r="BX151" s="23">
        <v>42493</v>
      </c>
      <c r="BY151" s="13" t="s">
        <v>570</v>
      </c>
      <c r="BZ151" s="23">
        <v>42535</v>
      </c>
      <c r="CA151" s="23">
        <v>42552</v>
      </c>
      <c r="CB151" s="224" t="s">
        <v>570</v>
      </c>
      <c r="CC151" s="224" t="s">
        <v>570</v>
      </c>
      <c r="CD151" s="224" t="s">
        <v>570</v>
      </c>
      <c r="CE151" s="127" t="s">
        <v>829</v>
      </c>
      <c r="CF151" s="127" t="s">
        <v>829</v>
      </c>
      <c r="CG151" s="23" t="s">
        <v>830</v>
      </c>
      <c r="CH151" s="127" t="s">
        <v>829</v>
      </c>
      <c r="CI151" s="127" t="s">
        <v>829</v>
      </c>
      <c r="CJ151" s="23" t="s">
        <v>830</v>
      </c>
      <c r="CK151" s="127" t="s">
        <v>829</v>
      </c>
      <c r="CL151" s="127" t="s">
        <v>829</v>
      </c>
      <c r="CM151" s="127" t="s">
        <v>829</v>
      </c>
      <c r="CN151" s="127" t="s">
        <v>829</v>
      </c>
      <c r="CO151" s="127" t="s">
        <v>829</v>
      </c>
      <c r="CP151" s="13" t="s">
        <v>570</v>
      </c>
      <c r="CQ151" s="127" t="s">
        <v>829</v>
      </c>
      <c r="CR151" s="127" t="s">
        <v>829</v>
      </c>
      <c r="CS151" s="13" t="s">
        <v>570</v>
      </c>
      <c r="CT151" s="65" t="s">
        <v>452</v>
      </c>
      <c r="CU151" s="25">
        <v>0.05</v>
      </c>
      <c r="CV151" s="23">
        <v>42599</v>
      </c>
      <c r="CW151" s="30">
        <f>AQ151*0.5</f>
        <v>74173.039999999994</v>
      </c>
      <c r="CX151" s="133" t="s">
        <v>1478</v>
      </c>
      <c r="CY151" s="23">
        <v>42641</v>
      </c>
      <c r="CZ151" s="30">
        <f>67645.82-37976.6</f>
        <v>29669.220000000008</v>
      </c>
      <c r="DA151" s="13" t="s">
        <v>1036</v>
      </c>
      <c r="DB151" s="23">
        <v>42661</v>
      </c>
      <c r="DC151" s="30">
        <v>29669.239999999998</v>
      </c>
      <c r="DD151" s="13" t="s">
        <v>1007</v>
      </c>
      <c r="DE151" s="23">
        <v>42760</v>
      </c>
      <c r="DF151" s="30">
        <f>35396.68-14834.59</f>
        <v>20562.09</v>
      </c>
      <c r="DG151" s="13"/>
      <c r="DH151" s="13"/>
      <c r="DI151" s="13"/>
      <c r="DJ151" s="13"/>
      <c r="DK151" s="13"/>
      <c r="DL151" s="13"/>
      <c r="DM151" s="13"/>
      <c r="DN151" s="13"/>
      <c r="DO151" s="13"/>
      <c r="DP151" s="13"/>
      <c r="DQ151" s="13"/>
      <c r="DR151" s="13"/>
      <c r="DS151" s="13"/>
      <c r="DT151" s="13"/>
      <c r="DU151" s="13"/>
      <c r="DV151" s="13"/>
      <c r="DW151" s="13"/>
      <c r="DX151" s="13"/>
      <c r="DY151" s="31">
        <f t="shared" si="74"/>
        <v>154073.59</v>
      </c>
      <c r="DZ151" s="13"/>
      <c r="EA151" s="13"/>
      <c r="EB151" s="13"/>
      <c r="EC151" s="13"/>
      <c r="ED151" s="13"/>
      <c r="EE151" s="13"/>
      <c r="EF151" s="13"/>
      <c r="EG151" s="24">
        <v>120</v>
      </c>
      <c r="EH151" s="13" t="s">
        <v>588</v>
      </c>
      <c r="EI151" s="23">
        <f>CV151+1</f>
        <v>42600</v>
      </c>
      <c r="EJ151" s="23">
        <f t="shared" si="75"/>
        <v>42720</v>
      </c>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25"/>
      <c r="FI151" s="25"/>
      <c r="FJ151" s="25"/>
      <c r="FK151" s="25"/>
      <c r="FL151" s="25"/>
      <c r="FM151" s="25"/>
      <c r="FN151" s="25"/>
      <c r="FO151" s="25"/>
      <c r="FP151" s="25"/>
      <c r="FQ151" s="25">
        <v>0.69</v>
      </c>
      <c r="FR151" s="25" t="s">
        <v>1249</v>
      </c>
      <c r="FS151" s="25">
        <v>1</v>
      </c>
      <c r="FT151" s="25">
        <v>1</v>
      </c>
      <c r="FU151" s="25">
        <v>1</v>
      </c>
      <c r="FV151" s="25">
        <v>1</v>
      </c>
      <c r="FW151" s="25">
        <v>1</v>
      </c>
      <c r="FX151" s="25">
        <v>1</v>
      </c>
      <c r="FY151" s="25">
        <v>1</v>
      </c>
      <c r="FZ151" s="25">
        <v>1</v>
      </c>
      <c r="GA151" s="25">
        <v>1</v>
      </c>
      <c r="GB151" s="25">
        <v>1</v>
      </c>
      <c r="GC151" s="25">
        <v>1</v>
      </c>
      <c r="GD151" s="25">
        <v>1</v>
      </c>
      <c r="GE151" s="25">
        <v>1</v>
      </c>
      <c r="GF151" s="25">
        <v>1</v>
      </c>
      <c r="GG151" s="25">
        <v>1</v>
      </c>
      <c r="GH151" s="25">
        <v>1</v>
      </c>
      <c r="GI151" s="25">
        <v>1</v>
      </c>
      <c r="GJ151" s="25">
        <v>1</v>
      </c>
      <c r="GK151" s="25">
        <v>1</v>
      </c>
      <c r="GL151" s="25">
        <v>1</v>
      </c>
      <c r="GM151" s="25">
        <v>1</v>
      </c>
      <c r="GN151" s="25">
        <v>1</v>
      </c>
      <c r="GO151" s="25">
        <v>1</v>
      </c>
      <c r="GP151" s="25">
        <v>1</v>
      </c>
      <c r="GQ151" s="25">
        <v>1</v>
      </c>
      <c r="GR151" s="25">
        <v>1</v>
      </c>
      <c r="GS151" s="25">
        <v>1</v>
      </c>
      <c r="GT151" s="349">
        <v>1</v>
      </c>
      <c r="GU151" s="349">
        <v>1</v>
      </c>
      <c r="GV151" s="25" t="s">
        <v>455</v>
      </c>
      <c r="GW151" s="25" t="s">
        <v>455</v>
      </c>
      <c r="GX151" s="25" t="s">
        <v>455</v>
      </c>
      <c r="GY151" s="25" t="s">
        <v>455</v>
      </c>
      <c r="GZ151" s="25" t="s">
        <v>455</v>
      </c>
      <c r="HA151" s="25" t="s">
        <v>455</v>
      </c>
      <c r="HB151" s="25" t="s">
        <v>455</v>
      </c>
      <c r="HC151" s="25" t="s">
        <v>455</v>
      </c>
      <c r="HD151" s="25" t="s">
        <v>455</v>
      </c>
      <c r="HE151" s="25" t="s">
        <v>455</v>
      </c>
      <c r="HF151" s="25" t="s">
        <v>455</v>
      </c>
      <c r="HG151" s="349" t="s">
        <v>455</v>
      </c>
      <c r="HH151" s="349" t="s">
        <v>455</v>
      </c>
      <c r="HI151" s="25"/>
      <c r="HJ151" s="25"/>
      <c r="HK151" s="25"/>
      <c r="HL151" s="25"/>
      <c r="HM151" s="25"/>
      <c r="HN151" s="25"/>
      <c r="HO151" s="25"/>
      <c r="HP151" s="25"/>
      <c r="HQ151" s="25"/>
      <c r="HR151" s="25"/>
      <c r="HS151" s="349"/>
      <c r="HT151" s="349"/>
      <c r="HU151" s="350" t="s">
        <v>339</v>
      </c>
      <c r="HV151" s="350"/>
      <c r="HW151" s="351"/>
      <c r="HX151" s="352">
        <v>42368</v>
      </c>
      <c r="HY151" s="353"/>
      <c r="HZ151" s="353"/>
      <c r="IA151" s="353"/>
      <c r="IB151" s="353"/>
      <c r="IC151" s="353"/>
      <c r="ID151" s="353"/>
      <c r="IE151" s="353"/>
      <c r="IF151" s="107">
        <v>145051.79999999999</v>
      </c>
      <c r="IG151" s="107">
        <v>154073.59</v>
      </c>
      <c r="IH151" s="354">
        <f t="shared" si="66"/>
        <v>0</v>
      </c>
      <c r="II151" s="353"/>
      <c r="IJ151" s="353"/>
      <c r="IK151" s="353"/>
      <c r="IL151" s="353"/>
      <c r="IM151" s="353"/>
      <c r="IN151" s="353"/>
      <c r="IO151" s="353"/>
      <c r="IP151" s="353"/>
      <c r="IQ151" s="353"/>
      <c r="IR151" s="353"/>
      <c r="IS151" s="353"/>
      <c r="IT151" s="353"/>
      <c r="IU151" s="353"/>
      <c r="IV151" s="353"/>
      <c r="IW151" s="353"/>
      <c r="IX151" s="353"/>
      <c r="IY151" s="55"/>
      <c r="IZ151" s="55"/>
      <c r="JA151" s="55"/>
      <c r="JB151" s="55"/>
      <c r="JC151" s="55"/>
      <c r="JD151" s="353">
        <v>2016</v>
      </c>
    </row>
    <row r="152" spans="1:265" s="5" customFormat="1" ht="24.95" hidden="1" customHeight="1">
      <c r="A152" s="26" t="s">
        <v>19</v>
      </c>
      <c r="B152" s="26" t="s">
        <v>27</v>
      </c>
      <c r="C152" s="13" t="s">
        <v>349</v>
      </c>
      <c r="D152" s="13" t="s">
        <v>380</v>
      </c>
      <c r="E152" s="16" t="s">
        <v>360</v>
      </c>
      <c r="F152" s="13" t="s">
        <v>360</v>
      </c>
      <c r="G152" s="39" t="s">
        <v>354</v>
      </c>
      <c r="H152" s="39" t="s">
        <v>1580</v>
      </c>
      <c r="I152" s="313" t="s">
        <v>986</v>
      </c>
      <c r="J152" s="40">
        <v>10</v>
      </c>
      <c r="K152" s="49" t="s">
        <v>375</v>
      </c>
      <c r="L152" s="26" t="s">
        <v>151</v>
      </c>
      <c r="M152" s="69" t="s">
        <v>152</v>
      </c>
      <c r="N152" s="69" t="s">
        <v>1934</v>
      </c>
      <c r="O152" s="13" t="s">
        <v>3</v>
      </c>
      <c r="P152" s="13" t="s">
        <v>4</v>
      </c>
      <c r="Q152" s="22" t="s">
        <v>1118</v>
      </c>
      <c r="R152" s="22" t="s">
        <v>1103</v>
      </c>
      <c r="S152" s="13" t="s">
        <v>365</v>
      </c>
      <c r="T152" s="13" t="s">
        <v>1387</v>
      </c>
      <c r="U152" s="13" t="s">
        <v>477</v>
      </c>
      <c r="V152" s="22" t="s">
        <v>1104</v>
      </c>
      <c r="W152" s="14"/>
      <c r="X152" s="14"/>
      <c r="Y152" s="13" t="s">
        <v>1101</v>
      </c>
      <c r="Z152" s="13" t="s">
        <v>503</v>
      </c>
      <c r="AA152" s="131">
        <v>48971.31</v>
      </c>
      <c r="AB152" s="131">
        <v>0</v>
      </c>
      <c r="AC152" s="132">
        <v>48971.31</v>
      </c>
      <c r="AD152" s="132"/>
      <c r="AE152" s="29">
        <v>0</v>
      </c>
      <c r="AF152" s="29">
        <f t="shared" si="70"/>
        <v>0</v>
      </c>
      <c r="AG152" s="25">
        <v>0.12</v>
      </c>
      <c r="AH152" s="29">
        <f t="shared" si="71"/>
        <v>0</v>
      </c>
      <c r="AI152" s="29">
        <f t="shared" si="76"/>
        <v>0</v>
      </c>
      <c r="AJ152" s="29">
        <f t="shared" si="64"/>
        <v>0</v>
      </c>
      <c r="AK152" s="29"/>
      <c r="AL152" s="29"/>
      <c r="AM152" s="29"/>
      <c r="AN152" s="75"/>
      <c r="AO152" s="76"/>
      <c r="AP152" s="75"/>
      <c r="AQ152" s="76"/>
      <c r="AR152" s="76"/>
      <c r="AS152" s="76"/>
      <c r="AT152" s="76"/>
      <c r="AU152" s="76"/>
      <c r="AV152" s="76"/>
      <c r="AW152" s="76"/>
      <c r="AX152" s="76"/>
      <c r="AY152" s="76"/>
      <c r="AZ152" s="76"/>
      <c r="BA152" s="76"/>
      <c r="BB152" s="76"/>
      <c r="BC152" s="76"/>
      <c r="BD152" s="76"/>
      <c r="BE152" s="76"/>
      <c r="BF152" s="29">
        <f t="shared" si="79"/>
        <v>0</v>
      </c>
      <c r="BG152" s="29">
        <f t="shared" si="73"/>
        <v>0</v>
      </c>
      <c r="BH152" s="37" t="s">
        <v>594</v>
      </c>
      <c r="BI152" s="29" t="s">
        <v>570</v>
      </c>
      <c r="BJ152" s="29" t="s">
        <v>570</v>
      </c>
      <c r="BK152" s="29" t="s">
        <v>570</v>
      </c>
      <c r="BL152" s="29" t="s">
        <v>570</v>
      </c>
      <c r="BM152" s="29" t="s">
        <v>570</v>
      </c>
      <c r="BN152" s="23">
        <v>42384</v>
      </c>
      <c r="BO152" s="23">
        <v>42389</v>
      </c>
      <c r="BP152" s="23">
        <v>42394</v>
      </c>
      <c r="BQ152" s="23">
        <v>42415</v>
      </c>
      <c r="BR152" s="13" t="s">
        <v>570</v>
      </c>
      <c r="BS152" s="23">
        <v>42445</v>
      </c>
      <c r="BT152" s="23">
        <v>42453</v>
      </c>
      <c r="BU152" s="13" t="s">
        <v>570</v>
      </c>
      <c r="BV152" s="13" t="s">
        <v>570</v>
      </c>
      <c r="BW152" s="224" t="s">
        <v>570</v>
      </c>
      <c r="BX152" s="23">
        <v>42493</v>
      </c>
      <c r="BY152" s="13" t="s">
        <v>570</v>
      </c>
      <c r="BZ152" s="23">
        <v>42535</v>
      </c>
      <c r="CA152" s="23">
        <v>42552</v>
      </c>
      <c r="CB152" s="224" t="s">
        <v>570</v>
      </c>
      <c r="CC152" s="224" t="s">
        <v>570</v>
      </c>
      <c r="CD152" s="224" t="s">
        <v>570</v>
      </c>
      <c r="CE152" s="127" t="s">
        <v>829</v>
      </c>
      <c r="CF152" s="127" t="s">
        <v>829</v>
      </c>
      <c r="CG152" s="23" t="s">
        <v>830</v>
      </c>
      <c r="CH152" s="127" t="s">
        <v>829</v>
      </c>
      <c r="CI152" s="127" t="s">
        <v>829</v>
      </c>
      <c r="CJ152" s="23" t="s">
        <v>830</v>
      </c>
      <c r="CK152" s="127" t="s">
        <v>829</v>
      </c>
      <c r="CL152" s="127" t="s">
        <v>829</v>
      </c>
      <c r="CM152" s="127" t="s">
        <v>829</v>
      </c>
      <c r="CN152" s="127" t="s">
        <v>829</v>
      </c>
      <c r="CO152" s="127" t="s">
        <v>829</v>
      </c>
      <c r="CP152" s="13" t="s">
        <v>570</v>
      </c>
      <c r="CQ152" s="127" t="s">
        <v>829</v>
      </c>
      <c r="CR152" s="127" t="s">
        <v>829</v>
      </c>
      <c r="CS152" s="13" t="s">
        <v>570</v>
      </c>
      <c r="CT152" s="65" t="s">
        <v>452</v>
      </c>
      <c r="CU152" s="25">
        <v>0.05</v>
      </c>
      <c r="CV152" s="23">
        <v>42599</v>
      </c>
      <c r="CW152" s="30"/>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31">
        <f t="shared" si="74"/>
        <v>0</v>
      </c>
      <c r="DZ152" s="13"/>
      <c r="EA152" s="13"/>
      <c r="EB152" s="13"/>
      <c r="EC152" s="13"/>
      <c r="ED152" s="13"/>
      <c r="EE152" s="13"/>
      <c r="EF152" s="13"/>
      <c r="EG152" s="24">
        <v>120</v>
      </c>
      <c r="EH152" s="13" t="s">
        <v>588</v>
      </c>
      <c r="EI152" s="23">
        <v>42600</v>
      </c>
      <c r="EJ152" s="23">
        <v>42720</v>
      </c>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25"/>
      <c r="FI152" s="25"/>
      <c r="FJ152" s="25"/>
      <c r="FK152" s="25"/>
      <c r="FL152" s="25"/>
      <c r="FM152" s="25"/>
      <c r="FN152" s="25"/>
      <c r="FO152" s="25"/>
      <c r="FP152" s="25"/>
      <c r="FQ152" s="25">
        <v>0.69</v>
      </c>
      <c r="FR152" s="25" t="s">
        <v>1249</v>
      </c>
      <c r="FS152" s="25">
        <v>1</v>
      </c>
      <c r="FT152" s="25">
        <v>1</v>
      </c>
      <c r="FU152" s="25">
        <v>1</v>
      </c>
      <c r="FV152" s="25">
        <v>1</v>
      </c>
      <c r="FW152" s="25">
        <v>1</v>
      </c>
      <c r="FX152" s="25">
        <v>1</v>
      </c>
      <c r="FY152" s="25">
        <v>1</v>
      </c>
      <c r="FZ152" s="25">
        <v>1</v>
      </c>
      <c r="GA152" s="25">
        <v>1</v>
      </c>
      <c r="GB152" s="25">
        <v>1</v>
      </c>
      <c r="GC152" s="25">
        <v>1</v>
      </c>
      <c r="GD152" s="25">
        <v>1</v>
      </c>
      <c r="GE152" s="25">
        <v>1</v>
      </c>
      <c r="GF152" s="25">
        <v>1</v>
      </c>
      <c r="GG152" s="25">
        <v>1</v>
      </c>
      <c r="GH152" s="25">
        <v>1</v>
      </c>
      <c r="GI152" s="25">
        <v>1</v>
      </c>
      <c r="GJ152" s="25">
        <v>1</v>
      </c>
      <c r="GK152" s="25">
        <v>1</v>
      </c>
      <c r="GL152" s="25">
        <v>1</v>
      </c>
      <c r="GM152" s="25">
        <v>1</v>
      </c>
      <c r="GN152" s="25">
        <v>1</v>
      </c>
      <c r="GO152" s="25">
        <v>1</v>
      </c>
      <c r="GP152" s="25">
        <v>1</v>
      </c>
      <c r="GQ152" s="25">
        <v>1</v>
      </c>
      <c r="GR152" s="25">
        <v>1</v>
      </c>
      <c r="GS152" s="25">
        <v>1</v>
      </c>
      <c r="GT152" s="25">
        <v>1</v>
      </c>
      <c r="GU152" s="25">
        <v>1</v>
      </c>
      <c r="GV152" s="25" t="s">
        <v>455</v>
      </c>
      <c r="GW152" s="25" t="s">
        <v>455</v>
      </c>
      <c r="GX152" s="25" t="s">
        <v>455</v>
      </c>
      <c r="GY152" s="25" t="s">
        <v>455</v>
      </c>
      <c r="GZ152" s="25" t="s">
        <v>455</v>
      </c>
      <c r="HA152" s="25" t="s">
        <v>455</v>
      </c>
      <c r="HB152" s="25" t="s">
        <v>455</v>
      </c>
      <c r="HC152" s="25" t="s">
        <v>455</v>
      </c>
      <c r="HD152" s="25" t="s">
        <v>455</v>
      </c>
      <c r="HE152" s="25" t="s">
        <v>455</v>
      </c>
      <c r="HF152" s="25" t="s">
        <v>455</v>
      </c>
      <c r="HG152" s="25" t="s">
        <v>455</v>
      </c>
      <c r="HH152" s="25" t="s">
        <v>455</v>
      </c>
      <c r="HI152" s="25"/>
      <c r="HJ152" s="25"/>
      <c r="HK152" s="25"/>
      <c r="HL152" s="25"/>
      <c r="HM152" s="25"/>
      <c r="HN152" s="25"/>
      <c r="HO152" s="25"/>
      <c r="HP152" s="25"/>
      <c r="HQ152" s="25"/>
      <c r="HR152" s="25"/>
      <c r="HS152" s="25"/>
      <c r="HT152" s="25"/>
      <c r="HU152" s="43" t="s">
        <v>339</v>
      </c>
      <c r="HV152" s="43"/>
      <c r="HW152" s="32"/>
      <c r="HX152" s="23">
        <v>42368</v>
      </c>
      <c r="HY152" s="55"/>
      <c r="HZ152" s="55"/>
      <c r="IA152" s="55"/>
      <c r="IB152" s="55"/>
      <c r="IC152" s="55"/>
      <c r="ID152" s="55"/>
      <c r="IE152" s="55"/>
      <c r="IF152" s="107">
        <v>0</v>
      </c>
      <c r="IG152" s="107"/>
      <c r="IH152" s="250">
        <f t="shared" si="66"/>
        <v>0</v>
      </c>
      <c r="II152" s="55"/>
      <c r="IJ152" s="55"/>
      <c r="IK152" s="55"/>
      <c r="IL152" s="55"/>
      <c r="IM152" s="55"/>
      <c r="IN152" s="55"/>
      <c r="IO152" s="55"/>
      <c r="IP152" s="55"/>
      <c r="IQ152" s="55"/>
      <c r="IR152" s="55"/>
      <c r="IS152" s="55"/>
      <c r="IT152" s="55"/>
      <c r="IU152" s="55"/>
      <c r="IV152" s="55"/>
      <c r="IW152" s="55"/>
      <c r="IX152" s="55"/>
      <c r="IY152" s="55"/>
      <c r="IZ152" s="55"/>
      <c r="JA152" s="55"/>
      <c r="JB152" s="55"/>
      <c r="JC152" s="55"/>
      <c r="JD152" s="55">
        <v>2016</v>
      </c>
    </row>
    <row r="153" spans="1:265" s="5" customFormat="1" ht="24.95" hidden="1" customHeight="1">
      <c r="A153" s="26" t="s">
        <v>19</v>
      </c>
      <c r="B153" s="26" t="s">
        <v>27</v>
      </c>
      <c r="C153" s="13" t="s">
        <v>349</v>
      </c>
      <c r="D153" s="13" t="s">
        <v>380</v>
      </c>
      <c r="E153" s="16" t="s">
        <v>360</v>
      </c>
      <c r="F153" s="13" t="s">
        <v>360</v>
      </c>
      <c r="G153" s="39" t="s">
        <v>354</v>
      </c>
      <c r="H153" s="39" t="s">
        <v>1580</v>
      </c>
      <c r="I153" s="313" t="s">
        <v>987</v>
      </c>
      <c r="J153" s="40">
        <v>11</v>
      </c>
      <c r="K153" s="49" t="s">
        <v>375</v>
      </c>
      <c r="L153" s="26" t="s">
        <v>151</v>
      </c>
      <c r="M153" s="69" t="s">
        <v>152</v>
      </c>
      <c r="N153" s="69" t="s">
        <v>1935</v>
      </c>
      <c r="O153" s="13" t="s">
        <v>3</v>
      </c>
      <c r="P153" s="13" t="s">
        <v>4</v>
      </c>
      <c r="Q153" s="22" t="s">
        <v>1118</v>
      </c>
      <c r="R153" s="22" t="s">
        <v>1103</v>
      </c>
      <c r="S153" s="13" t="s">
        <v>365</v>
      </c>
      <c r="T153" s="13" t="s">
        <v>1387</v>
      </c>
      <c r="U153" s="13" t="s">
        <v>477</v>
      </c>
      <c r="V153" s="22" t="s">
        <v>1104</v>
      </c>
      <c r="W153" s="14"/>
      <c r="X153" s="14"/>
      <c r="Y153" s="13" t="s">
        <v>1101</v>
      </c>
      <c r="Z153" s="13" t="s">
        <v>503</v>
      </c>
      <c r="AA153" s="77">
        <v>42690.49</v>
      </c>
      <c r="AB153" s="77">
        <v>0</v>
      </c>
      <c r="AC153" s="132">
        <v>56848.09</v>
      </c>
      <c r="AD153" s="132"/>
      <c r="AE153" s="29">
        <v>0</v>
      </c>
      <c r="AF153" s="29">
        <f t="shared" si="70"/>
        <v>0</v>
      </c>
      <c r="AG153" s="25">
        <v>0.12</v>
      </c>
      <c r="AH153" s="29">
        <f t="shared" si="71"/>
        <v>0</v>
      </c>
      <c r="AI153" s="29">
        <f t="shared" si="76"/>
        <v>0</v>
      </c>
      <c r="AJ153" s="29">
        <f t="shared" si="64"/>
        <v>0</v>
      </c>
      <c r="AK153" s="29"/>
      <c r="AL153" s="29"/>
      <c r="AM153" s="29"/>
      <c r="AN153" s="75"/>
      <c r="AO153" s="76"/>
      <c r="AP153" s="75"/>
      <c r="AQ153" s="76"/>
      <c r="AR153" s="76"/>
      <c r="AS153" s="76"/>
      <c r="AT153" s="76"/>
      <c r="AU153" s="76"/>
      <c r="AV153" s="76"/>
      <c r="AW153" s="76"/>
      <c r="AX153" s="76"/>
      <c r="AY153" s="76"/>
      <c r="AZ153" s="76"/>
      <c r="BA153" s="76"/>
      <c r="BB153" s="76"/>
      <c r="BC153" s="76"/>
      <c r="BD153" s="76"/>
      <c r="BE153" s="76"/>
      <c r="BF153" s="29">
        <f t="shared" si="79"/>
        <v>0</v>
      </c>
      <c r="BG153" s="29">
        <f t="shared" si="73"/>
        <v>0</v>
      </c>
      <c r="BH153" s="37" t="s">
        <v>594</v>
      </c>
      <c r="BI153" s="29" t="s">
        <v>570</v>
      </c>
      <c r="BJ153" s="29" t="s">
        <v>570</v>
      </c>
      <c r="BK153" s="29" t="s">
        <v>570</v>
      </c>
      <c r="BL153" s="29" t="s">
        <v>570</v>
      </c>
      <c r="BM153" s="29" t="s">
        <v>570</v>
      </c>
      <c r="BN153" s="23">
        <v>42384</v>
      </c>
      <c r="BO153" s="23">
        <v>42389</v>
      </c>
      <c r="BP153" s="23">
        <v>42394</v>
      </c>
      <c r="BQ153" s="23">
        <v>42415</v>
      </c>
      <c r="BR153" s="13" t="s">
        <v>570</v>
      </c>
      <c r="BS153" s="23">
        <v>42445</v>
      </c>
      <c r="BT153" s="23">
        <v>42453</v>
      </c>
      <c r="BU153" s="13" t="s">
        <v>570</v>
      </c>
      <c r="BV153" s="13" t="s">
        <v>570</v>
      </c>
      <c r="BW153" s="224" t="s">
        <v>570</v>
      </c>
      <c r="BX153" s="23">
        <v>42493</v>
      </c>
      <c r="BY153" s="13" t="s">
        <v>570</v>
      </c>
      <c r="BZ153" s="23">
        <v>42535</v>
      </c>
      <c r="CA153" s="23">
        <v>42552</v>
      </c>
      <c r="CB153" s="224" t="s">
        <v>570</v>
      </c>
      <c r="CC153" s="224" t="s">
        <v>570</v>
      </c>
      <c r="CD153" s="224" t="s">
        <v>570</v>
      </c>
      <c r="CE153" s="127" t="s">
        <v>829</v>
      </c>
      <c r="CF153" s="127" t="s">
        <v>829</v>
      </c>
      <c r="CG153" s="23" t="s">
        <v>830</v>
      </c>
      <c r="CH153" s="127" t="s">
        <v>829</v>
      </c>
      <c r="CI153" s="127" t="s">
        <v>829</v>
      </c>
      <c r="CJ153" s="23" t="s">
        <v>830</v>
      </c>
      <c r="CK153" s="127" t="s">
        <v>829</v>
      </c>
      <c r="CL153" s="127" t="s">
        <v>829</v>
      </c>
      <c r="CM153" s="127" t="s">
        <v>829</v>
      </c>
      <c r="CN153" s="127" t="s">
        <v>829</v>
      </c>
      <c r="CO153" s="127" t="s">
        <v>829</v>
      </c>
      <c r="CP153" s="13" t="s">
        <v>570</v>
      </c>
      <c r="CQ153" s="127" t="s">
        <v>829</v>
      </c>
      <c r="CR153" s="127" t="s">
        <v>829</v>
      </c>
      <c r="CS153" s="13" t="s">
        <v>570</v>
      </c>
      <c r="CT153" s="65" t="s">
        <v>452</v>
      </c>
      <c r="CU153" s="25">
        <v>0.05</v>
      </c>
      <c r="CV153" s="23">
        <v>42599</v>
      </c>
      <c r="CW153" s="30"/>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31">
        <f t="shared" si="74"/>
        <v>0</v>
      </c>
      <c r="DZ153" s="13"/>
      <c r="EA153" s="13"/>
      <c r="EB153" s="13"/>
      <c r="EC153" s="13"/>
      <c r="ED153" s="13"/>
      <c r="EE153" s="13"/>
      <c r="EF153" s="13"/>
      <c r="EG153" s="24">
        <v>120</v>
      </c>
      <c r="EH153" s="13" t="s">
        <v>588</v>
      </c>
      <c r="EI153" s="23">
        <v>42600</v>
      </c>
      <c r="EJ153" s="23">
        <v>42720</v>
      </c>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25"/>
      <c r="FI153" s="25"/>
      <c r="FJ153" s="25"/>
      <c r="FK153" s="25"/>
      <c r="FL153" s="25"/>
      <c r="FM153" s="25"/>
      <c r="FN153" s="25"/>
      <c r="FO153" s="25"/>
      <c r="FP153" s="25"/>
      <c r="FQ153" s="25">
        <v>0.69</v>
      </c>
      <c r="FR153" s="25" t="s">
        <v>1249</v>
      </c>
      <c r="FS153" s="25">
        <v>1</v>
      </c>
      <c r="FT153" s="25">
        <v>1</v>
      </c>
      <c r="FU153" s="25">
        <v>1</v>
      </c>
      <c r="FV153" s="25">
        <v>1</v>
      </c>
      <c r="FW153" s="25">
        <v>1</v>
      </c>
      <c r="FX153" s="25">
        <v>1</v>
      </c>
      <c r="FY153" s="25">
        <v>1</v>
      </c>
      <c r="FZ153" s="25">
        <v>1</v>
      </c>
      <c r="GA153" s="25">
        <v>1</v>
      </c>
      <c r="GB153" s="25">
        <v>1</v>
      </c>
      <c r="GC153" s="25">
        <v>1</v>
      </c>
      <c r="GD153" s="25">
        <v>1</v>
      </c>
      <c r="GE153" s="25">
        <v>1</v>
      </c>
      <c r="GF153" s="25">
        <v>1</v>
      </c>
      <c r="GG153" s="25">
        <v>1</v>
      </c>
      <c r="GH153" s="25">
        <v>1</v>
      </c>
      <c r="GI153" s="25">
        <v>1</v>
      </c>
      <c r="GJ153" s="25">
        <v>1</v>
      </c>
      <c r="GK153" s="25">
        <v>1</v>
      </c>
      <c r="GL153" s="25">
        <v>1</v>
      </c>
      <c r="GM153" s="25">
        <v>1</v>
      </c>
      <c r="GN153" s="25">
        <v>1</v>
      </c>
      <c r="GO153" s="25">
        <v>1</v>
      </c>
      <c r="GP153" s="25">
        <v>1</v>
      </c>
      <c r="GQ153" s="25">
        <v>1</v>
      </c>
      <c r="GR153" s="25">
        <v>1</v>
      </c>
      <c r="GS153" s="25">
        <v>1</v>
      </c>
      <c r="GT153" s="25">
        <v>1</v>
      </c>
      <c r="GU153" s="25">
        <v>1</v>
      </c>
      <c r="GV153" s="25" t="s">
        <v>455</v>
      </c>
      <c r="GW153" s="25" t="s">
        <v>455</v>
      </c>
      <c r="GX153" s="25" t="s">
        <v>455</v>
      </c>
      <c r="GY153" s="25" t="s">
        <v>455</v>
      </c>
      <c r="GZ153" s="25" t="s">
        <v>455</v>
      </c>
      <c r="HA153" s="25" t="s">
        <v>455</v>
      </c>
      <c r="HB153" s="25" t="s">
        <v>455</v>
      </c>
      <c r="HC153" s="25" t="s">
        <v>455</v>
      </c>
      <c r="HD153" s="25" t="s">
        <v>455</v>
      </c>
      <c r="HE153" s="25" t="s">
        <v>455</v>
      </c>
      <c r="HF153" s="25" t="s">
        <v>455</v>
      </c>
      <c r="HG153" s="25" t="s">
        <v>455</v>
      </c>
      <c r="HH153" s="25" t="s">
        <v>455</v>
      </c>
      <c r="HI153" s="25"/>
      <c r="HJ153" s="25"/>
      <c r="HK153" s="25"/>
      <c r="HL153" s="25"/>
      <c r="HM153" s="25"/>
      <c r="HN153" s="25"/>
      <c r="HO153" s="25"/>
      <c r="HP153" s="25"/>
      <c r="HQ153" s="25"/>
      <c r="HR153" s="25"/>
      <c r="HS153" s="25"/>
      <c r="HT153" s="25"/>
      <c r="HU153" s="43" t="s">
        <v>339</v>
      </c>
      <c r="HV153" s="43"/>
      <c r="HW153" s="32"/>
      <c r="HX153" s="23">
        <v>42368</v>
      </c>
      <c r="HY153" s="55"/>
      <c r="HZ153" s="55"/>
      <c r="IA153" s="55"/>
      <c r="IB153" s="55"/>
      <c r="IC153" s="55"/>
      <c r="ID153" s="55"/>
      <c r="IE153" s="55"/>
      <c r="IF153" s="107">
        <v>0</v>
      </c>
      <c r="IG153" s="107"/>
      <c r="IH153" s="250">
        <f t="shared" si="66"/>
        <v>0</v>
      </c>
      <c r="II153" s="55"/>
      <c r="IJ153" s="55"/>
      <c r="IK153" s="55"/>
      <c r="IL153" s="55"/>
      <c r="IM153" s="55"/>
      <c r="IN153" s="55"/>
      <c r="IO153" s="55"/>
      <c r="IP153" s="55"/>
      <c r="IQ153" s="55"/>
      <c r="IR153" s="55"/>
      <c r="IS153" s="55"/>
      <c r="IT153" s="55"/>
      <c r="IU153" s="55"/>
      <c r="IV153" s="55"/>
      <c r="IW153" s="55"/>
      <c r="IX153" s="55"/>
      <c r="IY153" s="55"/>
      <c r="IZ153" s="55"/>
      <c r="JA153" s="55"/>
      <c r="JB153" s="55"/>
      <c r="JC153" s="55"/>
      <c r="JD153" s="55">
        <v>2016</v>
      </c>
    </row>
    <row r="154" spans="1:265" s="106" customFormat="1" ht="24.95" hidden="1" customHeight="1">
      <c r="A154" s="315" t="s">
        <v>19</v>
      </c>
      <c r="B154" s="315" t="s">
        <v>27</v>
      </c>
      <c r="C154" s="13" t="s">
        <v>349</v>
      </c>
      <c r="D154" s="13" t="s">
        <v>380</v>
      </c>
      <c r="E154" s="16" t="s">
        <v>360</v>
      </c>
      <c r="F154" s="13" t="s">
        <v>360</v>
      </c>
      <c r="G154" s="39" t="s">
        <v>354</v>
      </c>
      <c r="H154" s="39" t="s">
        <v>1580</v>
      </c>
      <c r="I154" s="313" t="s">
        <v>988</v>
      </c>
      <c r="J154" s="40">
        <v>12</v>
      </c>
      <c r="K154" s="49" t="s">
        <v>375</v>
      </c>
      <c r="L154" s="315" t="s">
        <v>151</v>
      </c>
      <c r="M154" s="358" t="s">
        <v>152</v>
      </c>
      <c r="N154" s="358" t="s">
        <v>1936</v>
      </c>
      <c r="O154" s="346" t="s">
        <v>3</v>
      </c>
      <c r="P154" s="346" t="s">
        <v>4</v>
      </c>
      <c r="Q154" s="347" t="s">
        <v>1118</v>
      </c>
      <c r="R154" s="22" t="s">
        <v>1105</v>
      </c>
      <c r="S154" s="13" t="s">
        <v>365</v>
      </c>
      <c r="T154" s="13" t="s">
        <v>1387</v>
      </c>
      <c r="U154" s="13" t="s">
        <v>477</v>
      </c>
      <c r="V154" s="22" t="s">
        <v>1104</v>
      </c>
      <c r="W154" s="13"/>
      <c r="X154" s="13"/>
      <c r="Y154" s="13" t="s">
        <v>1101</v>
      </c>
      <c r="Z154" s="13" t="s">
        <v>503</v>
      </c>
      <c r="AA154" s="131">
        <v>37785.879999999997</v>
      </c>
      <c r="AB154" s="359">
        <f>120343.48-9954.73</f>
        <v>110388.75</v>
      </c>
      <c r="AC154" s="360">
        <v>37785.879999999997</v>
      </c>
      <c r="AD154" s="360">
        <f>AA154+AA155+AA156</f>
        <v>120343.47999999998</v>
      </c>
      <c r="AE154" s="348"/>
      <c r="AF154" s="348">
        <f t="shared" si="70"/>
        <v>120343.47999999998</v>
      </c>
      <c r="AG154" s="349">
        <v>0.12</v>
      </c>
      <c r="AH154" s="348">
        <f t="shared" si="71"/>
        <v>14441.217599999998</v>
      </c>
      <c r="AI154" s="348">
        <f t="shared" si="76"/>
        <v>0</v>
      </c>
      <c r="AJ154" s="348">
        <f t="shared" si="64"/>
        <v>134784.69759999998</v>
      </c>
      <c r="AK154" s="348">
        <v>110388.75</v>
      </c>
      <c r="AL154" s="348">
        <f>AB154-AK154</f>
        <v>0</v>
      </c>
      <c r="AM154" s="29"/>
      <c r="AN154" s="75"/>
      <c r="AO154" s="76">
        <v>114612.83</v>
      </c>
      <c r="AP154" s="75"/>
      <c r="AQ154" s="76">
        <v>110042.66</v>
      </c>
      <c r="AR154" s="76"/>
      <c r="AS154" s="76"/>
      <c r="AT154" s="76"/>
      <c r="AU154" s="76"/>
      <c r="AV154" s="76"/>
      <c r="AW154" s="76"/>
      <c r="AX154" s="76"/>
      <c r="AY154" s="76"/>
      <c r="AZ154" s="76"/>
      <c r="BA154" s="76"/>
      <c r="BB154" s="76"/>
      <c r="BC154" s="76"/>
      <c r="BD154" s="76"/>
      <c r="BE154" s="76"/>
      <c r="BF154" s="29">
        <f t="shared" si="79"/>
        <v>346.08999999999651</v>
      </c>
      <c r="BG154" s="29">
        <f t="shared" si="73"/>
        <v>346.08999999999651</v>
      </c>
      <c r="BH154" s="37" t="s">
        <v>594</v>
      </c>
      <c r="BI154" s="29" t="s">
        <v>570</v>
      </c>
      <c r="BJ154" s="29" t="s">
        <v>570</v>
      </c>
      <c r="BK154" s="29" t="s">
        <v>570</v>
      </c>
      <c r="BL154" s="29" t="s">
        <v>570</v>
      </c>
      <c r="BM154" s="29" t="s">
        <v>570</v>
      </c>
      <c r="BN154" s="23">
        <v>42384</v>
      </c>
      <c r="BO154" s="23">
        <v>42389</v>
      </c>
      <c r="BP154" s="23">
        <v>42394</v>
      </c>
      <c r="BQ154" s="23">
        <v>42415</v>
      </c>
      <c r="BR154" s="13" t="s">
        <v>570</v>
      </c>
      <c r="BS154" s="23">
        <v>42445</v>
      </c>
      <c r="BT154" s="23">
        <v>42453</v>
      </c>
      <c r="BU154" s="13" t="s">
        <v>570</v>
      </c>
      <c r="BV154" s="13" t="s">
        <v>570</v>
      </c>
      <c r="BW154" s="224" t="s">
        <v>570</v>
      </c>
      <c r="BX154" s="23">
        <v>42493</v>
      </c>
      <c r="BY154" s="13" t="s">
        <v>570</v>
      </c>
      <c r="BZ154" s="23">
        <v>42535</v>
      </c>
      <c r="CA154" s="23">
        <v>42552</v>
      </c>
      <c r="CB154" s="224" t="s">
        <v>570</v>
      </c>
      <c r="CC154" s="224" t="s">
        <v>570</v>
      </c>
      <c r="CD154" s="224" t="s">
        <v>570</v>
      </c>
      <c r="CE154" s="127" t="s">
        <v>829</v>
      </c>
      <c r="CF154" s="127" t="s">
        <v>829</v>
      </c>
      <c r="CG154" s="23" t="s">
        <v>830</v>
      </c>
      <c r="CH154" s="127" t="s">
        <v>829</v>
      </c>
      <c r="CI154" s="127" t="s">
        <v>829</v>
      </c>
      <c r="CJ154" s="23" t="s">
        <v>830</v>
      </c>
      <c r="CK154" s="127" t="s">
        <v>829</v>
      </c>
      <c r="CL154" s="127" t="s">
        <v>829</v>
      </c>
      <c r="CM154" s="127" t="s">
        <v>829</v>
      </c>
      <c r="CN154" s="127" t="s">
        <v>829</v>
      </c>
      <c r="CO154" s="127" t="s">
        <v>829</v>
      </c>
      <c r="CP154" s="13" t="s">
        <v>570</v>
      </c>
      <c r="CQ154" s="127" t="s">
        <v>829</v>
      </c>
      <c r="CR154" s="127" t="s">
        <v>829</v>
      </c>
      <c r="CS154" s="13" t="s">
        <v>570</v>
      </c>
      <c r="CT154" s="65" t="s">
        <v>452</v>
      </c>
      <c r="CU154" s="25">
        <v>0.05</v>
      </c>
      <c r="CV154" s="23">
        <v>42599</v>
      </c>
      <c r="CW154" s="30">
        <f>AQ154*0.5</f>
        <v>55021.33</v>
      </c>
      <c r="CX154" s="13" t="s">
        <v>1009</v>
      </c>
      <c r="CY154" s="23">
        <v>42641</v>
      </c>
      <c r="CZ154" s="30">
        <f>50179.45-28170.92</f>
        <v>22008.53</v>
      </c>
      <c r="DA154" s="13" t="s">
        <v>1010</v>
      </c>
      <c r="DB154" s="23">
        <v>42657</v>
      </c>
      <c r="DC154" s="30">
        <v>22008.520000000004</v>
      </c>
      <c r="DD154" s="13" t="s">
        <v>1011</v>
      </c>
      <c r="DE154" s="23">
        <v>42733</v>
      </c>
      <c r="DF154" s="30">
        <f>22354.67-11004.29</f>
        <v>11350.379999999997</v>
      </c>
      <c r="DG154" s="13"/>
      <c r="DH154" s="13"/>
      <c r="DI154" s="13"/>
      <c r="DJ154" s="13"/>
      <c r="DK154" s="13"/>
      <c r="DL154" s="13"/>
      <c r="DM154" s="13"/>
      <c r="DN154" s="13"/>
      <c r="DO154" s="13"/>
      <c r="DP154" s="13"/>
      <c r="DQ154" s="13"/>
      <c r="DR154" s="13"/>
      <c r="DS154" s="13"/>
      <c r="DT154" s="13"/>
      <c r="DU154" s="13"/>
      <c r="DV154" s="13"/>
      <c r="DW154" s="13"/>
      <c r="DX154" s="13"/>
      <c r="DY154" s="31">
        <f t="shared" si="74"/>
        <v>110388.76000000001</v>
      </c>
      <c r="DZ154" s="13"/>
      <c r="EA154" s="13"/>
      <c r="EB154" s="13"/>
      <c r="EC154" s="13"/>
      <c r="ED154" s="13"/>
      <c r="EE154" s="13"/>
      <c r="EF154" s="13"/>
      <c r="EG154" s="24">
        <v>120</v>
      </c>
      <c r="EH154" s="13" t="s">
        <v>588</v>
      </c>
      <c r="EI154" s="23">
        <f>CV154+1</f>
        <v>42600</v>
      </c>
      <c r="EJ154" s="23">
        <f t="shared" ref="EJ154:EJ159" si="80">EI154+EG154</f>
        <v>42720</v>
      </c>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25"/>
      <c r="FI154" s="25"/>
      <c r="FJ154" s="25"/>
      <c r="FK154" s="25"/>
      <c r="FL154" s="25"/>
      <c r="FM154" s="25"/>
      <c r="FN154" s="25"/>
      <c r="FO154" s="25"/>
      <c r="FP154" s="25"/>
      <c r="FQ154" s="25">
        <v>0.69</v>
      </c>
      <c r="FR154" s="25" t="s">
        <v>1249</v>
      </c>
      <c r="FS154" s="25">
        <v>1</v>
      </c>
      <c r="FT154" s="25">
        <v>1</v>
      </c>
      <c r="FU154" s="25">
        <v>1</v>
      </c>
      <c r="FV154" s="25">
        <v>1</v>
      </c>
      <c r="FW154" s="25">
        <v>1</v>
      </c>
      <c r="FX154" s="25">
        <v>1</v>
      </c>
      <c r="FY154" s="25">
        <v>1</v>
      </c>
      <c r="FZ154" s="25">
        <v>1</v>
      </c>
      <c r="GA154" s="25">
        <v>1</v>
      </c>
      <c r="GB154" s="25">
        <v>1</v>
      </c>
      <c r="GC154" s="25">
        <v>1</v>
      </c>
      <c r="GD154" s="25">
        <v>1</v>
      </c>
      <c r="GE154" s="25">
        <v>1</v>
      </c>
      <c r="GF154" s="25">
        <v>1</v>
      </c>
      <c r="GG154" s="25">
        <v>1</v>
      </c>
      <c r="GH154" s="25">
        <v>1</v>
      </c>
      <c r="GI154" s="25">
        <v>1</v>
      </c>
      <c r="GJ154" s="25">
        <v>1</v>
      </c>
      <c r="GK154" s="25">
        <v>1</v>
      </c>
      <c r="GL154" s="25">
        <v>1</v>
      </c>
      <c r="GM154" s="25">
        <v>1</v>
      </c>
      <c r="GN154" s="25">
        <v>1</v>
      </c>
      <c r="GO154" s="25">
        <v>1</v>
      </c>
      <c r="GP154" s="25">
        <v>1</v>
      </c>
      <c r="GQ154" s="25">
        <v>1</v>
      </c>
      <c r="GR154" s="25">
        <v>1</v>
      </c>
      <c r="GS154" s="25">
        <v>1</v>
      </c>
      <c r="GT154" s="349">
        <v>1</v>
      </c>
      <c r="GU154" s="349">
        <v>1</v>
      </c>
      <c r="GV154" s="25" t="s">
        <v>455</v>
      </c>
      <c r="GW154" s="25" t="s">
        <v>455</v>
      </c>
      <c r="GX154" s="25" t="s">
        <v>455</v>
      </c>
      <c r="GY154" s="25" t="s">
        <v>455</v>
      </c>
      <c r="GZ154" s="25" t="s">
        <v>455</v>
      </c>
      <c r="HA154" s="25" t="s">
        <v>455</v>
      </c>
      <c r="HB154" s="25" t="s">
        <v>455</v>
      </c>
      <c r="HC154" s="25" t="s">
        <v>455</v>
      </c>
      <c r="HD154" s="25" t="s">
        <v>455</v>
      </c>
      <c r="HE154" s="25" t="s">
        <v>455</v>
      </c>
      <c r="HF154" s="25" t="s">
        <v>455</v>
      </c>
      <c r="HG154" s="349" t="s">
        <v>455</v>
      </c>
      <c r="HH154" s="349" t="s">
        <v>455</v>
      </c>
      <c r="HI154" s="25"/>
      <c r="HJ154" s="25"/>
      <c r="HK154" s="25"/>
      <c r="HL154" s="25"/>
      <c r="HM154" s="25"/>
      <c r="HN154" s="25"/>
      <c r="HO154" s="25"/>
      <c r="HP154" s="25"/>
      <c r="HQ154" s="25"/>
      <c r="HR154" s="25"/>
      <c r="HS154" s="349"/>
      <c r="HT154" s="349"/>
      <c r="HU154" s="350" t="s">
        <v>339</v>
      </c>
      <c r="HV154" s="350"/>
      <c r="HW154" s="351"/>
      <c r="HX154" s="352">
        <v>42368</v>
      </c>
      <c r="HY154" s="353"/>
      <c r="HZ154" s="353"/>
      <c r="IA154" s="353"/>
      <c r="IB154" s="353"/>
      <c r="IC154" s="353"/>
      <c r="ID154" s="353"/>
      <c r="IE154" s="353"/>
      <c r="IF154" s="107">
        <v>120343.48</v>
      </c>
      <c r="IG154" s="107">
        <v>110388.75</v>
      </c>
      <c r="IH154" s="354">
        <f t="shared" si="66"/>
        <v>0</v>
      </c>
      <c r="II154" s="353"/>
      <c r="IJ154" s="353"/>
      <c r="IK154" s="353"/>
      <c r="IL154" s="353"/>
      <c r="IM154" s="353"/>
      <c r="IN154" s="353"/>
      <c r="IO154" s="353"/>
      <c r="IP154" s="353"/>
      <c r="IQ154" s="353"/>
      <c r="IR154" s="353"/>
      <c r="IS154" s="353"/>
      <c r="IT154" s="353"/>
      <c r="IU154" s="353"/>
      <c r="IV154" s="353"/>
      <c r="IW154" s="353"/>
      <c r="IX154" s="353"/>
      <c r="IY154" s="55"/>
      <c r="IZ154" s="55"/>
      <c r="JA154" s="55"/>
      <c r="JB154" s="55"/>
      <c r="JC154" s="55"/>
      <c r="JD154" s="353">
        <v>2016</v>
      </c>
    </row>
    <row r="155" spans="1:265" s="5" customFormat="1" ht="24.95" hidden="1" customHeight="1">
      <c r="A155" s="26" t="s">
        <v>19</v>
      </c>
      <c r="B155" s="26" t="s">
        <v>27</v>
      </c>
      <c r="C155" s="13" t="s">
        <v>349</v>
      </c>
      <c r="D155" s="13" t="s">
        <v>380</v>
      </c>
      <c r="E155" s="16" t="s">
        <v>360</v>
      </c>
      <c r="F155" s="13" t="s">
        <v>360</v>
      </c>
      <c r="G155" s="39" t="s">
        <v>354</v>
      </c>
      <c r="H155" s="39" t="s">
        <v>1580</v>
      </c>
      <c r="I155" s="313" t="s">
        <v>989</v>
      </c>
      <c r="J155" s="40">
        <v>13</v>
      </c>
      <c r="K155" s="49" t="s">
        <v>375</v>
      </c>
      <c r="L155" s="26" t="s">
        <v>151</v>
      </c>
      <c r="M155" s="69" t="s">
        <v>152</v>
      </c>
      <c r="N155" s="69" t="s">
        <v>1937</v>
      </c>
      <c r="O155" s="13" t="s">
        <v>3</v>
      </c>
      <c r="P155" s="13" t="s">
        <v>4</v>
      </c>
      <c r="Q155" s="22" t="s">
        <v>1118</v>
      </c>
      <c r="R155" s="22" t="s">
        <v>1105</v>
      </c>
      <c r="S155" s="13" t="s">
        <v>365</v>
      </c>
      <c r="T155" s="13" t="s">
        <v>1387</v>
      </c>
      <c r="U155" s="13" t="s">
        <v>477</v>
      </c>
      <c r="V155" s="22" t="s">
        <v>1104</v>
      </c>
      <c r="W155" s="14"/>
      <c r="X155" s="14"/>
      <c r="Y155" s="13" t="s">
        <v>1101</v>
      </c>
      <c r="Z155" s="13" t="s">
        <v>503</v>
      </c>
      <c r="AA155" s="131">
        <v>39324.14</v>
      </c>
      <c r="AB155" s="131">
        <v>0</v>
      </c>
      <c r="AC155" s="132">
        <v>39324.14</v>
      </c>
      <c r="AD155" s="132"/>
      <c r="AE155" s="29">
        <v>0</v>
      </c>
      <c r="AF155" s="29">
        <f t="shared" si="70"/>
        <v>0</v>
      </c>
      <c r="AG155" s="25">
        <v>0.12</v>
      </c>
      <c r="AH155" s="29">
        <f t="shared" si="71"/>
        <v>0</v>
      </c>
      <c r="AI155" s="29">
        <f t="shared" si="76"/>
        <v>0</v>
      </c>
      <c r="AJ155" s="29">
        <f t="shared" si="64"/>
        <v>0</v>
      </c>
      <c r="AK155" s="29"/>
      <c r="AL155" s="29"/>
      <c r="AM155" s="29"/>
      <c r="AN155" s="75"/>
      <c r="AO155" s="76"/>
      <c r="AP155" s="75"/>
      <c r="AQ155" s="76"/>
      <c r="AR155" s="76"/>
      <c r="AS155" s="76"/>
      <c r="AT155" s="76"/>
      <c r="AU155" s="76"/>
      <c r="AV155" s="76"/>
      <c r="AW155" s="76"/>
      <c r="AX155" s="76"/>
      <c r="AY155" s="76"/>
      <c r="AZ155" s="76"/>
      <c r="BA155" s="76"/>
      <c r="BB155" s="76"/>
      <c r="BC155" s="76"/>
      <c r="BD155" s="76"/>
      <c r="BE155" s="76"/>
      <c r="BF155" s="29">
        <f t="shared" si="79"/>
        <v>0</v>
      </c>
      <c r="BG155" s="29">
        <f t="shared" si="73"/>
        <v>0</v>
      </c>
      <c r="BH155" s="37" t="s">
        <v>594</v>
      </c>
      <c r="BI155" s="29" t="s">
        <v>570</v>
      </c>
      <c r="BJ155" s="29" t="s">
        <v>570</v>
      </c>
      <c r="BK155" s="29" t="s">
        <v>570</v>
      </c>
      <c r="BL155" s="29" t="s">
        <v>570</v>
      </c>
      <c r="BM155" s="29" t="s">
        <v>570</v>
      </c>
      <c r="BN155" s="23">
        <v>42384</v>
      </c>
      <c r="BO155" s="23">
        <v>42389</v>
      </c>
      <c r="BP155" s="23">
        <v>42394</v>
      </c>
      <c r="BQ155" s="23">
        <v>42415</v>
      </c>
      <c r="BR155" s="13" t="s">
        <v>570</v>
      </c>
      <c r="BS155" s="23">
        <v>42445</v>
      </c>
      <c r="BT155" s="23">
        <v>42453</v>
      </c>
      <c r="BU155" s="13" t="s">
        <v>570</v>
      </c>
      <c r="BV155" s="13" t="s">
        <v>570</v>
      </c>
      <c r="BW155" s="224" t="s">
        <v>570</v>
      </c>
      <c r="BX155" s="23">
        <v>42493</v>
      </c>
      <c r="BY155" s="13" t="s">
        <v>570</v>
      </c>
      <c r="BZ155" s="23">
        <v>42535</v>
      </c>
      <c r="CA155" s="23">
        <v>42552</v>
      </c>
      <c r="CB155" s="224" t="s">
        <v>570</v>
      </c>
      <c r="CC155" s="224" t="s">
        <v>570</v>
      </c>
      <c r="CD155" s="224" t="s">
        <v>570</v>
      </c>
      <c r="CE155" s="127" t="s">
        <v>829</v>
      </c>
      <c r="CF155" s="127" t="s">
        <v>829</v>
      </c>
      <c r="CG155" s="23" t="s">
        <v>830</v>
      </c>
      <c r="CH155" s="127" t="s">
        <v>829</v>
      </c>
      <c r="CI155" s="127" t="s">
        <v>829</v>
      </c>
      <c r="CJ155" s="23" t="s">
        <v>830</v>
      </c>
      <c r="CK155" s="127" t="s">
        <v>829</v>
      </c>
      <c r="CL155" s="127" t="s">
        <v>829</v>
      </c>
      <c r="CM155" s="127" t="s">
        <v>829</v>
      </c>
      <c r="CN155" s="127" t="s">
        <v>829</v>
      </c>
      <c r="CO155" s="127" t="s">
        <v>829</v>
      </c>
      <c r="CP155" s="13" t="s">
        <v>570</v>
      </c>
      <c r="CQ155" s="127" t="s">
        <v>829</v>
      </c>
      <c r="CR155" s="127" t="s">
        <v>829</v>
      </c>
      <c r="CS155" s="13" t="s">
        <v>570</v>
      </c>
      <c r="CT155" s="65" t="s">
        <v>452</v>
      </c>
      <c r="CU155" s="25">
        <v>0.05</v>
      </c>
      <c r="CV155" s="23">
        <v>42599</v>
      </c>
      <c r="CW155" s="30"/>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31">
        <f t="shared" si="74"/>
        <v>0</v>
      </c>
      <c r="DZ155" s="13"/>
      <c r="EA155" s="13"/>
      <c r="EB155" s="13"/>
      <c r="EC155" s="13"/>
      <c r="ED155" s="13"/>
      <c r="EE155" s="13"/>
      <c r="EF155" s="13"/>
      <c r="EG155" s="24">
        <v>120</v>
      </c>
      <c r="EH155" s="13" t="s">
        <v>588</v>
      </c>
      <c r="EI155" s="23">
        <f>CV155+1</f>
        <v>42600</v>
      </c>
      <c r="EJ155" s="23">
        <f t="shared" si="80"/>
        <v>42720</v>
      </c>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25"/>
      <c r="FI155" s="25"/>
      <c r="FJ155" s="25"/>
      <c r="FK155" s="25"/>
      <c r="FL155" s="25"/>
      <c r="FM155" s="25"/>
      <c r="FN155" s="25"/>
      <c r="FO155" s="25"/>
      <c r="FP155" s="25"/>
      <c r="FQ155" s="25">
        <v>0.69</v>
      </c>
      <c r="FR155" s="25" t="s">
        <v>1249</v>
      </c>
      <c r="FS155" s="25">
        <v>1</v>
      </c>
      <c r="FT155" s="25">
        <v>1</v>
      </c>
      <c r="FU155" s="25">
        <v>1</v>
      </c>
      <c r="FV155" s="25">
        <v>1</v>
      </c>
      <c r="FW155" s="25">
        <v>1</v>
      </c>
      <c r="FX155" s="25">
        <v>1</v>
      </c>
      <c r="FY155" s="25">
        <v>1</v>
      </c>
      <c r="FZ155" s="25">
        <v>1</v>
      </c>
      <c r="GA155" s="25">
        <v>1</v>
      </c>
      <c r="GB155" s="25">
        <v>1</v>
      </c>
      <c r="GC155" s="25">
        <v>1</v>
      </c>
      <c r="GD155" s="25">
        <v>1</v>
      </c>
      <c r="GE155" s="25">
        <v>1</v>
      </c>
      <c r="GF155" s="25">
        <v>1</v>
      </c>
      <c r="GG155" s="25">
        <v>1</v>
      </c>
      <c r="GH155" s="25">
        <v>1</v>
      </c>
      <c r="GI155" s="25">
        <v>1</v>
      </c>
      <c r="GJ155" s="25">
        <v>1</v>
      </c>
      <c r="GK155" s="25">
        <v>1</v>
      </c>
      <c r="GL155" s="25">
        <v>1</v>
      </c>
      <c r="GM155" s="25">
        <v>1</v>
      </c>
      <c r="GN155" s="25">
        <v>1</v>
      </c>
      <c r="GO155" s="25">
        <v>1</v>
      </c>
      <c r="GP155" s="25">
        <v>1</v>
      </c>
      <c r="GQ155" s="25">
        <v>1</v>
      </c>
      <c r="GR155" s="25">
        <v>1</v>
      </c>
      <c r="GS155" s="25">
        <v>1</v>
      </c>
      <c r="GT155" s="25">
        <v>1</v>
      </c>
      <c r="GU155" s="25">
        <v>1</v>
      </c>
      <c r="GV155" s="25" t="s">
        <v>455</v>
      </c>
      <c r="GW155" s="25" t="s">
        <v>455</v>
      </c>
      <c r="GX155" s="25" t="s">
        <v>455</v>
      </c>
      <c r="GY155" s="25" t="s">
        <v>455</v>
      </c>
      <c r="GZ155" s="25" t="s">
        <v>455</v>
      </c>
      <c r="HA155" s="25" t="s">
        <v>455</v>
      </c>
      <c r="HB155" s="25" t="s">
        <v>455</v>
      </c>
      <c r="HC155" s="25" t="s">
        <v>455</v>
      </c>
      <c r="HD155" s="25" t="s">
        <v>455</v>
      </c>
      <c r="HE155" s="25" t="s">
        <v>455</v>
      </c>
      <c r="HF155" s="25" t="s">
        <v>455</v>
      </c>
      <c r="HG155" s="25" t="s">
        <v>455</v>
      </c>
      <c r="HH155" s="25" t="s">
        <v>455</v>
      </c>
      <c r="HI155" s="25"/>
      <c r="HJ155" s="25"/>
      <c r="HK155" s="25"/>
      <c r="HL155" s="25"/>
      <c r="HM155" s="25"/>
      <c r="HN155" s="25"/>
      <c r="HO155" s="25"/>
      <c r="HP155" s="25"/>
      <c r="HQ155" s="25"/>
      <c r="HR155" s="25"/>
      <c r="HS155" s="25"/>
      <c r="HT155" s="25"/>
      <c r="HU155" s="43" t="s">
        <v>339</v>
      </c>
      <c r="HV155" s="43"/>
      <c r="HW155" s="32"/>
      <c r="HX155" s="23">
        <v>42368</v>
      </c>
      <c r="HY155" s="55"/>
      <c r="HZ155" s="55"/>
      <c r="IA155" s="55"/>
      <c r="IB155" s="55"/>
      <c r="IC155" s="55"/>
      <c r="ID155" s="55"/>
      <c r="IE155" s="55"/>
      <c r="IF155" s="107">
        <v>0</v>
      </c>
      <c r="IG155" s="107"/>
      <c r="IH155" s="250">
        <f t="shared" si="66"/>
        <v>0</v>
      </c>
      <c r="II155" s="55"/>
      <c r="IJ155" s="55"/>
      <c r="IK155" s="55"/>
      <c r="IL155" s="55"/>
      <c r="IM155" s="55"/>
      <c r="IN155" s="55"/>
      <c r="IO155" s="55"/>
      <c r="IP155" s="55"/>
      <c r="IQ155" s="55"/>
      <c r="IR155" s="55"/>
      <c r="IS155" s="55"/>
      <c r="IT155" s="55"/>
      <c r="IU155" s="55"/>
      <c r="IV155" s="55"/>
      <c r="IW155" s="55"/>
      <c r="IX155" s="55"/>
      <c r="IY155" s="55"/>
      <c r="IZ155" s="55"/>
      <c r="JA155" s="55"/>
      <c r="JB155" s="55"/>
      <c r="JC155" s="55"/>
      <c r="JD155" s="55">
        <v>2016</v>
      </c>
    </row>
    <row r="156" spans="1:265" s="5" customFormat="1" ht="24.95" hidden="1" customHeight="1">
      <c r="A156" s="26" t="s">
        <v>19</v>
      </c>
      <c r="B156" s="26" t="s">
        <v>27</v>
      </c>
      <c r="C156" s="13" t="s">
        <v>349</v>
      </c>
      <c r="D156" s="13" t="s">
        <v>380</v>
      </c>
      <c r="E156" s="16" t="s">
        <v>360</v>
      </c>
      <c r="F156" s="13" t="s">
        <v>360</v>
      </c>
      <c r="G156" s="39" t="s">
        <v>354</v>
      </c>
      <c r="H156" s="39" t="s">
        <v>1580</v>
      </c>
      <c r="I156" s="313" t="s">
        <v>990</v>
      </c>
      <c r="J156" s="40">
        <v>14</v>
      </c>
      <c r="K156" s="49" t="s">
        <v>375</v>
      </c>
      <c r="L156" s="26" t="s">
        <v>151</v>
      </c>
      <c r="M156" s="69" t="s">
        <v>152</v>
      </c>
      <c r="N156" s="69" t="s">
        <v>1938</v>
      </c>
      <c r="O156" s="13" t="s">
        <v>3</v>
      </c>
      <c r="P156" s="13" t="s">
        <v>4</v>
      </c>
      <c r="Q156" s="22" t="s">
        <v>1118</v>
      </c>
      <c r="R156" s="22" t="s">
        <v>1105</v>
      </c>
      <c r="S156" s="13" t="s">
        <v>365</v>
      </c>
      <c r="T156" s="13" t="s">
        <v>1387</v>
      </c>
      <c r="U156" s="13" t="s">
        <v>477</v>
      </c>
      <c r="V156" s="22" t="s">
        <v>1104</v>
      </c>
      <c r="W156" s="14"/>
      <c r="X156" s="14"/>
      <c r="Y156" s="13" t="s">
        <v>1101</v>
      </c>
      <c r="Z156" s="13" t="s">
        <v>503</v>
      </c>
      <c r="AA156" s="131">
        <v>43233.46</v>
      </c>
      <c r="AB156" s="131">
        <v>0</v>
      </c>
      <c r="AC156" s="132">
        <v>43233.46</v>
      </c>
      <c r="AD156" s="132"/>
      <c r="AE156" s="29">
        <v>0</v>
      </c>
      <c r="AF156" s="29">
        <f t="shared" si="70"/>
        <v>0</v>
      </c>
      <c r="AG156" s="25">
        <v>0.12</v>
      </c>
      <c r="AH156" s="29">
        <f t="shared" si="71"/>
        <v>0</v>
      </c>
      <c r="AI156" s="29">
        <f t="shared" si="76"/>
        <v>0</v>
      </c>
      <c r="AJ156" s="29">
        <f t="shared" si="64"/>
        <v>0</v>
      </c>
      <c r="AK156" s="29"/>
      <c r="AL156" s="29"/>
      <c r="AM156" s="29"/>
      <c r="AN156" s="75"/>
      <c r="AO156" s="76"/>
      <c r="AP156" s="75"/>
      <c r="AQ156" s="76"/>
      <c r="AR156" s="76"/>
      <c r="AS156" s="76"/>
      <c r="AT156" s="76"/>
      <c r="AU156" s="76"/>
      <c r="AV156" s="76"/>
      <c r="AW156" s="76"/>
      <c r="AX156" s="76"/>
      <c r="AY156" s="76"/>
      <c r="AZ156" s="76"/>
      <c r="BA156" s="76"/>
      <c r="BB156" s="76"/>
      <c r="BC156" s="76"/>
      <c r="BD156" s="76"/>
      <c r="BE156" s="76"/>
      <c r="BF156" s="29">
        <f t="shared" si="79"/>
        <v>0</v>
      </c>
      <c r="BG156" s="29">
        <f t="shared" si="73"/>
        <v>0</v>
      </c>
      <c r="BH156" s="37" t="s">
        <v>594</v>
      </c>
      <c r="BI156" s="29" t="s">
        <v>570</v>
      </c>
      <c r="BJ156" s="29" t="s">
        <v>570</v>
      </c>
      <c r="BK156" s="29" t="s">
        <v>570</v>
      </c>
      <c r="BL156" s="29" t="s">
        <v>570</v>
      </c>
      <c r="BM156" s="29" t="s">
        <v>570</v>
      </c>
      <c r="BN156" s="23">
        <v>42384</v>
      </c>
      <c r="BO156" s="23">
        <v>42389</v>
      </c>
      <c r="BP156" s="23">
        <v>42394</v>
      </c>
      <c r="BQ156" s="23">
        <v>42415</v>
      </c>
      <c r="BR156" s="13" t="s">
        <v>570</v>
      </c>
      <c r="BS156" s="23">
        <v>42445</v>
      </c>
      <c r="BT156" s="23">
        <v>42453</v>
      </c>
      <c r="BU156" s="13" t="s">
        <v>570</v>
      </c>
      <c r="BV156" s="13" t="s">
        <v>570</v>
      </c>
      <c r="BW156" s="224" t="s">
        <v>570</v>
      </c>
      <c r="BX156" s="23">
        <v>42493</v>
      </c>
      <c r="BY156" s="13" t="s">
        <v>570</v>
      </c>
      <c r="BZ156" s="23">
        <v>42535</v>
      </c>
      <c r="CA156" s="23">
        <v>42552</v>
      </c>
      <c r="CB156" s="224" t="s">
        <v>570</v>
      </c>
      <c r="CC156" s="224" t="s">
        <v>570</v>
      </c>
      <c r="CD156" s="224" t="s">
        <v>570</v>
      </c>
      <c r="CE156" s="127" t="s">
        <v>829</v>
      </c>
      <c r="CF156" s="127" t="s">
        <v>829</v>
      </c>
      <c r="CG156" s="23" t="s">
        <v>830</v>
      </c>
      <c r="CH156" s="127" t="s">
        <v>829</v>
      </c>
      <c r="CI156" s="127" t="s">
        <v>829</v>
      </c>
      <c r="CJ156" s="23" t="s">
        <v>830</v>
      </c>
      <c r="CK156" s="127" t="s">
        <v>829</v>
      </c>
      <c r="CL156" s="127" t="s">
        <v>829</v>
      </c>
      <c r="CM156" s="127" t="s">
        <v>829</v>
      </c>
      <c r="CN156" s="127" t="s">
        <v>829</v>
      </c>
      <c r="CO156" s="127" t="s">
        <v>829</v>
      </c>
      <c r="CP156" s="13" t="s">
        <v>570</v>
      </c>
      <c r="CQ156" s="127" t="s">
        <v>829</v>
      </c>
      <c r="CR156" s="127" t="s">
        <v>829</v>
      </c>
      <c r="CS156" s="13" t="s">
        <v>570</v>
      </c>
      <c r="CT156" s="65" t="s">
        <v>452</v>
      </c>
      <c r="CU156" s="25">
        <v>0.05</v>
      </c>
      <c r="CV156" s="23">
        <v>42599</v>
      </c>
      <c r="CW156" s="30"/>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31">
        <f t="shared" si="74"/>
        <v>0</v>
      </c>
      <c r="DZ156" s="13"/>
      <c r="EA156" s="13"/>
      <c r="EB156" s="13"/>
      <c r="EC156" s="13"/>
      <c r="ED156" s="13"/>
      <c r="EE156" s="13"/>
      <c r="EF156" s="13"/>
      <c r="EG156" s="24">
        <v>120</v>
      </c>
      <c r="EH156" s="13" t="s">
        <v>588</v>
      </c>
      <c r="EI156" s="23">
        <f>CV156+1</f>
        <v>42600</v>
      </c>
      <c r="EJ156" s="23">
        <f t="shared" si="80"/>
        <v>42720</v>
      </c>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25"/>
      <c r="FI156" s="25"/>
      <c r="FJ156" s="25"/>
      <c r="FK156" s="25"/>
      <c r="FL156" s="25"/>
      <c r="FM156" s="25"/>
      <c r="FN156" s="25"/>
      <c r="FO156" s="25"/>
      <c r="FP156" s="25"/>
      <c r="FQ156" s="25">
        <v>0.69</v>
      </c>
      <c r="FR156" s="25" t="s">
        <v>1249</v>
      </c>
      <c r="FS156" s="25">
        <v>1</v>
      </c>
      <c r="FT156" s="25">
        <v>1</v>
      </c>
      <c r="FU156" s="25">
        <v>1</v>
      </c>
      <c r="FV156" s="25">
        <v>1</v>
      </c>
      <c r="FW156" s="25">
        <v>1</v>
      </c>
      <c r="FX156" s="25">
        <v>1</v>
      </c>
      <c r="FY156" s="25">
        <v>1</v>
      </c>
      <c r="FZ156" s="25">
        <v>1</v>
      </c>
      <c r="GA156" s="25">
        <v>1</v>
      </c>
      <c r="GB156" s="25">
        <v>1</v>
      </c>
      <c r="GC156" s="25">
        <v>1</v>
      </c>
      <c r="GD156" s="25">
        <v>1</v>
      </c>
      <c r="GE156" s="25">
        <v>1</v>
      </c>
      <c r="GF156" s="25">
        <v>1</v>
      </c>
      <c r="GG156" s="25">
        <v>1</v>
      </c>
      <c r="GH156" s="25">
        <v>1</v>
      </c>
      <c r="GI156" s="25">
        <v>1</v>
      </c>
      <c r="GJ156" s="25">
        <v>1</v>
      </c>
      <c r="GK156" s="25">
        <v>1</v>
      </c>
      <c r="GL156" s="25">
        <v>1</v>
      </c>
      <c r="GM156" s="25">
        <v>1</v>
      </c>
      <c r="GN156" s="25">
        <v>1</v>
      </c>
      <c r="GO156" s="25">
        <v>1</v>
      </c>
      <c r="GP156" s="25">
        <v>1</v>
      </c>
      <c r="GQ156" s="25">
        <v>1</v>
      </c>
      <c r="GR156" s="25">
        <v>1</v>
      </c>
      <c r="GS156" s="25">
        <v>1</v>
      </c>
      <c r="GT156" s="25">
        <v>1</v>
      </c>
      <c r="GU156" s="25">
        <v>1</v>
      </c>
      <c r="GV156" s="25" t="s">
        <v>455</v>
      </c>
      <c r="GW156" s="25" t="s">
        <v>455</v>
      </c>
      <c r="GX156" s="25" t="s">
        <v>455</v>
      </c>
      <c r="GY156" s="25" t="s">
        <v>455</v>
      </c>
      <c r="GZ156" s="25" t="s">
        <v>455</v>
      </c>
      <c r="HA156" s="25" t="s">
        <v>455</v>
      </c>
      <c r="HB156" s="25" t="s">
        <v>455</v>
      </c>
      <c r="HC156" s="25" t="s">
        <v>455</v>
      </c>
      <c r="HD156" s="25" t="s">
        <v>455</v>
      </c>
      <c r="HE156" s="25" t="s">
        <v>455</v>
      </c>
      <c r="HF156" s="25" t="s">
        <v>455</v>
      </c>
      <c r="HG156" s="25" t="s">
        <v>455</v>
      </c>
      <c r="HH156" s="25" t="s">
        <v>455</v>
      </c>
      <c r="HI156" s="25"/>
      <c r="HJ156" s="25"/>
      <c r="HK156" s="25"/>
      <c r="HL156" s="25"/>
      <c r="HM156" s="25"/>
      <c r="HN156" s="25"/>
      <c r="HO156" s="25"/>
      <c r="HP156" s="25"/>
      <c r="HQ156" s="25"/>
      <c r="HR156" s="25"/>
      <c r="HS156" s="25"/>
      <c r="HT156" s="25"/>
      <c r="HU156" s="43" t="s">
        <v>339</v>
      </c>
      <c r="HV156" s="43"/>
      <c r="HW156" s="32"/>
      <c r="HX156" s="23">
        <v>42368</v>
      </c>
      <c r="HY156" s="55"/>
      <c r="HZ156" s="55"/>
      <c r="IA156" s="55"/>
      <c r="IB156" s="55"/>
      <c r="IC156" s="55"/>
      <c r="ID156" s="55"/>
      <c r="IE156" s="55"/>
      <c r="IF156" s="107">
        <v>0</v>
      </c>
      <c r="IG156" s="107"/>
      <c r="IH156" s="250">
        <f t="shared" si="66"/>
        <v>0</v>
      </c>
      <c r="II156" s="55"/>
      <c r="IJ156" s="55"/>
      <c r="IK156" s="55"/>
      <c r="IL156" s="55"/>
      <c r="IM156" s="55"/>
      <c r="IN156" s="55"/>
      <c r="IO156" s="55"/>
      <c r="IP156" s="55"/>
      <c r="IQ156" s="55"/>
      <c r="IR156" s="55"/>
      <c r="IS156" s="55"/>
      <c r="IT156" s="55"/>
      <c r="IU156" s="55"/>
      <c r="IV156" s="55"/>
      <c r="IW156" s="55"/>
      <c r="IX156" s="55"/>
      <c r="IY156" s="55"/>
      <c r="IZ156" s="55"/>
      <c r="JA156" s="55"/>
      <c r="JB156" s="55"/>
      <c r="JC156" s="55"/>
      <c r="JD156" s="55">
        <v>2016</v>
      </c>
    </row>
    <row r="157" spans="1:265" s="106" customFormat="1" ht="24.95" hidden="1" customHeight="1">
      <c r="A157" s="315" t="s">
        <v>19</v>
      </c>
      <c r="B157" s="315" t="s">
        <v>27</v>
      </c>
      <c r="C157" s="13" t="s">
        <v>349</v>
      </c>
      <c r="D157" s="13" t="s">
        <v>380</v>
      </c>
      <c r="E157" s="16" t="s">
        <v>360</v>
      </c>
      <c r="F157" s="13" t="s">
        <v>360</v>
      </c>
      <c r="G157" s="39" t="s">
        <v>354</v>
      </c>
      <c r="H157" s="39" t="s">
        <v>1580</v>
      </c>
      <c r="I157" s="20" t="s">
        <v>991</v>
      </c>
      <c r="J157" s="40">
        <v>15</v>
      </c>
      <c r="K157" s="49" t="s">
        <v>375</v>
      </c>
      <c r="L157" s="315" t="s">
        <v>151</v>
      </c>
      <c r="M157" s="358" t="s">
        <v>152</v>
      </c>
      <c r="N157" s="358" t="s">
        <v>1939</v>
      </c>
      <c r="O157" s="346" t="s">
        <v>3</v>
      </c>
      <c r="P157" s="346" t="s">
        <v>4</v>
      </c>
      <c r="Q157" s="347" t="s">
        <v>1118</v>
      </c>
      <c r="R157" s="22" t="s">
        <v>1113</v>
      </c>
      <c r="S157" s="13" t="s">
        <v>366</v>
      </c>
      <c r="T157" s="13" t="s">
        <v>1387</v>
      </c>
      <c r="U157" s="13" t="s">
        <v>477</v>
      </c>
      <c r="V157" s="24">
        <v>1712739919001</v>
      </c>
      <c r="W157" s="13" t="s">
        <v>969</v>
      </c>
      <c r="X157" s="13" t="s">
        <v>969</v>
      </c>
      <c r="Y157" s="13" t="s">
        <v>1106</v>
      </c>
      <c r="Z157" s="13" t="s">
        <v>503</v>
      </c>
      <c r="AA157" s="131">
        <v>48123.03</v>
      </c>
      <c r="AB157" s="359">
        <f>132763.31-8455.34</f>
        <v>124307.97</v>
      </c>
      <c r="AC157" s="360">
        <v>48123.03</v>
      </c>
      <c r="AD157" s="360">
        <f>AA157+AA158+AA159</f>
        <v>132763.31</v>
      </c>
      <c r="AE157" s="348">
        <v>0</v>
      </c>
      <c r="AF157" s="348">
        <f t="shared" si="70"/>
        <v>132763.31</v>
      </c>
      <c r="AG157" s="349">
        <v>0.12</v>
      </c>
      <c r="AH157" s="348">
        <f t="shared" si="71"/>
        <v>15931.597199999998</v>
      </c>
      <c r="AI157" s="348">
        <f t="shared" si="76"/>
        <v>0</v>
      </c>
      <c r="AJ157" s="348">
        <f t="shared" si="64"/>
        <v>148694.90720000002</v>
      </c>
      <c r="AK157" s="348">
        <v>124307.97</v>
      </c>
      <c r="AL157" s="348">
        <f>AB157-AK157</f>
        <v>0</v>
      </c>
      <c r="AM157" s="29"/>
      <c r="AN157" s="75"/>
      <c r="AO157" s="76">
        <v>126441.25</v>
      </c>
      <c r="AP157" s="75"/>
      <c r="AQ157" s="76">
        <v>125292.48</v>
      </c>
      <c r="AR157" s="76"/>
      <c r="AS157" s="76"/>
      <c r="AT157" s="76"/>
      <c r="AU157" s="76"/>
      <c r="AV157" s="76"/>
      <c r="AW157" s="76"/>
      <c r="AX157" s="76"/>
      <c r="AY157" s="76"/>
      <c r="AZ157" s="76"/>
      <c r="BA157" s="76"/>
      <c r="BB157" s="76"/>
      <c r="BC157" s="76"/>
      <c r="BD157" s="76"/>
      <c r="BE157" s="76"/>
      <c r="BF157" s="29">
        <f t="shared" si="79"/>
        <v>-984.50999999999476</v>
      </c>
      <c r="BG157" s="29">
        <f t="shared" si="73"/>
        <v>-984.50999999999476</v>
      </c>
      <c r="BH157" s="37" t="s">
        <v>594</v>
      </c>
      <c r="BI157" s="29" t="s">
        <v>570</v>
      </c>
      <c r="BJ157" s="29" t="s">
        <v>570</v>
      </c>
      <c r="BK157" s="29" t="s">
        <v>570</v>
      </c>
      <c r="BL157" s="29" t="s">
        <v>570</v>
      </c>
      <c r="BM157" s="29" t="s">
        <v>570</v>
      </c>
      <c r="BN157" s="23">
        <v>42384</v>
      </c>
      <c r="BO157" s="23">
        <v>42389</v>
      </c>
      <c r="BP157" s="23">
        <v>42394</v>
      </c>
      <c r="BQ157" s="23">
        <v>42415</v>
      </c>
      <c r="BR157" s="13" t="s">
        <v>570</v>
      </c>
      <c r="BS157" s="23">
        <v>42445</v>
      </c>
      <c r="BT157" s="23">
        <v>42453</v>
      </c>
      <c r="BU157" s="13" t="s">
        <v>570</v>
      </c>
      <c r="BV157" s="13" t="s">
        <v>570</v>
      </c>
      <c r="BW157" s="224" t="s">
        <v>570</v>
      </c>
      <c r="BX157" s="23">
        <v>42493</v>
      </c>
      <c r="BY157" s="13" t="s">
        <v>570</v>
      </c>
      <c r="BZ157" s="23">
        <v>42535</v>
      </c>
      <c r="CA157" s="23">
        <v>42557</v>
      </c>
      <c r="CB157" s="224" t="s">
        <v>570</v>
      </c>
      <c r="CC157" s="224" t="s">
        <v>570</v>
      </c>
      <c r="CD157" s="224" t="s">
        <v>570</v>
      </c>
      <c r="CE157" s="127" t="s">
        <v>829</v>
      </c>
      <c r="CF157" s="127" t="s">
        <v>829</v>
      </c>
      <c r="CG157" s="23" t="s">
        <v>830</v>
      </c>
      <c r="CH157" s="127" t="s">
        <v>829</v>
      </c>
      <c r="CI157" s="127" t="s">
        <v>829</v>
      </c>
      <c r="CJ157" s="23" t="s">
        <v>830</v>
      </c>
      <c r="CK157" s="127" t="s">
        <v>829</v>
      </c>
      <c r="CL157" s="127" t="s">
        <v>829</v>
      </c>
      <c r="CM157" s="127" t="s">
        <v>829</v>
      </c>
      <c r="CN157" s="127" t="s">
        <v>829</v>
      </c>
      <c r="CO157" s="127" t="s">
        <v>829</v>
      </c>
      <c r="CP157" s="13" t="s">
        <v>570</v>
      </c>
      <c r="CQ157" s="127" t="s">
        <v>829</v>
      </c>
      <c r="CR157" s="127" t="s">
        <v>829</v>
      </c>
      <c r="CS157" s="13" t="s">
        <v>570</v>
      </c>
      <c r="CT157" s="65" t="s">
        <v>452</v>
      </c>
      <c r="CU157" s="25">
        <v>0.05</v>
      </c>
      <c r="CV157" s="23">
        <v>42599</v>
      </c>
      <c r="CW157" s="30">
        <f>AQ157*0.5</f>
        <v>62646.239999999998</v>
      </c>
      <c r="CX157" s="13" t="s">
        <v>1012</v>
      </c>
      <c r="CY157" s="23">
        <v>42664</v>
      </c>
      <c r="CZ157" s="30">
        <v>25058.489999999998</v>
      </c>
      <c r="DA157" s="13" t="s">
        <v>1013</v>
      </c>
      <c r="DB157" s="23">
        <v>42711</v>
      </c>
      <c r="DC157" s="30">
        <f>50116.99-25058.5</f>
        <v>25058.489999999998</v>
      </c>
      <c r="DD157" s="80" t="s">
        <v>1479</v>
      </c>
      <c r="DE157" s="99">
        <v>42800</v>
      </c>
      <c r="DF157" s="79">
        <v>11544.75</v>
      </c>
      <c r="DG157" s="13"/>
      <c r="DH157" s="13"/>
      <c r="DI157" s="13"/>
      <c r="DJ157" s="13"/>
      <c r="DK157" s="13"/>
      <c r="DL157" s="13"/>
      <c r="DM157" s="13"/>
      <c r="DN157" s="13"/>
      <c r="DO157" s="13"/>
      <c r="DP157" s="13"/>
      <c r="DQ157" s="13"/>
      <c r="DR157" s="13"/>
      <c r="DS157" s="13"/>
      <c r="DT157" s="13"/>
      <c r="DU157" s="13"/>
      <c r="DV157" s="13"/>
      <c r="DW157" s="13"/>
      <c r="DX157" s="13"/>
      <c r="DY157" s="31">
        <f t="shared" si="74"/>
        <v>124307.97</v>
      </c>
      <c r="DZ157" s="13"/>
      <c r="EA157" s="13"/>
      <c r="EB157" s="13"/>
      <c r="EC157" s="13"/>
      <c r="ED157" s="13"/>
      <c r="EE157" s="13"/>
      <c r="EF157" s="13"/>
      <c r="EG157" s="24">
        <v>120</v>
      </c>
      <c r="EH157" s="13" t="s">
        <v>588</v>
      </c>
      <c r="EI157" s="23">
        <f>CV157+1</f>
        <v>42600</v>
      </c>
      <c r="EJ157" s="23">
        <f t="shared" si="80"/>
        <v>42720</v>
      </c>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25"/>
      <c r="FI157" s="25"/>
      <c r="FJ157" s="25"/>
      <c r="FK157" s="25"/>
      <c r="FL157" s="25"/>
      <c r="FM157" s="25"/>
      <c r="FN157" s="25"/>
      <c r="FO157" s="25"/>
      <c r="FP157" s="25"/>
      <c r="FQ157" s="25">
        <v>0.69</v>
      </c>
      <c r="FR157" s="25" t="s">
        <v>1249</v>
      </c>
      <c r="FS157" s="25">
        <v>1</v>
      </c>
      <c r="FT157" s="25">
        <v>1</v>
      </c>
      <c r="FU157" s="25">
        <v>1</v>
      </c>
      <c r="FV157" s="25">
        <v>1</v>
      </c>
      <c r="FW157" s="25">
        <v>1</v>
      </c>
      <c r="FX157" s="25">
        <v>1</v>
      </c>
      <c r="FY157" s="25">
        <v>1</v>
      </c>
      <c r="FZ157" s="25">
        <v>1</v>
      </c>
      <c r="GA157" s="25">
        <v>1</v>
      </c>
      <c r="GB157" s="25">
        <v>1</v>
      </c>
      <c r="GC157" s="25">
        <v>1</v>
      </c>
      <c r="GD157" s="25">
        <v>1</v>
      </c>
      <c r="GE157" s="25">
        <v>1</v>
      </c>
      <c r="GF157" s="25">
        <v>1</v>
      </c>
      <c r="GG157" s="25">
        <v>1</v>
      </c>
      <c r="GH157" s="25">
        <v>1</v>
      </c>
      <c r="GI157" s="25">
        <v>1</v>
      </c>
      <c r="GJ157" s="25">
        <v>1</v>
      </c>
      <c r="GK157" s="25">
        <v>1</v>
      </c>
      <c r="GL157" s="25">
        <v>1</v>
      </c>
      <c r="GM157" s="25">
        <v>1</v>
      </c>
      <c r="GN157" s="25">
        <v>1</v>
      </c>
      <c r="GO157" s="25">
        <v>1</v>
      </c>
      <c r="GP157" s="25">
        <v>1</v>
      </c>
      <c r="GQ157" s="25">
        <v>1</v>
      </c>
      <c r="GR157" s="25">
        <v>1</v>
      </c>
      <c r="GS157" s="25">
        <v>1</v>
      </c>
      <c r="GT157" s="349">
        <v>1</v>
      </c>
      <c r="GU157" s="349">
        <v>1</v>
      </c>
      <c r="GV157" s="25" t="s">
        <v>455</v>
      </c>
      <c r="GW157" s="25" t="s">
        <v>455</v>
      </c>
      <c r="GX157" s="25" t="s">
        <v>455</v>
      </c>
      <c r="GY157" s="25" t="s">
        <v>455</v>
      </c>
      <c r="GZ157" s="25" t="s">
        <v>455</v>
      </c>
      <c r="HA157" s="25" t="s">
        <v>455</v>
      </c>
      <c r="HB157" s="25" t="s">
        <v>455</v>
      </c>
      <c r="HC157" s="25" t="s">
        <v>455</v>
      </c>
      <c r="HD157" s="25" t="s">
        <v>455</v>
      </c>
      <c r="HE157" s="25" t="s">
        <v>455</v>
      </c>
      <c r="HF157" s="25" t="s">
        <v>455</v>
      </c>
      <c r="HG157" s="349" t="s">
        <v>455</v>
      </c>
      <c r="HH157" s="349" t="s">
        <v>455</v>
      </c>
      <c r="HI157" s="25"/>
      <c r="HJ157" s="25"/>
      <c r="HK157" s="25"/>
      <c r="HL157" s="25"/>
      <c r="HM157" s="25"/>
      <c r="HN157" s="25"/>
      <c r="HO157" s="25"/>
      <c r="HP157" s="25"/>
      <c r="HQ157" s="25"/>
      <c r="HR157" s="25"/>
      <c r="HS157" s="349"/>
      <c r="HT157" s="349"/>
      <c r="HU157" s="350" t="s">
        <v>339</v>
      </c>
      <c r="HV157" s="350"/>
      <c r="HW157" s="351"/>
      <c r="HX157" s="352">
        <v>42368</v>
      </c>
      <c r="HY157" s="353"/>
      <c r="HZ157" s="353"/>
      <c r="IA157" s="353"/>
      <c r="IB157" s="353"/>
      <c r="IC157" s="353"/>
      <c r="ID157" s="353"/>
      <c r="IE157" s="353"/>
      <c r="IF157" s="107">
        <v>132763.31</v>
      </c>
      <c r="IG157" s="107">
        <v>124307.97</v>
      </c>
      <c r="IH157" s="354">
        <f t="shared" si="66"/>
        <v>0</v>
      </c>
      <c r="II157" s="353"/>
      <c r="IJ157" s="353"/>
      <c r="IK157" s="353"/>
      <c r="IL157" s="353"/>
      <c r="IM157" s="353"/>
      <c r="IN157" s="353"/>
      <c r="IO157" s="353"/>
      <c r="IP157" s="353"/>
      <c r="IQ157" s="353"/>
      <c r="IR157" s="353"/>
      <c r="IS157" s="353"/>
      <c r="IT157" s="353"/>
      <c r="IU157" s="353"/>
      <c r="IV157" s="353"/>
      <c r="IW157" s="353"/>
      <c r="IX157" s="353"/>
      <c r="IY157" s="55"/>
      <c r="IZ157" s="55"/>
      <c r="JA157" s="55"/>
      <c r="JB157" s="55"/>
      <c r="JC157" s="55"/>
      <c r="JD157" s="353">
        <v>2016</v>
      </c>
    </row>
    <row r="158" spans="1:265" s="5" customFormat="1" ht="24.95" hidden="1" customHeight="1">
      <c r="A158" s="26" t="s">
        <v>19</v>
      </c>
      <c r="B158" s="26" t="s">
        <v>27</v>
      </c>
      <c r="C158" s="13" t="s">
        <v>349</v>
      </c>
      <c r="D158" s="13" t="s">
        <v>380</v>
      </c>
      <c r="E158" s="16" t="s">
        <v>360</v>
      </c>
      <c r="F158" s="13" t="s">
        <v>360</v>
      </c>
      <c r="G158" s="39" t="s">
        <v>354</v>
      </c>
      <c r="H158" s="39" t="s">
        <v>1580</v>
      </c>
      <c r="I158" s="20" t="s">
        <v>992</v>
      </c>
      <c r="J158" s="40">
        <v>16</v>
      </c>
      <c r="K158" s="49" t="s">
        <v>375</v>
      </c>
      <c r="L158" s="26" t="s">
        <v>151</v>
      </c>
      <c r="M158" s="69" t="s">
        <v>152</v>
      </c>
      <c r="N158" s="69" t="s">
        <v>1940</v>
      </c>
      <c r="O158" s="13" t="s">
        <v>3</v>
      </c>
      <c r="P158" s="13" t="s">
        <v>4</v>
      </c>
      <c r="Q158" s="22" t="s">
        <v>1118</v>
      </c>
      <c r="R158" s="22" t="s">
        <v>1113</v>
      </c>
      <c r="S158" s="13" t="s">
        <v>366</v>
      </c>
      <c r="T158" s="13" t="s">
        <v>1387</v>
      </c>
      <c r="U158" s="13" t="s">
        <v>477</v>
      </c>
      <c r="V158" s="24">
        <v>1712739919001</v>
      </c>
      <c r="W158" s="13" t="s">
        <v>969</v>
      </c>
      <c r="X158" s="13" t="s">
        <v>969</v>
      </c>
      <c r="Y158" s="13" t="s">
        <v>1106</v>
      </c>
      <c r="Z158" s="13" t="s">
        <v>503</v>
      </c>
      <c r="AA158" s="131">
        <v>44050.879999999997</v>
      </c>
      <c r="AB158" s="131">
        <v>0</v>
      </c>
      <c r="AC158" s="132">
        <v>44050.879999999997</v>
      </c>
      <c r="AD158" s="132"/>
      <c r="AE158" s="29">
        <v>0</v>
      </c>
      <c r="AF158" s="29">
        <f t="shared" si="70"/>
        <v>0</v>
      </c>
      <c r="AG158" s="25">
        <v>0.12</v>
      </c>
      <c r="AH158" s="29">
        <f t="shared" si="71"/>
        <v>0</v>
      </c>
      <c r="AI158" s="29">
        <f t="shared" si="76"/>
        <v>0</v>
      </c>
      <c r="AJ158" s="29">
        <f t="shared" si="64"/>
        <v>0</v>
      </c>
      <c r="AK158" s="29"/>
      <c r="AL158" s="29"/>
      <c r="AM158" s="29"/>
      <c r="AN158" s="75"/>
      <c r="AO158" s="76"/>
      <c r="AP158" s="75"/>
      <c r="AQ158" s="76"/>
      <c r="AR158" s="76"/>
      <c r="AS158" s="76"/>
      <c r="AT158" s="76"/>
      <c r="AU158" s="76"/>
      <c r="AV158" s="76"/>
      <c r="AW158" s="76"/>
      <c r="AX158" s="76"/>
      <c r="AY158" s="76"/>
      <c r="AZ158" s="76"/>
      <c r="BA158" s="76"/>
      <c r="BB158" s="76"/>
      <c r="BC158" s="76"/>
      <c r="BD158" s="76"/>
      <c r="BE158" s="76"/>
      <c r="BF158" s="29">
        <f t="shared" si="79"/>
        <v>0</v>
      </c>
      <c r="BG158" s="29">
        <f t="shared" si="73"/>
        <v>0</v>
      </c>
      <c r="BH158" s="37" t="s">
        <v>594</v>
      </c>
      <c r="BI158" s="29" t="s">
        <v>570</v>
      </c>
      <c r="BJ158" s="29" t="s">
        <v>570</v>
      </c>
      <c r="BK158" s="29" t="s">
        <v>570</v>
      </c>
      <c r="BL158" s="29" t="s">
        <v>570</v>
      </c>
      <c r="BM158" s="29" t="s">
        <v>570</v>
      </c>
      <c r="BN158" s="23">
        <v>42384</v>
      </c>
      <c r="BO158" s="23">
        <v>42389</v>
      </c>
      <c r="BP158" s="23">
        <v>42394</v>
      </c>
      <c r="BQ158" s="23">
        <v>42415</v>
      </c>
      <c r="BR158" s="13" t="s">
        <v>570</v>
      </c>
      <c r="BS158" s="23">
        <v>42445</v>
      </c>
      <c r="BT158" s="23">
        <v>42453</v>
      </c>
      <c r="BU158" s="13" t="s">
        <v>570</v>
      </c>
      <c r="BV158" s="13" t="s">
        <v>570</v>
      </c>
      <c r="BW158" s="224" t="s">
        <v>570</v>
      </c>
      <c r="BX158" s="23">
        <v>42493</v>
      </c>
      <c r="BY158" s="13" t="s">
        <v>570</v>
      </c>
      <c r="BZ158" s="23">
        <v>42535</v>
      </c>
      <c r="CA158" s="23">
        <v>42557</v>
      </c>
      <c r="CB158" s="224" t="s">
        <v>570</v>
      </c>
      <c r="CC158" s="224" t="s">
        <v>570</v>
      </c>
      <c r="CD158" s="224" t="s">
        <v>570</v>
      </c>
      <c r="CE158" s="127" t="s">
        <v>829</v>
      </c>
      <c r="CF158" s="127" t="s">
        <v>829</v>
      </c>
      <c r="CG158" s="23" t="s">
        <v>830</v>
      </c>
      <c r="CH158" s="127" t="s">
        <v>829</v>
      </c>
      <c r="CI158" s="127" t="s">
        <v>829</v>
      </c>
      <c r="CJ158" s="23" t="s">
        <v>830</v>
      </c>
      <c r="CK158" s="127" t="s">
        <v>829</v>
      </c>
      <c r="CL158" s="127" t="s">
        <v>829</v>
      </c>
      <c r="CM158" s="127" t="s">
        <v>829</v>
      </c>
      <c r="CN158" s="127" t="s">
        <v>829</v>
      </c>
      <c r="CO158" s="127" t="s">
        <v>829</v>
      </c>
      <c r="CP158" s="13" t="s">
        <v>570</v>
      </c>
      <c r="CQ158" s="127" t="s">
        <v>829</v>
      </c>
      <c r="CR158" s="127" t="s">
        <v>829</v>
      </c>
      <c r="CS158" s="13" t="s">
        <v>570</v>
      </c>
      <c r="CT158" s="65" t="s">
        <v>452</v>
      </c>
      <c r="CU158" s="25">
        <v>0.05</v>
      </c>
      <c r="CV158" s="23">
        <v>42599</v>
      </c>
      <c r="CW158" s="30"/>
      <c r="CX158" s="13"/>
      <c r="CY158" s="2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31">
        <f t="shared" si="74"/>
        <v>0</v>
      </c>
      <c r="DZ158" s="13"/>
      <c r="EA158" s="13"/>
      <c r="EB158" s="13"/>
      <c r="EC158" s="13"/>
      <c r="ED158" s="13"/>
      <c r="EE158" s="13"/>
      <c r="EF158" s="13"/>
      <c r="EG158" s="24">
        <v>120</v>
      </c>
      <c r="EH158" s="13" t="s">
        <v>588</v>
      </c>
      <c r="EI158" s="23">
        <v>42600</v>
      </c>
      <c r="EJ158" s="23">
        <f t="shared" si="80"/>
        <v>42720</v>
      </c>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25"/>
      <c r="FI158" s="25"/>
      <c r="FJ158" s="25"/>
      <c r="FK158" s="25"/>
      <c r="FL158" s="25"/>
      <c r="FM158" s="25"/>
      <c r="FN158" s="25"/>
      <c r="FO158" s="25"/>
      <c r="FP158" s="25"/>
      <c r="FQ158" s="25">
        <v>0.69</v>
      </c>
      <c r="FR158" s="25" t="s">
        <v>1249</v>
      </c>
      <c r="FS158" s="25">
        <v>1</v>
      </c>
      <c r="FT158" s="25">
        <v>1</v>
      </c>
      <c r="FU158" s="25">
        <v>1</v>
      </c>
      <c r="FV158" s="25">
        <v>1</v>
      </c>
      <c r="FW158" s="25">
        <v>1</v>
      </c>
      <c r="FX158" s="25">
        <v>1</v>
      </c>
      <c r="FY158" s="25">
        <v>1</v>
      </c>
      <c r="FZ158" s="25">
        <v>1</v>
      </c>
      <c r="GA158" s="25">
        <v>1</v>
      </c>
      <c r="GB158" s="25">
        <v>1</v>
      </c>
      <c r="GC158" s="25">
        <v>1</v>
      </c>
      <c r="GD158" s="25">
        <v>1</v>
      </c>
      <c r="GE158" s="25">
        <v>1</v>
      </c>
      <c r="GF158" s="25">
        <v>1</v>
      </c>
      <c r="GG158" s="25">
        <v>1</v>
      </c>
      <c r="GH158" s="25">
        <v>1</v>
      </c>
      <c r="GI158" s="25">
        <v>1</v>
      </c>
      <c r="GJ158" s="25">
        <v>1</v>
      </c>
      <c r="GK158" s="25">
        <v>1</v>
      </c>
      <c r="GL158" s="25">
        <v>1</v>
      </c>
      <c r="GM158" s="25">
        <v>1</v>
      </c>
      <c r="GN158" s="25">
        <v>1</v>
      </c>
      <c r="GO158" s="25">
        <v>1</v>
      </c>
      <c r="GP158" s="25">
        <v>1</v>
      </c>
      <c r="GQ158" s="25">
        <v>1</v>
      </c>
      <c r="GR158" s="25">
        <v>1</v>
      </c>
      <c r="GS158" s="25">
        <v>1</v>
      </c>
      <c r="GT158" s="25">
        <v>1</v>
      </c>
      <c r="GU158" s="25">
        <v>1</v>
      </c>
      <c r="GV158" s="25" t="s">
        <v>455</v>
      </c>
      <c r="GW158" s="25" t="s">
        <v>455</v>
      </c>
      <c r="GX158" s="25" t="s">
        <v>455</v>
      </c>
      <c r="GY158" s="25" t="s">
        <v>455</v>
      </c>
      <c r="GZ158" s="25" t="s">
        <v>455</v>
      </c>
      <c r="HA158" s="25" t="s">
        <v>455</v>
      </c>
      <c r="HB158" s="25" t="s">
        <v>455</v>
      </c>
      <c r="HC158" s="25" t="s">
        <v>455</v>
      </c>
      <c r="HD158" s="25" t="s">
        <v>455</v>
      </c>
      <c r="HE158" s="25" t="s">
        <v>455</v>
      </c>
      <c r="HF158" s="25" t="s">
        <v>455</v>
      </c>
      <c r="HG158" s="25" t="s">
        <v>455</v>
      </c>
      <c r="HH158" s="25" t="s">
        <v>455</v>
      </c>
      <c r="HI158" s="25"/>
      <c r="HJ158" s="25"/>
      <c r="HK158" s="25"/>
      <c r="HL158" s="25"/>
      <c r="HM158" s="25"/>
      <c r="HN158" s="25"/>
      <c r="HO158" s="25"/>
      <c r="HP158" s="25"/>
      <c r="HQ158" s="25"/>
      <c r="HR158" s="25"/>
      <c r="HS158" s="25"/>
      <c r="HT158" s="25"/>
      <c r="HU158" s="43" t="s">
        <v>339</v>
      </c>
      <c r="HV158" s="43"/>
      <c r="HW158" s="32"/>
      <c r="HX158" s="23">
        <v>42368</v>
      </c>
      <c r="HY158" s="55"/>
      <c r="HZ158" s="55"/>
      <c r="IA158" s="55"/>
      <c r="IB158" s="55"/>
      <c r="IC158" s="55"/>
      <c r="ID158" s="55"/>
      <c r="IE158" s="55"/>
      <c r="IF158" s="107">
        <v>0</v>
      </c>
      <c r="IG158" s="107"/>
      <c r="IH158" s="250">
        <f t="shared" ref="IH158:IH161" si="81">AK158-IG158</f>
        <v>0</v>
      </c>
      <c r="II158" s="55"/>
      <c r="IJ158" s="55"/>
      <c r="IK158" s="55"/>
      <c r="IL158" s="55"/>
      <c r="IM158" s="55"/>
      <c r="IN158" s="55"/>
      <c r="IO158" s="55"/>
      <c r="IP158" s="55"/>
      <c r="IQ158" s="55"/>
      <c r="IR158" s="55"/>
      <c r="IS158" s="55"/>
      <c r="IT158" s="55"/>
      <c r="IU158" s="55"/>
      <c r="IV158" s="55"/>
      <c r="IW158" s="55"/>
      <c r="IX158" s="55"/>
      <c r="IY158" s="55"/>
      <c r="IZ158" s="55"/>
      <c r="JA158" s="55"/>
      <c r="JB158" s="55"/>
      <c r="JC158" s="55"/>
      <c r="JD158" s="55">
        <v>2016</v>
      </c>
    </row>
    <row r="159" spans="1:265" s="5" customFormat="1" ht="24.95" hidden="1" customHeight="1">
      <c r="A159" s="26" t="s">
        <v>19</v>
      </c>
      <c r="B159" s="26" t="s">
        <v>27</v>
      </c>
      <c r="C159" s="13" t="s">
        <v>349</v>
      </c>
      <c r="D159" s="13" t="s">
        <v>380</v>
      </c>
      <c r="E159" s="16" t="s">
        <v>360</v>
      </c>
      <c r="F159" s="13" t="s">
        <v>360</v>
      </c>
      <c r="G159" s="39" t="s">
        <v>354</v>
      </c>
      <c r="H159" s="39" t="s">
        <v>1580</v>
      </c>
      <c r="I159" s="20" t="s">
        <v>993</v>
      </c>
      <c r="J159" s="40">
        <v>17</v>
      </c>
      <c r="K159" s="49" t="s">
        <v>375</v>
      </c>
      <c r="L159" s="26" t="s">
        <v>151</v>
      </c>
      <c r="M159" s="69" t="s">
        <v>152</v>
      </c>
      <c r="N159" s="69" t="s">
        <v>1941</v>
      </c>
      <c r="O159" s="13" t="s">
        <v>3</v>
      </c>
      <c r="P159" s="13" t="s">
        <v>4</v>
      </c>
      <c r="Q159" s="22" t="s">
        <v>1118</v>
      </c>
      <c r="R159" s="22" t="s">
        <v>1113</v>
      </c>
      <c r="S159" s="13" t="s">
        <v>366</v>
      </c>
      <c r="T159" s="13" t="s">
        <v>1387</v>
      </c>
      <c r="U159" s="13" t="s">
        <v>477</v>
      </c>
      <c r="V159" s="24">
        <v>1712739919001</v>
      </c>
      <c r="W159" s="13" t="s">
        <v>969</v>
      </c>
      <c r="X159" s="13" t="s">
        <v>969</v>
      </c>
      <c r="Y159" s="13" t="s">
        <v>1106</v>
      </c>
      <c r="Z159" s="13" t="s">
        <v>503</v>
      </c>
      <c r="AA159" s="131">
        <v>40589.4</v>
      </c>
      <c r="AB159" s="131">
        <v>0</v>
      </c>
      <c r="AC159" s="132">
        <v>40589.4</v>
      </c>
      <c r="AD159" s="132"/>
      <c r="AE159" s="29">
        <v>0</v>
      </c>
      <c r="AF159" s="29">
        <f t="shared" si="70"/>
        <v>0</v>
      </c>
      <c r="AG159" s="25">
        <v>0.12</v>
      </c>
      <c r="AH159" s="29">
        <f t="shared" si="71"/>
        <v>0</v>
      </c>
      <c r="AI159" s="29">
        <f t="shared" si="76"/>
        <v>0</v>
      </c>
      <c r="AJ159" s="29">
        <f t="shared" si="64"/>
        <v>0</v>
      </c>
      <c r="AK159" s="29"/>
      <c r="AL159" s="29"/>
      <c r="AM159" s="29"/>
      <c r="AN159" s="75"/>
      <c r="AO159" s="76"/>
      <c r="AP159" s="75"/>
      <c r="AQ159" s="76"/>
      <c r="AR159" s="76"/>
      <c r="AS159" s="76"/>
      <c r="AT159" s="76"/>
      <c r="AU159" s="76"/>
      <c r="AV159" s="76"/>
      <c r="AW159" s="76"/>
      <c r="AX159" s="76"/>
      <c r="AY159" s="76"/>
      <c r="AZ159" s="76"/>
      <c r="BA159" s="76"/>
      <c r="BB159" s="76"/>
      <c r="BC159" s="76"/>
      <c r="BD159" s="76"/>
      <c r="BE159" s="76"/>
      <c r="BF159" s="29">
        <f t="shared" si="79"/>
        <v>0</v>
      </c>
      <c r="BG159" s="29">
        <f t="shared" si="73"/>
        <v>0</v>
      </c>
      <c r="BH159" s="37" t="s">
        <v>594</v>
      </c>
      <c r="BI159" s="29" t="s">
        <v>570</v>
      </c>
      <c r="BJ159" s="29" t="s">
        <v>570</v>
      </c>
      <c r="BK159" s="29" t="s">
        <v>570</v>
      </c>
      <c r="BL159" s="29" t="s">
        <v>570</v>
      </c>
      <c r="BM159" s="29" t="s">
        <v>570</v>
      </c>
      <c r="BN159" s="23">
        <v>42384</v>
      </c>
      <c r="BO159" s="23">
        <v>42389</v>
      </c>
      <c r="BP159" s="23">
        <v>42394</v>
      </c>
      <c r="BQ159" s="23">
        <v>42415</v>
      </c>
      <c r="BR159" s="13" t="s">
        <v>570</v>
      </c>
      <c r="BS159" s="23">
        <v>42445</v>
      </c>
      <c r="BT159" s="23">
        <v>42453</v>
      </c>
      <c r="BU159" s="13" t="s">
        <v>570</v>
      </c>
      <c r="BV159" s="13" t="s">
        <v>570</v>
      </c>
      <c r="BW159" s="224" t="s">
        <v>570</v>
      </c>
      <c r="BX159" s="23">
        <v>42493</v>
      </c>
      <c r="BY159" s="13" t="s">
        <v>570</v>
      </c>
      <c r="BZ159" s="23">
        <v>42535</v>
      </c>
      <c r="CA159" s="23">
        <v>42557</v>
      </c>
      <c r="CB159" s="224" t="s">
        <v>570</v>
      </c>
      <c r="CC159" s="224" t="s">
        <v>570</v>
      </c>
      <c r="CD159" s="224" t="s">
        <v>570</v>
      </c>
      <c r="CE159" s="127" t="s">
        <v>829</v>
      </c>
      <c r="CF159" s="127" t="s">
        <v>829</v>
      </c>
      <c r="CG159" s="23" t="s">
        <v>830</v>
      </c>
      <c r="CH159" s="127" t="s">
        <v>829</v>
      </c>
      <c r="CI159" s="127" t="s">
        <v>829</v>
      </c>
      <c r="CJ159" s="23" t="s">
        <v>830</v>
      </c>
      <c r="CK159" s="127" t="s">
        <v>829</v>
      </c>
      <c r="CL159" s="127" t="s">
        <v>829</v>
      </c>
      <c r="CM159" s="127" t="s">
        <v>829</v>
      </c>
      <c r="CN159" s="127" t="s">
        <v>829</v>
      </c>
      <c r="CO159" s="127" t="s">
        <v>829</v>
      </c>
      <c r="CP159" s="13" t="s">
        <v>570</v>
      </c>
      <c r="CQ159" s="127" t="s">
        <v>829</v>
      </c>
      <c r="CR159" s="127" t="s">
        <v>829</v>
      </c>
      <c r="CS159" s="13" t="s">
        <v>570</v>
      </c>
      <c r="CT159" s="65" t="s">
        <v>452</v>
      </c>
      <c r="CU159" s="25">
        <v>0.05</v>
      </c>
      <c r="CV159" s="23">
        <v>42599</v>
      </c>
      <c r="CW159" s="30"/>
      <c r="CX159" s="13"/>
      <c r="CY159" s="2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31">
        <f t="shared" si="74"/>
        <v>0</v>
      </c>
      <c r="DZ159" s="13"/>
      <c r="EA159" s="13"/>
      <c r="EB159" s="13"/>
      <c r="EC159" s="13"/>
      <c r="ED159" s="13"/>
      <c r="EE159" s="13"/>
      <c r="EF159" s="13"/>
      <c r="EG159" s="24">
        <v>120</v>
      </c>
      <c r="EH159" s="13" t="s">
        <v>588</v>
      </c>
      <c r="EI159" s="23">
        <v>42600</v>
      </c>
      <c r="EJ159" s="23">
        <f t="shared" si="80"/>
        <v>42720</v>
      </c>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25"/>
      <c r="FI159" s="25"/>
      <c r="FJ159" s="25"/>
      <c r="FK159" s="25"/>
      <c r="FL159" s="25"/>
      <c r="FM159" s="25"/>
      <c r="FN159" s="25"/>
      <c r="FO159" s="25"/>
      <c r="FP159" s="25"/>
      <c r="FQ159" s="25">
        <v>0.69</v>
      </c>
      <c r="FR159" s="25" t="s">
        <v>1249</v>
      </c>
      <c r="FS159" s="25">
        <v>1</v>
      </c>
      <c r="FT159" s="25">
        <v>1</v>
      </c>
      <c r="FU159" s="25">
        <v>1</v>
      </c>
      <c r="FV159" s="25">
        <v>1</v>
      </c>
      <c r="FW159" s="25">
        <v>1</v>
      </c>
      <c r="FX159" s="25">
        <v>1</v>
      </c>
      <c r="FY159" s="25">
        <v>1</v>
      </c>
      <c r="FZ159" s="25">
        <v>1</v>
      </c>
      <c r="GA159" s="25">
        <v>1</v>
      </c>
      <c r="GB159" s="25">
        <v>1</v>
      </c>
      <c r="GC159" s="25">
        <v>1</v>
      </c>
      <c r="GD159" s="25">
        <v>1</v>
      </c>
      <c r="GE159" s="25">
        <v>1</v>
      </c>
      <c r="GF159" s="25">
        <v>1</v>
      </c>
      <c r="GG159" s="25">
        <v>1</v>
      </c>
      <c r="GH159" s="25">
        <v>1</v>
      </c>
      <c r="GI159" s="25">
        <v>1</v>
      </c>
      <c r="GJ159" s="25">
        <v>1</v>
      </c>
      <c r="GK159" s="25">
        <v>1</v>
      </c>
      <c r="GL159" s="25">
        <v>1</v>
      </c>
      <c r="GM159" s="25">
        <v>1</v>
      </c>
      <c r="GN159" s="25">
        <v>1</v>
      </c>
      <c r="GO159" s="25">
        <v>1</v>
      </c>
      <c r="GP159" s="25">
        <v>1</v>
      </c>
      <c r="GQ159" s="25">
        <v>1</v>
      </c>
      <c r="GR159" s="25">
        <v>1</v>
      </c>
      <c r="GS159" s="25">
        <v>1</v>
      </c>
      <c r="GT159" s="25">
        <v>1</v>
      </c>
      <c r="GU159" s="25">
        <v>1</v>
      </c>
      <c r="GV159" s="25" t="s">
        <v>455</v>
      </c>
      <c r="GW159" s="25" t="s">
        <v>455</v>
      </c>
      <c r="GX159" s="25" t="s">
        <v>455</v>
      </c>
      <c r="GY159" s="25" t="s">
        <v>455</v>
      </c>
      <c r="GZ159" s="25" t="s">
        <v>455</v>
      </c>
      <c r="HA159" s="25" t="s">
        <v>455</v>
      </c>
      <c r="HB159" s="25" t="s">
        <v>455</v>
      </c>
      <c r="HC159" s="25" t="s">
        <v>455</v>
      </c>
      <c r="HD159" s="25" t="s">
        <v>455</v>
      </c>
      <c r="HE159" s="25" t="s">
        <v>455</v>
      </c>
      <c r="HF159" s="25" t="s">
        <v>455</v>
      </c>
      <c r="HG159" s="25" t="s">
        <v>455</v>
      </c>
      <c r="HH159" s="25" t="s">
        <v>455</v>
      </c>
      <c r="HI159" s="25"/>
      <c r="HJ159" s="25"/>
      <c r="HK159" s="25"/>
      <c r="HL159" s="25"/>
      <c r="HM159" s="25"/>
      <c r="HN159" s="25"/>
      <c r="HO159" s="25"/>
      <c r="HP159" s="25"/>
      <c r="HQ159" s="25"/>
      <c r="HR159" s="25"/>
      <c r="HS159" s="25"/>
      <c r="HT159" s="25"/>
      <c r="HU159" s="43" t="s">
        <v>339</v>
      </c>
      <c r="HV159" s="43"/>
      <c r="HW159" s="32"/>
      <c r="HX159" s="23">
        <v>42368</v>
      </c>
      <c r="HY159" s="55"/>
      <c r="HZ159" s="55"/>
      <c r="IA159" s="55"/>
      <c r="IB159" s="55"/>
      <c r="IC159" s="55"/>
      <c r="ID159" s="55"/>
      <c r="IE159" s="55"/>
      <c r="IF159" s="107">
        <v>0</v>
      </c>
      <c r="IG159" s="107"/>
      <c r="IH159" s="250">
        <f t="shared" si="81"/>
        <v>0</v>
      </c>
      <c r="II159" s="55"/>
      <c r="IJ159" s="55"/>
      <c r="IK159" s="55"/>
      <c r="IL159" s="55"/>
      <c r="IM159" s="55"/>
      <c r="IN159" s="55"/>
      <c r="IO159" s="55"/>
      <c r="IP159" s="55"/>
      <c r="IQ159" s="55"/>
      <c r="IR159" s="55"/>
      <c r="IS159" s="55"/>
      <c r="IT159" s="55"/>
      <c r="IU159" s="55"/>
      <c r="IV159" s="55"/>
      <c r="IW159" s="55"/>
      <c r="IX159" s="55"/>
      <c r="IY159" s="55"/>
      <c r="IZ159" s="55"/>
      <c r="JA159" s="55"/>
      <c r="JB159" s="55"/>
      <c r="JC159" s="55"/>
      <c r="JD159" s="55">
        <v>2016</v>
      </c>
    </row>
    <row r="160" spans="1:265" s="5" customFormat="1" ht="24.95" hidden="1" customHeight="1">
      <c r="A160" s="26" t="s">
        <v>19</v>
      </c>
      <c r="B160" s="26" t="s">
        <v>27</v>
      </c>
      <c r="C160" s="13" t="s">
        <v>349</v>
      </c>
      <c r="D160" s="13" t="s">
        <v>380</v>
      </c>
      <c r="E160" s="16" t="s">
        <v>350</v>
      </c>
      <c r="F160" s="13" t="s">
        <v>350</v>
      </c>
      <c r="G160" s="39" t="s">
        <v>354</v>
      </c>
      <c r="H160" s="39" t="s">
        <v>1580</v>
      </c>
      <c r="I160" s="313" t="s">
        <v>994</v>
      </c>
      <c r="J160" s="40"/>
      <c r="K160" s="49" t="s">
        <v>375</v>
      </c>
      <c r="L160" s="26" t="s">
        <v>153</v>
      </c>
      <c r="M160" s="313" t="s">
        <v>154</v>
      </c>
      <c r="N160" s="313" t="s">
        <v>1931</v>
      </c>
      <c r="O160" s="13" t="s">
        <v>3</v>
      </c>
      <c r="P160" s="13" t="s">
        <v>4</v>
      </c>
      <c r="Q160" s="22" t="s">
        <v>1678</v>
      </c>
      <c r="R160" s="22"/>
      <c r="S160" s="13"/>
      <c r="T160" s="13"/>
      <c r="U160" s="13"/>
      <c r="V160" s="13"/>
      <c r="W160" s="13"/>
      <c r="X160" s="13"/>
      <c r="Y160" s="13"/>
      <c r="Z160" s="13"/>
      <c r="AA160" s="37"/>
      <c r="AB160" s="68">
        <f>31525.9-31525.9</f>
        <v>0</v>
      </c>
      <c r="AC160" s="29">
        <v>0</v>
      </c>
      <c r="AD160" s="37"/>
      <c r="AE160" s="29">
        <v>0</v>
      </c>
      <c r="AF160" s="29">
        <f t="shared" si="70"/>
        <v>0</v>
      </c>
      <c r="AG160" s="25">
        <v>0.12</v>
      </c>
      <c r="AH160" s="29">
        <f t="shared" si="71"/>
        <v>0</v>
      </c>
      <c r="AI160" s="29">
        <f t="shared" si="76"/>
        <v>0</v>
      </c>
      <c r="AJ160" s="29">
        <f t="shared" si="64"/>
        <v>0</v>
      </c>
      <c r="AK160" s="29"/>
      <c r="AL160" s="29"/>
      <c r="AM160" s="29"/>
      <c r="AN160" s="37"/>
      <c r="AO160" s="37"/>
      <c r="AP160" s="37"/>
      <c r="AQ160" s="37"/>
      <c r="AR160" s="37"/>
      <c r="AS160" s="37"/>
      <c r="AT160" s="37"/>
      <c r="AU160" s="37"/>
      <c r="AV160" s="37"/>
      <c r="AW160" s="37"/>
      <c r="AX160" s="37"/>
      <c r="AY160" s="37"/>
      <c r="AZ160" s="37"/>
      <c r="BA160" s="37"/>
      <c r="BB160" s="37"/>
      <c r="BC160" s="37"/>
      <c r="BD160" s="37"/>
      <c r="BE160" s="37"/>
      <c r="BF160" s="37"/>
      <c r="BG160" s="29">
        <f t="shared" si="73"/>
        <v>0</v>
      </c>
      <c r="BH160" s="37" t="s">
        <v>594</v>
      </c>
      <c r="BI160" s="29" t="s">
        <v>570</v>
      </c>
      <c r="BJ160" s="29" t="s">
        <v>570</v>
      </c>
      <c r="BK160" s="29" t="s">
        <v>570</v>
      </c>
      <c r="BL160" s="29" t="s">
        <v>570</v>
      </c>
      <c r="BM160" s="29" t="s">
        <v>570</v>
      </c>
      <c r="BN160" s="23">
        <v>42384</v>
      </c>
      <c r="BO160" s="23">
        <v>42389</v>
      </c>
      <c r="BP160" s="23">
        <v>42394</v>
      </c>
      <c r="BQ160" s="23">
        <v>42415</v>
      </c>
      <c r="BR160" s="13" t="s">
        <v>570</v>
      </c>
      <c r="BS160" s="23">
        <v>42445</v>
      </c>
      <c r="BT160" s="23">
        <v>42453</v>
      </c>
      <c r="BU160" s="13" t="s">
        <v>570</v>
      </c>
      <c r="BV160" s="13" t="s">
        <v>570</v>
      </c>
      <c r="BW160" s="224" t="s">
        <v>570</v>
      </c>
      <c r="BX160" s="13" t="s">
        <v>570</v>
      </c>
      <c r="BY160" s="23">
        <v>42493</v>
      </c>
      <c r="BZ160" s="13" t="s">
        <v>570</v>
      </c>
      <c r="CA160" s="13" t="s">
        <v>570</v>
      </c>
      <c r="CB160" s="224" t="s">
        <v>570</v>
      </c>
      <c r="CC160" s="224" t="s">
        <v>570</v>
      </c>
      <c r="CD160" s="224" t="s">
        <v>570</v>
      </c>
      <c r="CE160" s="127" t="s">
        <v>829</v>
      </c>
      <c r="CF160" s="127" t="s">
        <v>829</v>
      </c>
      <c r="CG160" s="13" t="s">
        <v>830</v>
      </c>
      <c r="CH160" s="127" t="s">
        <v>829</v>
      </c>
      <c r="CI160" s="127" t="s">
        <v>829</v>
      </c>
      <c r="CJ160" s="13" t="s">
        <v>830</v>
      </c>
      <c r="CK160" s="127" t="s">
        <v>829</v>
      </c>
      <c r="CL160" s="127" t="s">
        <v>829</v>
      </c>
      <c r="CM160" s="13" t="s">
        <v>830</v>
      </c>
      <c r="CN160" s="127" t="s">
        <v>829</v>
      </c>
      <c r="CO160" s="13" t="s">
        <v>570</v>
      </c>
      <c r="CP160" s="127" t="s">
        <v>829</v>
      </c>
      <c r="CQ160" s="13" t="s">
        <v>570</v>
      </c>
      <c r="CR160" s="13" t="s">
        <v>570</v>
      </c>
      <c r="CS160" s="13" t="s">
        <v>570</v>
      </c>
      <c r="CT160" s="37" t="s">
        <v>452</v>
      </c>
      <c r="CU160" s="25">
        <v>0.05</v>
      </c>
      <c r="CV160" s="23"/>
      <c r="CW160" s="30"/>
      <c r="CX160" s="13"/>
      <c r="CY160" s="2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31">
        <f t="shared" si="74"/>
        <v>0</v>
      </c>
      <c r="DZ160" s="13"/>
      <c r="EA160" s="13"/>
      <c r="EB160" s="13"/>
      <c r="EC160" s="13"/>
      <c r="ED160" s="13"/>
      <c r="EE160" s="13"/>
      <c r="EF160" s="13"/>
      <c r="EG160" s="24">
        <v>150</v>
      </c>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25"/>
      <c r="GD160" s="25"/>
      <c r="GE160" s="25"/>
      <c r="GF160" s="25"/>
      <c r="GG160" s="25"/>
      <c r="GH160" s="25"/>
      <c r="GI160" s="25"/>
      <c r="GJ160" s="25"/>
      <c r="GK160" s="25"/>
      <c r="GL160" s="25"/>
      <c r="GM160" s="25"/>
      <c r="GN160" s="25"/>
      <c r="GO160" s="25"/>
      <c r="GP160" s="25"/>
      <c r="GQ160" s="25"/>
      <c r="GR160" s="25"/>
      <c r="GS160" s="25"/>
      <c r="GT160" s="25"/>
      <c r="GU160" s="25"/>
      <c r="GV160" s="25" t="s">
        <v>1588</v>
      </c>
      <c r="GW160" s="25" t="s">
        <v>1588</v>
      </c>
      <c r="GX160" s="25" t="s">
        <v>1588</v>
      </c>
      <c r="GY160" s="25" t="s">
        <v>1588</v>
      </c>
      <c r="GZ160" s="25" t="s">
        <v>1588</v>
      </c>
      <c r="HA160" s="25" t="s">
        <v>1588</v>
      </c>
      <c r="HB160" s="25" t="s">
        <v>1588</v>
      </c>
      <c r="HC160" s="25" t="s">
        <v>1588</v>
      </c>
      <c r="HD160" s="25" t="s">
        <v>1588</v>
      </c>
      <c r="HE160" s="25" t="s">
        <v>1588</v>
      </c>
      <c r="HF160" s="25" t="s">
        <v>1588</v>
      </c>
      <c r="HG160" s="25" t="s">
        <v>1588</v>
      </c>
      <c r="HH160" s="25" t="s">
        <v>1588</v>
      </c>
      <c r="HI160" s="25"/>
      <c r="HJ160" s="25"/>
      <c r="HK160" s="25"/>
      <c r="HL160" s="25" t="s">
        <v>1697</v>
      </c>
      <c r="HM160" s="25" t="s">
        <v>1697</v>
      </c>
      <c r="HN160" s="25"/>
      <c r="HO160" s="25"/>
      <c r="HP160" s="25"/>
      <c r="HQ160" s="25"/>
      <c r="HR160" s="25"/>
      <c r="HS160" s="25"/>
      <c r="HT160" s="25"/>
      <c r="HU160" s="13" t="s">
        <v>1097</v>
      </c>
      <c r="HV160" s="13"/>
      <c r="HW160" s="78"/>
      <c r="HX160" s="23">
        <v>42368</v>
      </c>
      <c r="HY160" s="55"/>
      <c r="HZ160" s="55"/>
      <c r="IA160" s="55"/>
      <c r="IB160" s="55"/>
      <c r="IC160" s="55"/>
      <c r="ID160" s="55"/>
      <c r="IE160" s="55"/>
      <c r="IF160" s="107">
        <v>31525.9</v>
      </c>
      <c r="IG160" s="107"/>
      <c r="IH160" s="250">
        <f t="shared" si="81"/>
        <v>0</v>
      </c>
      <c r="II160" s="55"/>
      <c r="IJ160" s="55"/>
      <c r="IK160" s="55"/>
      <c r="IL160" s="55"/>
      <c r="IM160" s="55"/>
      <c r="IN160" s="55"/>
      <c r="IO160" s="55"/>
      <c r="IP160" s="55"/>
      <c r="IQ160" s="55"/>
      <c r="IR160" s="55"/>
      <c r="IS160" s="55"/>
      <c r="IT160" s="55"/>
      <c r="IU160" s="55"/>
      <c r="IV160" s="55"/>
      <c r="IW160" s="55"/>
      <c r="IX160" s="55"/>
      <c r="IY160" s="55"/>
      <c r="IZ160" s="55"/>
      <c r="JA160" s="55"/>
      <c r="JB160" s="55"/>
      <c r="JC160" s="55"/>
      <c r="JD160" s="55"/>
      <c r="JE160" s="5" t="s">
        <v>2013</v>
      </c>
    </row>
    <row r="161" spans="1:264" s="106" customFormat="1" ht="24.95" hidden="1" customHeight="1">
      <c r="A161" s="315" t="s">
        <v>19</v>
      </c>
      <c r="B161" s="315" t="s">
        <v>27</v>
      </c>
      <c r="C161" s="13" t="s">
        <v>349</v>
      </c>
      <c r="D161" s="13" t="s">
        <v>380</v>
      </c>
      <c r="E161" s="16" t="s">
        <v>350</v>
      </c>
      <c r="F161" s="13" t="s">
        <v>350</v>
      </c>
      <c r="G161" s="39" t="s">
        <v>354</v>
      </c>
      <c r="H161" s="39" t="s">
        <v>1580</v>
      </c>
      <c r="I161" s="313" t="s">
        <v>995</v>
      </c>
      <c r="J161" s="40">
        <v>19</v>
      </c>
      <c r="K161" s="49" t="s">
        <v>375</v>
      </c>
      <c r="L161" s="315" t="s">
        <v>153</v>
      </c>
      <c r="M161" s="345" t="s">
        <v>154</v>
      </c>
      <c r="N161" s="345" t="s">
        <v>1932</v>
      </c>
      <c r="O161" s="346" t="s">
        <v>3</v>
      </c>
      <c r="P161" s="346" t="s">
        <v>4</v>
      </c>
      <c r="Q161" s="347" t="s">
        <v>1118</v>
      </c>
      <c r="R161" s="22" t="s">
        <v>1107</v>
      </c>
      <c r="S161" s="13" t="s">
        <v>592</v>
      </c>
      <c r="T161" s="13" t="s">
        <v>1387</v>
      </c>
      <c r="U161" s="13" t="s">
        <v>479</v>
      </c>
      <c r="V161" s="24">
        <v>1792131286001</v>
      </c>
      <c r="W161" s="13" t="s">
        <v>969</v>
      </c>
      <c r="X161" s="13" t="s">
        <v>969</v>
      </c>
      <c r="Y161" s="13" t="s">
        <v>1106</v>
      </c>
      <c r="Z161" s="13" t="s">
        <v>503</v>
      </c>
      <c r="AA161" s="37"/>
      <c r="AB161" s="356">
        <f>1574528.37-266805.44</f>
        <v>1307722.9300000002</v>
      </c>
      <c r="AC161" s="357">
        <v>1574528.37</v>
      </c>
      <c r="AD161" s="357">
        <v>1574528.37</v>
      </c>
      <c r="AE161" s="348">
        <v>0</v>
      </c>
      <c r="AF161" s="348">
        <f t="shared" si="70"/>
        <v>1574528.37</v>
      </c>
      <c r="AG161" s="349">
        <v>0.12</v>
      </c>
      <c r="AH161" s="348">
        <f t="shared" si="71"/>
        <v>188943.4044</v>
      </c>
      <c r="AI161" s="348">
        <f t="shared" si="76"/>
        <v>0</v>
      </c>
      <c r="AJ161" s="348">
        <f t="shared" si="64"/>
        <v>1763471.7744000002</v>
      </c>
      <c r="AK161" s="348">
        <v>1307722.93</v>
      </c>
      <c r="AL161" s="348">
        <f>AB161-AK161</f>
        <v>0</v>
      </c>
      <c r="AM161" s="29"/>
      <c r="AN161" s="37"/>
      <c r="AO161" s="37">
        <v>1624528.43</v>
      </c>
      <c r="AP161" s="37"/>
      <c r="AQ161" s="37">
        <v>1564814.8</v>
      </c>
      <c r="AR161" s="37"/>
      <c r="AS161" s="37"/>
      <c r="AT161" s="37"/>
      <c r="AU161" s="37"/>
      <c r="AV161" s="37"/>
      <c r="AW161" s="37"/>
      <c r="AX161" s="37"/>
      <c r="AY161" s="37"/>
      <c r="AZ161" s="37"/>
      <c r="BA161" s="37"/>
      <c r="BB161" s="37"/>
      <c r="BC161" s="37"/>
      <c r="BD161" s="37"/>
      <c r="BE161" s="37"/>
      <c r="BF161" s="29">
        <f>AB161-AQ161</f>
        <v>-257091.86999999988</v>
      </c>
      <c r="BG161" s="29">
        <f t="shared" si="73"/>
        <v>-257091.86999999988</v>
      </c>
      <c r="BH161" s="37" t="s">
        <v>594</v>
      </c>
      <c r="BI161" s="29" t="s">
        <v>570</v>
      </c>
      <c r="BJ161" s="29" t="s">
        <v>570</v>
      </c>
      <c r="BK161" s="29" t="s">
        <v>570</v>
      </c>
      <c r="BL161" s="29" t="s">
        <v>570</v>
      </c>
      <c r="BM161" s="29" t="s">
        <v>570</v>
      </c>
      <c r="BN161" s="23">
        <v>42384</v>
      </c>
      <c r="BO161" s="23">
        <v>42389</v>
      </c>
      <c r="BP161" s="23">
        <v>42394</v>
      </c>
      <c r="BQ161" s="23">
        <v>42415</v>
      </c>
      <c r="BR161" s="13" t="s">
        <v>570</v>
      </c>
      <c r="BS161" s="23">
        <v>42445</v>
      </c>
      <c r="BT161" s="23">
        <v>42453</v>
      </c>
      <c r="BU161" s="13" t="s">
        <v>570</v>
      </c>
      <c r="BV161" s="13" t="s">
        <v>570</v>
      </c>
      <c r="BW161" s="224" t="s">
        <v>570</v>
      </c>
      <c r="BX161" s="23">
        <v>42493</v>
      </c>
      <c r="BY161" s="13" t="s">
        <v>570</v>
      </c>
      <c r="BZ161" s="23">
        <v>42535</v>
      </c>
      <c r="CA161" s="23">
        <v>42558</v>
      </c>
      <c r="CB161" s="224" t="s">
        <v>570</v>
      </c>
      <c r="CC161" s="224" t="s">
        <v>570</v>
      </c>
      <c r="CD161" s="224" t="s">
        <v>570</v>
      </c>
      <c r="CE161" s="127" t="s">
        <v>829</v>
      </c>
      <c r="CF161" s="127" t="s">
        <v>829</v>
      </c>
      <c r="CG161" s="13" t="s">
        <v>830</v>
      </c>
      <c r="CH161" s="127" t="s">
        <v>829</v>
      </c>
      <c r="CI161" s="127" t="s">
        <v>829</v>
      </c>
      <c r="CJ161" s="13" t="s">
        <v>830</v>
      </c>
      <c r="CK161" s="127" t="s">
        <v>829</v>
      </c>
      <c r="CL161" s="127" t="s">
        <v>829</v>
      </c>
      <c r="CM161" s="13" t="s">
        <v>830</v>
      </c>
      <c r="CN161" s="127" t="s">
        <v>829</v>
      </c>
      <c r="CO161" s="127" t="s">
        <v>829</v>
      </c>
      <c r="CP161" s="13" t="s">
        <v>570</v>
      </c>
      <c r="CQ161" s="127" t="s">
        <v>829</v>
      </c>
      <c r="CR161" s="127" t="s">
        <v>829</v>
      </c>
      <c r="CS161" s="13" t="s">
        <v>570</v>
      </c>
      <c r="CT161" s="37" t="s">
        <v>452</v>
      </c>
      <c r="CU161" s="25">
        <v>0.05</v>
      </c>
      <c r="CV161" s="23">
        <v>42618</v>
      </c>
      <c r="CW161" s="30">
        <f>AQ161*0.5</f>
        <v>782407.4</v>
      </c>
      <c r="CX161" s="134" t="s">
        <v>1480</v>
      </c>
      <c r="CY161" s="99">
        <v>42846</v>
      </c>
      <c r="CZ161" s="79">
        <v>221654.72999999992</v>
      </c>
      <c r="DA161" s="134" t="s">
        <v>1481</v>
      </c>
      <c r="DB161" s="99">
        <v>42852</v>
      </c>
      <c r="DC161" s="79">
        <v>221654.72999999992</v>
      </c>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31">
        <f t="shared" si="74"/>
        <v>1225716.8599999999</v>
      </c>
      <c r="DZ161" s="13"/>
      <c r="EA161" s="13"/>
      <c r="EB161" s="13"/>
      <c r="EC161" s="13"/>
      <c r="ED161" s="13"/>
      <c r="EE161" s="13"/>
      <c r="EF161" s="13"/>
      <c r="EG161" s="24">
        <v>150</v>
      </c>
      <c r="EH161" s="13" t="s">
        <v>588</v>
      </c>
      <c r="EI161" s="23">
        <f>CV161+1</f>
        <v>42619</v>
      </c>
      <c r="EJ161" s="23">
        <f>EI161+EG161</f>
        <v>42769</v>
      </c>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25" t="s">
        <v>1250</v>
      </c>
      <c r="FT161" s="25" t="s">
        <v>1251</v>
      </c>
      <c r="FU161" s="25">
        <v>0.3508</v>
      </c>
      <c r="FV161" s="25">
        <v>0.89</v>
      </c>
      <c r="FW161" s="25">
        <v>0.97</v>
      </c>
      <c r="FX161" s="25">
        <v>1</v>
      </c>
      <c r="FY161" s="25">
        <v>1</v>
      </c>
      <c r="FZ161" s="25">
        <v>1</v>
      </c>
      <c r="GA161" s="25">
        <v>1</v>
      </c>
      <c r="GB161" s="25">
        <v>1</v>
      </c>
      <c r="GC161" s="25">
        <v>1</v>
      </c>
      <c r="GD161" s="25">
        <v>1</v>
      </c>
      <c r="GE161" s="25">
        <v>1</v>
      </c>
      <c r="GF161" s="25">
        <v>1</v>
      </c>
      <c r="GG161" s="25">
        <v>1</v>
      </c>
      <c r="GH161" s="25">
        <v>1</v>
      </c>
      <c r="GI161" s="25">
        <v>1</v>
      </c>
      <c r="GJ161" s="25">
        <v>1</v>
      </c>
      <c r="GK161" s="25">
        <v>1</v>
      </c>
      <c r="GL161" s="25">
        <v>1</v>
      </c>
      <c r="GM161" s="25">
        <v>1</v>
      </c>
      <c r="GN161" s="25">
        <v>1</v>
      </c>
      <c r="GO161" s="25">
        <v>1</v>
      </c>
      <c r="GP161" s="25">
        <v>1</v>
      </c>
      <c r="GQ161" s="25">
        <v>1</v>
      </c>
      <c r="GR161" s="25">
        <v>1</v>
      </c>
      <c r="GS161" s="25">
        <v>1</v>
      </c>
      <c r="GT161" s="349">
        <v>1</v>
      </c>
      <c r="GU161" s="349">
        <v>1</v>
      </c>
      <c r="GV161" s="25" t="s">
        <v>455</v>
      </c>
      <c r="GW161" s="25" t="s">
        <v>455</v>
      </c>
      <c r="GX161" s="25" t="s">
        <v>455</v>
      </c>
      <c r="GY161" s="25" t="s">
        <v>455</v>
      </c>
      <c r="GZ161" s="25" t="s">
        <v>455</v>
      </c>
      <c r="HA161" s="25" t="s">
        <v>455</v>
      </c>
      <c r="HB161" s="25" t="s">
        <v>455</v>
      </c>
      <c r="HC161" s="25" t="s">
        <v>455</v>
      </c>
      <c r="HD161" s="25" t="s">
        <v>455</v>
      </c>
      <c r="HE161" s="25" t="s">
        <v>455</v>
      </c>
      <c r="HF161" s="25" t="s">
        <v>455</v>
      </c>
      <c r="HG161" s="349" t="s">
        <v>455</v>
      </c>
      <c r="HH161" s="349" t="s">
        <v>455</v>
      </c>
      <c r="HI161" s="25"/>
      <c r="HJ161" s="25"/>
      <c r="HK161" s="25"/>
      <c r="HL161" s="25"/>
      <c r="HM161" s="25"/>
      <c r="HN161" s="25"/>
      <c r="HO161" s="25"/>
      <c r="HP161" s="25"/>
      <c r="HQ161" s="25"/>
      <c r="HR161" s="25"/>
      <c r="HS161" s="349"/>
      <c r="HT161" s="349"/>
      <c r="HU161" s="362" t="s">
        <v>670</v>
      </c>
      <c r="HV161" s="346"/>
      <c r="HW161" s="363"/>
      <c r="HX161" s="352">
        <v>42368</v>
      </c>
      <c r="HY161" s="353"/>
      <c r="HZ161" s="353"/>
      <c r="IA161" s="353"/>
      <c r="IB161" s="353"/>
      <c r="IC161" s="353"/>
      <c r="ID161" s="353"/>
      <c r="IE161" s="353"/>
      <c r="IF161" s="107">
        <v>1574528.37</v>
      </c>
      <c r="IG161" s="107">
        <v>1307722.93</v>
      </c>
      <c r="IH161" s="354">
        <f t="shared" si="81"/>
        <v>0</v>
      </c>
      <c r="II161" s="353"/>
      <c r="IJ161" s="353"/>
      <c r="IK161" s="353"/>
      <c r="IL161" s="353"/>
      <c r="IM161" s="353"/>
      <c r="IN161" s="353"/>
      <c r="IO161" s="353"/>
      <c r="IP161" s="353"/>
      <c r="IQ161" s="353"/>
      <c r="IR161" s="353"/>
      <c r="IS161" s="353"/>
      <c r="IT161" s="353"/>
      <c r="IU161" s="353"/>
      <c r="IV161" s="353"/>
      <c r="IW161" s="353"/>
      <c r="IX161" s="353"/>
      <c r="IY161" s="55"/>
      <c r="IZ161" s="55"/>
      <c r="JA161" s="55"/>
      <c r="JB161" s="55"/>
      <c r="JC161" s="55"/>
      <c r="JD161" s="353">
        <v>2017</v>
      </c>
    </row>
    <row r="162" spans="1:264" s="5" customFormat="1" ht="60.75" hidden="1" customHeight="1">
      <c r="A162" s="26" t="s">
        <v>19</v>
      </c>
      <c r="B162" s="26" t="s">
        <v>27</v>
      </c>
      <c r="C162" s="13" t="s">
        <v>349</v>
      </c>
      <c r="D162" s="13" t="s">
        <v>380</v>
      </c>
      <c r="E162" s="13" t="s">
        <v>360</v>
      </c>
      <c r="F162" s="13" t="s">
        <v>360</v>
      </c>
      <c r="G162" s="39" t="s">
        <v>354</v>
      </c>
      <c r="H162" s="39" t="s">
        <v>1580</v>
      </c>
      <c r="I162" s="313" t="s">
        <v>1992</v>
      </c>
      <c r="J162" s="40">
        <v>20</v>
      </c>
      <c r="K162" s="49" t="s">
        <v>375</v>
      </c>
      <c r="L162" s="26" t="s">
        <v>1988</v>
      </c>
      <c r="M162" s="20" t="s">
        <v>1994</v>
      </c>
      <c r="N162" s="20"/>
      <c r="O162" s="13" t="s">
        <v>3</v>
      </c>
      <c r="P162" s="13" t="s">
        <v>4</v>
      </c>
      <c r="Q162" s="22" t="s">
        <v>547</v>
      </c>
      <c r="R162" s="22"/>
      <c r="S162" s="13"/>
      <c r="T162" s="13" t="s">
        <v>1387</v>
      </c>
      <c r="U162" s="13"/>
      <c r="V162" s="24"/>
      <c r="W162" s="13"/>
      <c r="X162" s="13"/>
      <c r="Y162" s="13"/>
      <c r="Z162" s="13"/>
      <c r="AA162" s="37">
        <v>146911.29</v>
      </c>
      <c r="AB162" s="68"/>
      <c r="AC162" s="37">
        <v>0</v>
      </c>
      <c r="AD162" s="37"/>
      <c r="AE162" s="29">
        <v>8817.3700000000008</v>
      </c>
      <c r="AF162" s="29"/>
      <c r="AG162" s="25"/>
      <c r="AH162" s="29"/>
      <c r="AI162" s="29">
        <f t="shared" si="76"/>
        <v>1058.0844</v>
      </c>
      <c r="AJ162" s="29"/>
      <c r="AK162" s="29"/>
      <c r="AL162" s="29"/>
      <c r="AM162" s="29"/>
      <c r="AN162" s="37"/>
      <c r="AO162" s="37"/>
      <c r="AP162" s="37"/>
      <c r="AQ162" s="37"/>
      <c r="AR162" s="37"/>
      <c r="AS162" s="37"/>
      <c r="AT162" s="37"/>
      <c r="AU162" s="37"/>
      <c r="AV162" s="37"/>
      <c r="AW162" s="37"/>
      <c r="AX162" s="37"/>
      <c r="AY162" s="37"/>
      <c r="AZ162" s="37"/>
      <c r="BA162" s="37"/>
      <c r="BB162" s="37"/>
      <c r="BC162" s="37"/>
      <c r="BD162" s="37"/>
      <c r="BE162" s="37"/>
      <c r="BF162" s="29"/>
      <c r="BG162" s="29"/>
      <c r="BH162" s="37"/>
      <c r="BI162" s="29"/>
      <c r="BJ162" s="29"/>
      <c r="BK162" s="29"/>
      <c r="BL162" s="29"/>
      <c r="BM162" s="29"/>
      <c r="BN162" s="23"/>
      <c r="BO162" s="23"/>
      <c r="BP162" s="23"/>
      <c r="BQ162" s="23"/>
      <c r="BR162" s="13"/>
      <c r="BS162" s="23"/>
      <c r="BT162" s="23"/>
      <c r="BU162" s="13"/>
      <c r="BV162" s="13"/>
      <c r="BW162" s="224"/>
      <c r="BX162" s="23"/>
      <c r="BY162" s="13"/>
      <c r="BZ162" s="23"/>
      <c r="CA162" s="23"/>
      <c r="CB162" s="224"/>
      <c r="CC162" s="224"/>
      <c r="CD162" s="224"/>
      <c r="CE162" s="127"/>
      <c r="CF162" s="127"/>
      <c r="CG162" s="13"/>
      <c r="CH162" s="127"/>
      <c r="CI162" s="127"/>
      <c r="CJ162" s="13"/>
      <c r="CK162" s="127"/>
      <c r="CL162" s="127"/>
      <c r="CM162" s="13"/>
      <c r="CN162" s="127"/>
      <c r="CO162" s="127"/>
      <c r="CP162" s="13"/>
      <c r="CQ162" s="127"/>
      <c r="CR162" s="127"/>
      <c r="CS162" s="13"/>
      <c r="CT162" s="37"/>
      <c r="CU162" s="25"/>
      <c r="CV162" s="23"/>
      <c r="CW162" s="30"/>
      <c r="CX162" s="134"/>
      <c r="CY162" s="99"/>
      <c r="CZ162" s="79"/>
      <c r="DA162" s="134"/>
      <c r="DB162" s="99"/>
      <c r="DC162" s="79"/>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31"/>
      <c r="DZ162" s="13"/>
      <c r="EA162" s="13"/>
      <c r="EB162" s="13"/>
      <c r="EC162" s="13"/>
      <c r="ED162" s="13"/>
      <c r="EE162" s="13"/>
      <c r="EF162" s="13"/>
      <c r="EG162" s="24"/>
      <c r="EH162" s="13"/>
      <c r="EI162" s="23"/>
      <c r="EJ162" s="2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t="s">
        <v>2060</v>
      </c>
      <c r="HS162" s="25"/>
      <c r="HT162" s="25"/>
      <c r="HU162" s="16"/>
      <c r="HV162" s="13"/>
      <c r="HW162" s="78"/>
      <c r="HX162" s="23"/>
      <c r="HY162" s="55"/>
      <c r="HZ162" s="55"/>
      <c r="IA162" s="55"/>
      <c r="IB162" s="55"/>
      <c r="IC162" s="55"/>
      <c r="ID162" s="55"/>
      <c r="IE162" s="55"/>
      <c r="IF162" s="107"/>
      <c r="IG162" s="107"/>
      <c r="IH162" s="250"/>
      <c r="II162" s="55"/>
      <c r="IJ162" s="55"/>
      <c r="IK162" s="55"/>
      <c r="IL162" s="55"/>
      <c r="IM162" s="55"/>
      <c r="IN162" s="55"/>
      <c r="IO162" s="55"/>
      <c r="IP162" s="55"/>
      <c r="IQ162" s="55"/>
      <c r="IR162" s="55"/>
      <c r="IS162" s="55"/>
      <c r="IT162" s="55"/>
      <c r="IU162" s="55"/>
      <c r="IV162" s="55"/>
      <c r="IW162" s="55"/>
      <c r="IX162" s="55"/>
      <c r="IY162" s="55"/>
      <c r="IZ162" s="55"/>
      <c r="JA162" s="55"/>
      <c r="JB162" s="55"/>
      <c r="JC162" s="55"/>
      <c r="JD162" s="55">
        <v>2020</v>
      </c>
    </row>
    <row r="163" spans="1:264" s="5" customFormat="1" ht="60.75" hidden="1" customHeight="1">
      <c r="A163" s="26" t="s">
        <v>19</v>
      </c>
      <c r="B163" s="26" t="s">
        <v>27</v>
      </c>
      <c r="C163" s="13" t="s">
        <v>349</v>
      </c>
      <c r="D163" s="13" t="s">
        <v>380</v>
      </c>
      <c r="E163" s="13" t="s">
        <v>360</v>
      </c>
      <c r="F163" s="13" t="s">
        <v>360</v>
      </c>
      <c r="G163" s="39" t="s">
        <v>354</v>
      </c>
      <c r="H163" s="39" t="s">
        <v>1580</v>
      </c>
      <c r="I163" s="313" t="s">
        <v>1990</v>
      </c>
      <c r="J163" s="40">
        <v>20</v>
      </c>
      <c r="K163" s="49" t="s">
        <v>375</v>
      </c>
      <c r="L163" s="26" t="s">
        <v>1988</v>
      </c>
      <c r="M163" s="20" t="s">
        <v>1989</v>
      </c>
      <c r="N163" s="20"/>
      <c r="O163" s="13" t="s">
        <v>3</v>
      </c>
      <c r="P163" s="13" t="s">
        <v>4</v>
      </c>
      <c r="Q163" s="22" t="s">
        <v>547</v>
      </c>
      <c r="R163" s="22"/>
      <c r="S163" s="13"/>
      <c r="T163" s="13" t="s">
        <v>1387</v>
      </c>
      <c r="U163" s="13"/>
      <c r="V163" s="24"/>
      <c r="W163" s="13"/>
      <c r="X163" s="13"/>
      <c r="Y163" s="13"/>
      <c r="Z163" s="13"/>
      <c r="AA163" s="37">
        <v>132537.88</v>
      </c>
      <c r="AB163" s="68"/>
      <c r="AC163" s="37">
        <v>0</v>
      </c>
      <c r="AD163" s="37"/>
      <c r="AE163" s="29">
        <v>19797.87</v>
      </c>
      <c r="AF163" s="29"/>
      <c r="AG163" s="25"/>
      <c r="AH163" s="29"/>
      <c r="AI163" s="29">
        <f t="shared" si="76"/>
        <v>2375.7443999999996</v>
      </c>
      <c r="AJ163" s="29"/>
      <c r="AK163" s="29"/>
      <c r="AL163" s="29"/>
      <c r="AM163" s="29"/>
      <c r="AN163" s="37"/>
      <c r="AO163" s="37"/>
      <c r="AP163" s="37"/>
      <c r="AQ163" s="37"/>
      <c r="AR163" s="37"/>
      <c r="AS163" s="37"/>
      <c r="AT163" s="37"/>
      <c r="AU163" s="37"/>
      <c r="AV163" s="37"/>
      <c r="AW163" s="37"/>
      <c r="AX163" s="37"/>
      <c r="AY163" s="37"/>
      <c r="AZ163" s="37"/>
      <c r="BA163" s="37"/>
      <c r="BB163" s="37"/>
      <c r="BC163" s="37"/>
      <c r="BD163" s="37"/>
      <c r="BE163" s="37"/>
      <c r="BF163" s="29"/>
      <c r="BG163" s="29"/>
      <c r="BH163" s="37"/>
      <c r="BI163" s="29"/>
      <c r="BJ163" s="29"/>
      <c r="BK163" s="29"/>
      <c r="BL163" s="29"/>
      <c r="BM163" s="29"/>
      <c r="BN163" s="23"/>
      <c r="BO163" s="23"/>
      <c r="BP163" s="23"/>
      <c r="BQ163" s="23"/>
      <c r="BR163" s="13"/>
      <c r="BS163" s="23"/>
      <c r="BT163" s="23"/>
      <c r="BU163" s="13"/>
      <c r="BV163" s="13"/>
      <c r="BW163" s="224"/>
      <c r="BX163" s="23"/>
      <c r="BY163" s="13"/>
      <c r="BZ163" s="23"/>
      <c r="CA163" s="23"/>
      <c r="CB163" s="224"/>
      <c r="CC163" s="224"/>
      <c r="CD163" s="224"/>
      <c r="CE163" s="127"/>
      <c r="CF163" s="127"/>
      <c r="CG163" s="13"/>
      <c r="CH163" s="127"/>
      <c r="CI163" s="127"/>
      <c r="CJ163" s="13"/>
      <c r="CK163" s="127"/>
      <c r="CL163" s="127"/>
      <c r="CM163" s="13"/>
      <c r="CN163" s="127"/>
      <c r="CO163" s="127"/>
      <c r="CP163" s="13"/>
      <c r="CQ163" s="127"/>
      <c r="CR163" s="127"/>
      <c r="CS163" s="13"/>
      <c r="CT163" s="37"/>
      <c r="CU163" s="25"/>
      <c r="CV163" s="23"/>
      <c r="CW163" s="30"/>
      <c r="CX163" s="134"/>
      <c r="CY163" s="99"/>
      <c r="CZ163" s="79"/>
      <c r="DA163" s="134"/>
      <c r="DB163" s="99"/>
      <c r="DC163" s="79"/>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31"/>
      <c r="DZ163" s="13"/>
      <c r="EA163" s="13"/>
      <c r="EB163" s="13"/>
      <c r="EC163" s="13"/>
      <c r="ED163" s="13"/>
      <c r="EE163" s="13"/>
      <c r="EF163" s="13"/>
      <c r="EG163" s="24"/>
      <c r="EH163" s="13"/>
      <c r="EI163" s="23"/>
      <c r="EJ163" s="2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t="s">
        <v>2060</v>
      </c>
      <c r="HS163" s="25"/>
      <c r="HT163" s="25"/>
      <c r="HU163" s="16"/>
      <c r="HV163" s="13"/>
      <c r="HW163" s="78"/>
      <c r="HX163" s="23"/>
      <c r="HY163" s="55"/>
      <c r="HZ163" s="55"/>
      <c r="IA163" s="55"/>
      <c r="IB163" s="55"/>
      <c r="IC163" s="55"/>
      <c r="ID163" s="55"/>
      <c r="IE163" s="55"/>
      <c r="IF163" s="107"/>
      <c r="IG163" s="107"/>
      <c r="IH163" s="250"/>
      <c r="II163" s="55"/>
      <c r="IJ163" s="55"/>
      <c r="IK163" s="55"/>
      <c r="IL163" s="55"/>
      <c r="IM163" s="55"/>
      <c r="IN163" s="55"/>
      <c r="IO163" s="55"/>
      <c r="IP163" s="55"/>
      <c r="IQ163" s="55"/>
      <c r="IR163" s="55"/>
      <c r="IS163" s="55"/>
      <c r="IT163" s="55"/>
      <c r="IU163" s="55"/>
      <c r="IV163" s="55"/>
      <c r="IW163" s="55"/>
      <c r="IX163" s="55"/>
      <c r="IY163" s="55"/>
      <c r="IZ163" s="55"/>
      <c r="JA163" s="55"/>
      <c r="JB163" s="55"/>
      <c r="JC163" s="55"/>
      <c r="JD163" s="55">
        <v>2020</v>
      </c>
    </row>
    <row r="164" spans="1:264" s="5" customFormat="1" ht="60.75" hidden="1" customHeight="1">
      <c r="A164" s="26" t="s">
        <v>19</v>
      </c>
      <c r="B164" s="26" t="s">
        <v>27</v>
      </c>
      <c r="C164" s="13" t="s">
        <v>349</v>
      </c>
      <c r="D164" s="13" t="s">
        <v>380</v>
      </c>
      <c r="E164" s="13" t="s">
        <v>360</v>
      </c>
      <c r="F164" s="13" t="s">
        <v>360</v>
      </c>
      <c r="G164" s="39" t="s">
        <v>354</v>
      </c>
      <c r="H164" s="39" t="s">
        <v>1580</v>
      </c>
      <c r="I164" s="313" t="s">
        <v>1991</v>
      </c>
      <c r="J164" s="40">
        <v>20</v>
      </c>
      <c r="K164" s="49" t="s">
        <v>375</v>
      </c>
      <c r="L164" s="26" t="s">
        <v>1988</v>
      </c>
      <c r="M164" s="20" t="s">
        <v>1989</v>
      </c>
      <c r="N164" s="20"/>
      <c r="O164" s="13" t="s">
        <v>3</v>
      </c>
      <c r="P164" s="13" t="s">
        <v>4</v>
      </c>
      <c r="Q164" s="22" t="s">
        <v>547</v>
      </c>
      <c r="R164" s="22"/>
      <c r="S164" s="13"/>
      <c r="T164" s="13" t="s">
        <v>1387</v>
      </c>
      <c r="U164" s="13"/>
      <c r="V164" s="24"/>
      <c r="W164" s="13"/>
      <c r="X164" s="13"/>
      <c r="Y164" s="13"/>
      <c r="Z164" s="13"/>
      <c r="AA164" s="37">
        <v>42830.080000000002</v>
      </c>
      <c r="AB164" s="68"/>
      <c r="AC164" s="37">
        <v>0</v>
      </c>
      <c r="AD164" s="37"/>
      <c r="AE164" s="29">
        <v>17128.91</v>
      </c>
      <c r="AF164" s="29"/>
      <c r="AG164" s="25"/>
      <c r="AH164" s="29"/>
      <c r="AI164" s="29">
        <f t="shared" si="76"/>
        <v>2055.4692</v>
      </c>
      <c r="AJ164" s="29"/>
      <c r="AK164" s="29"/>
      <c r="AL164" s="29"/>
      <c r="AM164" s="29"/>
      <c r="AN164" s="37"/>
      <c r="AO164" s="37"/>
      <c r="AP164" s="37"/>
      <c r="AQ164" s="37"/>
      <c r="AR164" s="37"/>
      <c r="AS164" s="37"/>
      <c r="AT164" s="37"/>
      <c r="AU164" s="37"/>
      <c r="AV164" s="37"/>
      <c r="AW164" s="37"/>
      <c r="AX164" s="37"/>
      <c r="AY164" s="37"/>
      <c r="AZ164" s="37"/>
      <c r="BA164" s="37"/>
      <c r="BB164" s="37"/>
      <c r="BC164" s="37"/>
      <c r="BD164" s="37"/>
      <c r="BE164" s="37"/>
      <c r="BF164" s="29"/>
      <c r="BG164" s="29"/>
      <c r="BH164" s="37"/>
      <c r="BI164" s="29"/>
      <c r="BJ164" s="29"/>
      <c r="BK164" s="29"/>
      <c r="BL164" s="29"/>
      <c r="BM164" s="29"/>
      <c r="BN164" s="23"/>
      <c r="BO164" s="23"/>
      <c r="BP164" s="23"/>
      <c r="BQ164" s="23"/>
      <c r="BR164" s="13"/>
      <c r="BS164" s="23"/>
      <c r="BT164" s="23"/>
      <c r="BU164" s="13"/>
      <c r="BV164" s="13"/>
      <c r="BW164" s="224"/>
      <c r="BX164" s="23"/>
      <c r="BY164" s="13"/>
      <c r="BZ164" s="23"/>
      <c r="CA164" s="23"/>
      <c r="CB164" s="224"/>
      <c r="CC164" s="224"/>
      <c r="CD164" s="224"/>
      <c r="CE164" s="127"/>
      <c r="CF164" s="127"/>
      <c r="CG164" s="13"/>
      <c r="CH164" s="127"/>
      <c r="CI164" s="127"/>
      <c r="CJ164" s="13"/>
      <c r="CK164" s="127"/>
      <c r="CL164" s="127"/>
      <c r="CM164" s="13"/>
      <c r="CN164" s="127"/>
      <c r="CO164" s="127"/>
      <c r="CP164" s="13"/>
      <c r="CQ164" s="127"/>
      <c r="CR164" s="127"/>
      <c r="CS164" s="13"/>
      <c r="CT164" s="37"/>
      <c r="CU164" s="25"/>
      <c r="CV164" s="23"/>
      <c r="CW164" s="30"/>
      <c r="CX164" s="134"/>
      <c r="CY164" s="99"/>
      <c r="CZ164" s="79"/>
      <c r="DA164" s="134"/>
      <c r="DB164" s="99"/>
      <c r="DC164" s="79"/>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31"/>
      <c r="DZ164" s="13"/>
      <c r="EA164" s="13"/>
      <c r="EB164" s="13"/>
      <c r="EC164" s="13"/>
      <c r="ED164" s="13"/>
      <c r="EE164" s="13"/>
      <c r="EF164" s="13"/>
      <c r="EG164" s="24"/>
      <c r="EH164" s="13"/>
      <c r="EI164" s="23"/>
      <c r="EJ164" s="2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t="s">
        <v>2060</v>
      </c>
      <c r="HS164" s="25"/>
      <c r="HT164" s="25"/>
      <c r="HU164" s="16"/>
      <c r="HV164" s="13"/>
      <c r="HW164" s="78"/>
      <c r="HX164" s="23"/>
      <c r="HY164" s="55"/>
      <c r="HZ164" s="55"/>
      <c r="IA164" s="55"/>
      <c r="IB164" s="55"/>
      <c r="IC164" s="55"/>
      <c r="ID164" s="55"/>
      <c r="IE164" s="55"/>
      <c r="IF164" s="107"/>
      <c r="IG164" s="107"/>
      <c r="IH164" s="250"/>
      <c r="II164" s="55"/>
      <c r="IJ164" s="55"/>
      <c r="IK164" s="55"/>
      <c r="IL164" s="55"/>
      <c r="IM164" s="55"/>
      <c r="IN164" s="55"/>
      <c r="IO164" s="55"/>
      <c r="IP164" s="55"/>
      <c r="IQ164" s="55"/>
      <c r="IR164" s="55"/>
      <c r="IS164" s="55"/>
      <c r="IT164" s="55"/>
      <c r="IU164" s="55"/>
      <c r="IV164" s="55"/>
      <c r="IW164" s="55"/>
      <c r="IX164" s="55"/>
      <c r="IY164" s="55"/>
      <c r="IZ164" s="55"/>
      <c r="JA164" s="55"/>
      <c r="JB164" s="55"/>
      <c r="JC164" s="55"/>
      <c r="JD164" s="55">
        <v>2020</v>
      </c>
    </row>
    <row r="165" spans="1:264" s="5" customFormat="1" ht="60.75" hidden="1" customHeight="1">
      <c r="A165" s="26" t="s">
        <v>19</v>
      </c>
      <c r="B165" s="26" t="s">
        <v>27</v>
      </c>
      <c r="C165" s="13" t="s">
        <v>349</v>
      </c>
      <c r="D165" s="13" t="s">
        <v>380</v>
      </c>
      <c r="E165" s="13" t="s">
        <v>360</v>
      </c>
      <c r="F165" s="13" t="s">
        <v>360</v>
      </c>
      <c r="G165" s="39" t="s">
        <v>354</v>
      </c>
      <c r="H165" s="39" t="s">
        <v>1580</v>
      </c>
      <c r="I165" s="313" t="s">
        <v>1993</v>
      </c>
      <c r="J165" s="40">
        <v>20</v>
      </c>
      <c r="K165" s="49" t="s">
        <v>375</v>
      </c>
      <c r="L165" s="26" t="s">
        <v>1988</v>
      </c>
      <c r="M165" s="20" t="s">
        <v>1989</v>
      </c>
      <c r="N165" s="20"/>
      <c r="O165" s="13" t="s">
        <v>3</v>
      </c>
      <c r="P165" s="13" t="s">
        <v>4</v>
      </c>
      <c r="Q165" s="22" t="s">
        <v>547</v>
      </c>
      <c r="R165" s="22"/>
      <c r="S165" s="13"/>
      <c r="T165" s="13" t="s">
        <v>1387</v>
      </c>
      <c r="U165" s="13"/>
      <c r="V165" s="24"/>
      <c r="W165" s="13"/>
      <c r="X165" s="13"/>
      <c r="Y165" s="13"/>
      <c r="Z165" s="13"/>
      <c r="AA165" s="37">
        <v>13090.56</v>
      </c>
      <c r="AB165" s="68"/>
      <c r="AC165" s="37">
        <v>0</v>
      </c>
      <c r="AD165" s="37"/>
      <c r="AE165" s="29">
        <v>4898.12</v>
      </c>
      <c r="AF165" s="29"/>
      <c r="AG165" s="25"/>
      <c r="AH165" s="29"/>
      <c r="AI165" s="29">
        <f t="shared" si="76"/>
        <v>587.77440000000001</v>
      </c>
      <c r="AJ165" s="29"/>
      <c r="AK165" s="29"/>
      <c r="AL165" s="29"/>
      <c r="AM165" s="29"/>
      <c r="AN165" s="37"/>
      <c r="AO165" s="37"/>
      <c r="AP165" s="37"/>
      <c r="AQ165" s="37"/>
      <c r="AR165" s="37"/>
      <c r="AS165" s="37"/>
      <c r="AT165" s="37"/>
      <c r="AU165" s="37"/>
      <c r="AV165" s="37"/>
      <c r="AW165" s="37"/>
      <c r="AX165" s="37"/>
      <c r="AY165" s="37"/>
      <c r="AZ165" s="37"/>
      <c r="BA165" s="37"/>
      <c r="BB165" s="37"/>
      <c r="BC165" s="37"/>
      <c r="BD165" s="37"/>
      <c r="BE165" s="37"/>
      <c r="BF165" s="29"/>
      <c r="BG165" s="29"/>
      <c r="BH165" s="37"/>
      <c r="BI165" s="29"/>
      <c r="BJ165" s="29"/>
      <c r="BK165" s="29"/>
      <c r="BL165" s="29"/>
      <c r="BM165" s="29"/>
      <c r="BN165" s="23"/>
      <c r="BO165" s="23"/>
      <c r="BP165" s="23"/>
      <c r="BQ165" s="23"/>
      <c r="BR165" s="13"/>
      <c r="BS165" s="23"/>
      <c r="BT165" s="23"/>
      <c r="BU165" s="13"/>
      <c r="BV165" s="13"/>
      <c r="BW165" s="224"/>
      <c r="BX165" s="23"/>
      <c r="BY165" s="13"/>
      <c r="BZ165" s="23"/>
      <c r="CA165" s="23"/>
      <c r="CB165" s="224"/>
      <c r="CC165" s="224"/>
      <c r="CD165" s="224"/>
      <c r="CE165" s="127"/>
      <c r="CF165" s="127"/>
      <c r="CG165" s="13"/>
      <c r="CH165" s="127"/>
      <c r="CI165" s="127"/>
      <c r="CJ165" s="13"/>
      <c r="CK165" s="127"/>
      <c r="CL165" s="127"/>
      <c r="CM165" s="13"/>
      <c r="CN165" s="127"/>
      <c r="CO165" s="127"/>
      <c r="CP165" s="13"/>
      <c r="CQ165" s="127"/>
      <c r="CR165" s="127"/>
      <c r="CS165" s="13"/>
      <c r="CT165" s="37"/>
      <c r="CU165" s="25"/>
      <c r="CV165" s="23"/>
      <c r="CW165" s="30"/>
      <c r="CX165" s="134"/>
      <c r="CY165" s="99"/>
      <c r="CZ165" s="79"/>
      <c r="DA165" s="134"/>
      <c r="DB165" s="99"/>
      <c r="DC165" s="79"/>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31"/>
      <c r="DZ165" s="13"/>
      <c r="EA165" s="13"/>
      <c r="EB165" s="13"/>
      <c r="EC165" s="13"/>
      <c r="ED165" s="13"/>
      <c r="EE165" s="13"/>
      <c r="EF165" s="13"/>
      <c r="EG165" s="24"/>
      <c r="EH165" s="13"/>
      <c r="EI165" s="23"/>
      <c r="EJ165" s="2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t="s">
        <v>2060</v>
      </c>
      <c r="HS165" s="25"/>
      <c r="HT165" s="25"/>
      <c r="HU165" s="16"/>
      <c r="HV165" s="13"/>
      <c r="HW165" s="78"/>
      <c r="HX165" s="23"/>
      <c r="HY165" s="55"/>
      <c r="HZ165" s="55"/>
      <c r="IA165" s="55"/>
      <c r="IB165" s="55"/>
      <c r="IC165" s="55"/>
      <c r="ID165" s="55"/>
      <c r="IE165" s="55"/>
      <c r="IF165" s="107"/>
      <c r="IG165" s="107"/>
      <c r="IH165" s="250"/>
      <c r="II165" s="55"/>
      <c r="IJ165" s="55"/>
      <c r="IK165" s="55"/>
      <c r="IL165" s="55"/>
      <c r="IM165" s="55"/>
      <c r="IN165" s="55"/>
      <c r="IO165" s="55"/>
      <c r="IP165" s="55"/>
      <c r="IQ165" s="55"/>
      <c r="IR165" s="55"/>
      <c r="IS165" s="55"/>
      <c r="IT165" s="55"/>
      <c r="IU165" s="55"/>
      <c r="IV165" s="55"/>
      <c r="IW165" s="55"/>
      <c r="IX165" s="55"/>
      <c r="IY165" s="55"/>
      <c r="IZ165" s="55"/>
      <c r="JA165" s="55"/>
      <c r="JB165" s="55"/>
      <c r="JC165" s="55"/>
      <c r="JD165" s="55">
        <v>2020</v>
      </c>
    </row>
    <row r="166" spans="1:264" s="5" customFormat="1" ht="60.75" hidden="1" customHeight="1">
      <c r="A166" s="26" t="s">
        <v>19</v>
      </c>
      <c r="B166" s="26" t="s">
        <v>27</v>
      </c>
      <c r="C166" s="13" t="s">
        <v>349</v>
      </c>
      <c r="D166" s="13" t="s">
        <v>380</v>
      </c>
      <c r="E166" s="13" t="s">
        <v>360</v>
      </c>
      <c r="F166" s="13" t="s">
        <v>360</v>
      </c>
      <c r="G166" s="39" t="s">
        <v>354</v>
      </c>
      <c r="H166" s="39" t="s">
        <v>1580</v>
      </c>
      <c r="I166" s="313" t="s">
        <v>1995</v>
      </c>
      <c r="J166" s="40">
        <v>20</v>
      </c>
      <c r="K166" s="49" t="s">
        <v>375</v>
      </c>
      <c r="L166" s="26" t="s">
        <v>1988</v>
      </c>
      <c r="M166" s="20" t="s">
        <v>1989</v>
      </c>
      <c r="N166" s="20"/>
      <c r="O166" s="13" t="s">
        <v>3</v>
      </c>
      <c r="P166" s="13" t="s">
        <v>4</v>
      </c>
      <c r="Q166" s="22" t="s">
        <v>547</v>
      </c>
      <c r="R166" s="22"/>
      <c r="S166" s="13"/>
      <c r="T166" s="13" t="s">
        <v>1387</v>
      </c>
      <c r="U166" s="13"/>
      <c r="V166" s="24"/>
      <c r="W166" s="13"/>
      <c r="X166" s="13"/>
      <c r="Y166" s="13"/>
      <c r="Z166" s="13"/>
      <c r="AA166" s="37">
        <v>23773.759999999998</v>
      </c>
      <c r="AB166" s="68"/>
      <c r="AC166" s="37">
        <v>0</v>
      </c>
      <c r="AD166" s="37"/>
      <c r="AE166" s="29">
        <v>10118.98</v>
      </c>
      <c r="AF166" s="29"/>
      <c r="AG166" s="25"/>
      <c r="AH166" s="29"/>
      <c r="AI166" s="29">
        <f t="shared" si="76"/>
        <v>1214.2775999999999</v>
      </c>
      <c r="AJ166" s="29"/>
      <c r="AK166" s="29"/>
      <c r="AL166" s="29"/>
      <c r="AM166" s="29"/>
      <c r="AN166" s="37"/>
      <c r="AO166" s="37"/>
      <c r="AP166" s="37"/>
      <c r="AQ166" s="37"/>
      <c r="AR166" s="37"/>
      <c r="AS166" s="37"/>
      <c r="AT166" s="37"/>
      <c r="AU166" s="37"/>
      <c r="AV166" s="37"/>
      <c r="AW166" s="37"/>
      <c r="AX166" s="37"/>
      <c r="AY166" s="37"/>
      <c r="AZ166" s="37"/>
      <c r="BA166" s="37"/>
      <c r="BB166" s="37"/>
      <c r="BC166" s="37"/>
      <c r="BD166" s="37"/>
      <c r="BE166" s="37"/>
      <c r="BF166" s="29"/>
      <c r="BG166" s="29"/>
      <c r="BH166" s="37"/>
      <c r="BI166" s="29"/>
      <c r="BJ166" s="29"/>
      <c r="BK166" s="29"/>
      <c r="BL166" s="29"/>
      <c r="BM166" s="29"/>
      <c r="BN166" s="23"/>
      <c r="BO166" s="23"/>
      <c r="BP166" s="23"/>
      <c r="BQ166" s="23"/>
      <c r="BR166" s="13"/>
      <c r="BS166" s="23"/>
      <c r="BT166" s="23"/>
      <c r="BU166" s="13"/>
      <c r="BV166" s="13"/>
      <c r="BW166" s="224"/>
      <c r="BX166" s="23"/>
      <c r="BY166" s="13"/>
      <c r="BZ166" s="23"/>
      <c r="CA166" s="23"/>
      <c r="CB166" s="224"/>
      <c r="CC166" s="224"/>
      <c r="CD166" s="224"/>
      <c r="CE166" s="127"/>
      <c r="CF166" s="127"/>
      <c r="CG166" s="13"/>
      <c r="CH166" s="127"/>
      <c r="CI166" s="127"/>
      <c r="CJ166" s="13"/>
      <c r="CK166" s="127"/>
      <c r="CL166" s="127"/>
      <c r="CM166" s="13"/>
      <c r="CN166" s="127"/>
      <c r="CO166" s="127"/>
      <c r="CP166" s="13"/>
      <c r="CQ166" s="127"/>
      <c r="CR166" s="127"/>
      <c r="CS166" s="13"/>
      <c r="CT166" s="37"/>
      <c r="CU166" s="25"/>
      <c r="CV166" s="23"/>
      <c r="CW166" s="30"/>
      <c r="CX166" s="134"/>
      <c r="CY166" s="99"/>
      <c r="CZ166" s="79"/>
      <c r="DA166" s="134"/>
      <c r="DB166" s="99"/>
      <c r="DC166" s="79"/>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31"/>
      <c r="DZ166" s="13"/>
      <c r="EA166" s="13"/>
      <c r="EB166" s="13"/>
      <c r="EC166" s="13"/>
      <c r="ED166" s="13"/>
      <c r="EE166" s="13"/>
      <c r="EF166" s="13"/>
      <c r="EG166" s="24"/>
      <c r="EH166" s="13"/>
      <c r="EI166" s="23"/>
      <c r="EJ166" s="2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t="s">
        <v>2060</v>
      </c>
      <c r="HS166" s="25"/>
      <c r="HT166" s="25"/>
      <c r="HU166" s="16"/>
      <c r="HV166" s="13"/>
      <c r="HW166" s="78"/>
      <c r="HX166" s="23"/>
      <c r="HY166" s="55"/>
      <c r="HZ166" s="55"/>
      <c r="IA166" s="55"/>
      <c r="IB166" s="55"/>
      <c r="IC166" s="55"/>
      <c r="ID166" s="55"/>
      <c r="IE166" s="55"/>
      <c r="IF166" s="107"/>
      <c r="IG166" s="107"/>
      <c r="IH166" s="250"/>
      <c r="II166" s="55"/>
      <c r="IJ166" s="55"/>
      <c r="IK166" s="55"/>
      <c r="IL166" s="55"/>
      <c r="IM166" s="55"/>
      <c r="IN166" s="55"/>
      <c r="IO166" s="55"/>
      <c r="IP166" s="55"/>
      <c r="IQ166" s="55"/>
      <c r="IR166" s="55"/>
      <c r="IS166" s="55"/>
      <c r="IT166" s="55"/>
      <c r="IU166" s="55"/>
      <c r="IV166" s="55"/>
      <c r="IW166" s="55"/>
      <c r="IX166" s="55"/>
      <c r="IY166" s="55"/>
      <c r="IZ166" s="55"/>
      <c r="JA166" s="55"/>
      <c r="JB166" s="55"/>
      <c r="JC166" s="55"/>
      <c r="JD166" s="55">
        <v>2020</v>
      </c>
    </row>
    <row r="167" spans="1:264" s="5" customFormat="1" ht="60.75" hidden="1" customHeight="1">
      <c r="A167" s="26" t="s">
        <v>19</v>
      </c>
      <c r="B167" s="26" t="s">
        <v>27</v>
      </c>
      <c r="C167" s="13" t="s">
        <v>349</v>
      </c>
      <c r="D167" s="13" t="s">
        <v>380</v>
      </c>
      <c r="E167" s="13" t="s">
        <v>360</v>
      </c>
      <c r="F167" s="13" t="s">
        <v>360</v>
      </c>
      <c r="G167" s="39" t="s">
        <v>354</v>
      </c>
      <c r="H167" s="39" t="s">
        <v>1580</v>
      </c>
      <c r="I167" s="313" t="s">
        <v>1996</v>
      </c>
      <c r="J167" s="40">
        <v>20</v>
      </c>
      <c r="K167" s="49" t="s">
        <v>375</v>
      </c>
      <c r="L167" s="26" t="s">
        <v>1988</v>
      </c>
      <c r="M167" s="20" t="s">
        <v>1989</v>
      </c>
      <c r="N167" s="20"/>
      <c r="O167" s="13" t="s">
        <v>3</v>
      </c>
      <c r="P167" s="13" t="s">
        <v>4</v>
      </c>
      <c r="Q167" s="22" t="s">
        <v>547</v>
      </c>
      <c r="R167" s="22"/>
      <c r="S167" s="13"/>
      <c r="T167" s="13" t="s">
        <v>1387</v>
      </c>
      <c r="U167" s="13"/>
      <c r="V167" s="24"/>
      <c r="W167" s="13"/>
      <c r="X167" s="13"/>
      <c r="Y167" s="13"/>
      <c r="Z167" s="13"/>
      <c r="AA167" s="37">
        <v>15243.92</v>
      </c>
      <c r="AB167" s="68"/>
      <c r="AC167" s="37">
        <v>0</v>
      </c>
      <c r="AD167" s="37"/>
      <c r="AE167" s="29">
        <v>6015.22</v>
      </c>
      <c r="AF167" s="29"/>
      <c r="AG167" s="25"/>
      <c r="AH167" s="29"/>
      <c r="AI167" s="29">
        <f t="shared" si="76"/>
        <v>721.82640000000004</v>
      </c>
      <c r="AJ167" s="29"/>
      <c r="AK167" s="29"/>
      <c r="AL167" s="29"/>
      <c r="AM167" s="29"/>
      <c r="AN167" s="37"/>
      <c r="AO167" s="37"/>
      <c r="AP167" s="37"/>
      <c r="AQ167" s="37"/>
      <c r="AR167" s="37"/>
      <c r="AS167" s="37"/>
      <c r="AT167" s="37"/>
      <c r="AU167" s="37"/>
      <c r="AV167" s="37"/>
      <c r="AW167" s="37"/>
      <c r="AX167" s="37"/>
      <c r="AY167" s="37"/>
      <c r="AZ167" s="37"/>
      <c r="BA167" s="37"/>
      <c r="BB167" s="37"/>
      <c r="BC167" s="37"/>
      <c r="BD167" s="37"/>
      <c r="BE167" s="37"/>
      <c r="BF167" s="29"/>
      <c r="BG167" s="29"/>
      <c r="BH167" s="37"/>
      <c r="BI167" s="29"/>
      <c r="BJ167" s="29"/>
      <c r="BK167" s="29"/>
      <c r="BL167" s="29"/>
      <c r="BM167" s="29"/>
      <c r="BN167" s="23"/>
      <c r="BO167" s="23"/>
      <c r="BP167" s="23"/>
      <c r="BQ167" s="23"/>
      <c r="BR167" s="13"/>
      <c r="BS167" s="23"/>
      <c r="BT167" s="23"/>
      <c r="BU167" s="13"/>
      <c r="BV167" s="13"/>
      <c r="BW167" s="224"/>
      <c r="BX167" s="23"/>
      <c r="BY167" s="13"/>
      <c r="BZ167" s="23"/>
      <c r="CA167" s="23"/>
      <c r="CB167" s="224"/>
      <c r="CC167" s="224"/>
      <c r="CD167" s="224"/>
      <c r="CE167" s="127"/>
      <c r="CF167" s="127"/>
      <c r="CG167" s="13"/>
      <c r="CH167" s="127"/>
      <c r="CI167" s="127"/>
      <c r="CJ167" s="13"/>
      <c r="CK167" s="127"/>
      <c r="CL167" s="127"/>
      <c r="CM167" s="13"/>
      <c r="CN167" s="127"/>
      <c r="CO167" s="127"/>
      <c r="CP167" s="13"/>
      <c r="CQ167" s="127"/>
      <c r="CR167" s="127"/>
      <c r="CS167" s="13"/>
      <c r="CT167" s="37"/>
      <c r="CU167" s="25"/>
      <c r="CV167" s="23"/>
      <c r="CW167" s="30"/>
      <c r="CX167" s="134"/>
      <c r="CY167" s="99"/>
      <c r="CZ167" s="79"/>
      <c r="DA167" s="134"/>
      <c r="DB167" s="99"/>
      <c r="DC167" s="79"/>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31"/>
      <c r="DZ167" s="13"/>
      <c r="EA167" s="13"/>
      <c r="EB167" s="13"/>
      <c r="EC167" s="13"/>
      <c r="ED167" s="13"/>
      <c r="EE167" s="13"/>
      <c r="EF167" s="13"/>
      <c r="EG167" s="24"/>
      <c r="EH167" s="13"/>
      <c r="EI167" s="23"/>
      <c r="EJ167" s="2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t="s">
        <v>2060</v>
      </c>
      <c r="HS167" s="25"/>
      <c r="HT167" s="25"/>
      <c r="HU167" s="16"/>
      <c r="HV167" s="13"/>
      <c r="HW167" s="78"/>
      <c r="HX167" s="23"/>
      <c r="HY167" s="55"/>
      <c r="HZ167" s="55"/>
      <c r="IA167" s="55"/>
      <c r="IB167" s="55"/>
      <c r="IC167" s="55"/>
      <c r="ID167" s="55"/>
      <c r="IE167" s="55"/>
      <c r="IF167" s="107"/>
      <c r="IG167" s="107"/>
      <c r="IH167" s="250"/>
      <c r="II167" s="55"/>
      <c r="IJ167" s="55"/>
      <c r="IK167" s="55"/>
      <c r="IL167" s="55"/>
      <c r="IM167" s="55"/>
      <c r="IN167" s="55"/>
      <c r="IO167" s="55"/>
      <c r="IP167" s="55"/>
      <c r="IQ167" s="55"/>
      <c r="IR167" s="55"/>
      <c r="IS167" s="55"/>
      <c r="IT167" s="55"/>
      <c r="IU167" s="55"/>
      <c r="IV167" s="55"/>
      <c r="IW167" s="55"/>
      <c r="IX167" s="55"/>
      <c r="IY167" s="55"/>
      <c r="IZ167" s="55"/>
      <c r="JA167" s="55"/>
      <c r="JB167" s="55"/>
      <c r="JC167" s="55"/>
      <c r="JD167" s="55">
        <v>2020</v>
      </c>
    </row>
    <row r="168" spans="1:264" s="5" customFormat="1" ht="60.75" hidden="1" customHeight="1">
      <c r="A168" s="26" t="s">
        <v>19</v>
      </c>
      <c r="B168" s="26" t="s">
        <v>27</v>
      </c>
      <c r="C168" s="13" t="s">
        <v>349</v>
      </c>
      <c r="D168" s="13" t="s">
        <v>380</v>
      </c>
      <c r="E168" s="13" t="s">
        <v>360</v>
      </c>
      <c r="F168" s="13" t="s">
        <v>360</v>
      </c>
      <c r="G168" s="39" t="s">
        <v>354</v>
      </c>
      <c r="H168" s="39" t="s">
        <v>1580</v>
      </c>
      <c r="I168" s="313" t="s">
        <v>1997</v>
      </c>
      <c r="J168" s="40">
        <v>20</v>
      </c>
      <c r="K168" s="49" t="s">
        <v>375</v>
      </c>
      <c r="L168" s="26" t="s">
        <v>1988</v>
      </c>
      <c r="M168" s="20" t="s">
        <v>1989</v>
      </c>
      <c r="N168" s="20"/>
      <c r="O168" s="13" t="s">
        <v>3</v>
      </c>
      <c r="P168" s="13" t="s">
        <v>4</v>
      </c>
      <c r="Q168" s="22" t="s">
        <v>547</v>
      </c>
      <c r="R168" s="22"/>
      <c r="S168" s="13"/>
      <c r="T168" s="13" t="s">
        <v>1387</v>
      </c>
      <c r="U168" s="13"/>
      <c r="V168" s="24"/>
      <c r="W168" s="13"/>
      <c r="X168" s="13"/>
      <c r="Y168" s="13"/>
      <c r="Z168" s="13"/>
      <c r="AA168" s="37">
        <v>34978.22</v>
      </c>
      <c r="AB168" s="68"/>
      <c r="AC168" s="37">
        <v>0</v>
      </c>
      <c r="AD168" s="37"/>
      <c r="AE168" s="29">
        <v>15069.34</v>
      </c>
      <c r="AF168" s="29"/>
      <c r="AG168" s="25"/>
      <c r="AH168" s="29"/>
      <c r="AI168" s="29">
        <f t="shared" si="76"/>
        <v>1808.3208</v>
      </c>
      <c r="AJ168" s="29"/>
      <c r="AK168" s="29"/>
      <c r="AL168" s="29"/>
      <c r="AM168" s="29"/>
      <c r="AN168" s="37"/>
      <c r="AO168" s="37"/>
      <c r="AP168" s="37"/>
      <c r="AQ168" s="37"/>
      <c r="AR168" s="37"/>
      <c r="AS168" s="37"/>
      <c r="AT168" s="37"/>
      <c r="AU168" s="37"/>
      <c r="AV168" s="37"/>
      <c r="AW168" s="37"/>
      <c r="AX168" s="37"/>
      <c r="AY168" s="37"/>
      <c r="AZ168" s="37"/>
      <c r="BA168" s="37"/>
      <c r="BB168" s="37"/>
      <c r="BC168" s="37"/>
      <c r="BD168" s="37"/>
      <c r="BE168" s="37"/>
      <c r="BF168" s="29"/>
      <c r="BG168" s="29"/>
      <c r="BH168" s="37"/>
      <c r="BI168" s="29"/>
      <c r="BJ168" s="29"/>
      <c r="BK168" s="29"/>
      <c r="BL168" s="29"/>
      <c r="BM168" s="29"/>
      <c r="BN168" s="23"/>
      <c r="BO168" s="23"/>
      <c r="BP168" s="23"/>
      <c r="BQ168" s="23"/>
      <c r="BR168" s="13"/>
      <c r="BS168" s="23"/>
      <c r="BT168" s="23"/>
      <c r="BU168" s="13"/>
      <c r="BV168" s="13"/>
      <c r="BW168" s="224"/>
      <c r="BX168" s="23"/>
      <c r="BY168" s="13"/>
      <c r="BZ168" s="23"/>
      <c r="CA168" s="23"/>
      <c r="CB168" s="224"/>
      <c r="CC168" s="224"/>
      <c r="CD168" s="224"/>
      <c r="CE168" s="127"/>
      <c r="CF168" s="127"/>
      <c r="CG168" s="13"/>
      <c r="CH168" s="127"/>
      <c r="CI168" s="127"/>
      <c r="CJ168" s="13"/>
      <c r="CK168" s="127"/>
      <c r="CL168" s="127"/>
      <c r="CM168" s="13"/>
      <c r="CN168" s="127"/>
      <c r="CO168" s="127"/>
      <c r="CP168" s="13"/>
      <c r="CQ168" s="127"/>
      <c r="CR168" s="127"/>
      <c r="CS168" s="13"/>
      <c r="CT168" s="37"/>
      <c r="CU168" s="25"/>
      <c r="CV168" s="23"/>
      <c r="CW168" s="30"/>
      <c r="CX168" s="134"/>
      <c r="CY168" s="99"/>
      <c r="CZ168" s="79"/>
      <c r="DA168" s="134"/>
      <c r="DB168" s="99"/>
      <c r="DC168" s="79"/>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31"/>
      <c r="DZ168" s="13"/>
      <c r="EA168" s="13"/>
      <c r="EB168" s="13"/>
      <c r="EC168" s="13"/>
      <c r="ED168" s="13"/>
      <c r="EE168" s="13"/>
      <c r="EF168" s="13"/>
      <c r="EG168" s="24"/>
      <c r="EH168" s="13"/>
      <c r="EI168" s="23"/>
      <c r="EJ168" s="2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t="s">
        <v>2060</v>
      </c>
      <c r="HS168" s="25"/>
      <c r="HT168" s="25"/>
      <c r="HU168" s="16"/>
      <c r="HV168" s="13"/>
      <c r="HW168" s="78"/>
      <c r="HX168" s="23"/>
      <c r="HY168" s="55"/>
      <c r="HZ168" s="55"/>
      <c r="IA168" s="55"/>
      <c r="IB168" s="55"/>
      <c r="IC168" s="55"/>
      <c r="ID168" s="55"/>
      <c r="IE168" s="55"/>
      <c r="IF168" s="107"/>
      <c r="IG168" s="107"/>
      <c r="IH168" s="250"/>
      <c r="II168" s="55"/>
      <c r="IJ168" s="55"/>
      <c r="IK168" s="55"/>
      <c r="IL168" s="55"/>
      <c r="IM168" s="55"/>
      <c r="IN168" s="55"/>
      <c r="IO168" s="55"/>
      <c r="IP168" s="55"/>
      <c r="IQ168" s="55"/>
      <c r="IR168" s="55"/>
      <c r="IS168" s="55"/>
      <c r="IT168" s="55"/>
      <c r="IU168" s="55"/>
      <c r="IV168" s="55"/>
      <c r="IW168" s="55"/>
      <c r="IX168" s="55"/>
      <c r="IY168" s="55"/>
      <c r="IZ168" s="55"/>
      <c r="JA168" s="55"/>
      <c r="JB168" s="55"/>
      <c r="JC168" s="55"/>
      <c r="JD168" s="55">
        <v>2020</v>
      </c>
    </row>
    <row r="169" spans="1:264" s="106" customFormat="1" ht="24.95" hidden="1" customHeight="1">
      <c r="A169" s="315" t="s">
        <v>19</v>
      </c>
      <c r="B169" s="315" t="s">
        <v>27</v>
      </c>
      <c r="C169" s="13" t="s">
        <v>349</v>
      </c>
      <c r="D169" s="13" t="s">
        <v>380</v>
      </c>
      <c r="E169" s="16" t="s">
        <v>360</v>
      </c>
      <c r="F169" s="13" t="s">
        <v>360</v>
      </c>
      <c r="G169" s="39" t="s">
        <v>354</v>
      </c>
      <c r="H169" s="39" t="s">
        <v>1580</v>
      </c>
      <c r="I169" s="313" t="s">
        <v>550</v>
      </c>
      <c r="J169" s="40">
        <v>20</v>
      </c>
      <c r="K169" s="49" t="s">
        <v>375</v>
      </c>
      <c r="L169" s="315" t="s">
        <v>549</v>
      </c>
      <c r="M169" s="345" t="s">
        <v>550</v>
      </c>
      <c r="N169" s="345"/>
      <c r="O169" s="346" t="s">
        <v>3</v>
      </c>
      <c r="P169" s="346" t="s">
        <v>4</v>
      </c>
      <c r="Q169" s="347" t="s">
        <v>1118</v>
      </c>
      <c r="R169" s="22" t="s">
        <v>1358</v>
      </c>
      <c r="S169" s="13" t="s">
        <v>1098</v>
      </c>
      <c r="T169" s="13" t="s">
        <v>1387</v>
      </c>
      <c r="U169" s="13" t="s">
        <v>479</v>
      </c>
      <c r="V169" s="13" t="s">
        <v>1099</v>
      </c>
      <c r="W169" s="13"/>
      <c r="X169" s="13"/>
      <c r="Y169" s="13" t="s">
        <v>1359</v>
      </c>
      <c r="Z169" s="13"/>
      <c r="AA169" s="37"/>
      <c r="AB169" s="348">
        <f>23342.01-1952.67</f>
        <v>21389.339999999997</v>
      </c>
      <c r="AC169" s="348">
        <v>0</v>
      </c>
      <c r="AD169" s="348">
        <v>23342.010000000002</v>
      </c>
      <c r="AE169" s="348">
        <v>0</v>
      </c>
      <c r="AF169" s="348">
        <f t="shared" si="70"/>
        <v>23342.010000000002</v>
      </c>
      <c r="AG169" s="349">
        <v>0.12</v>
      </c>
      <c r="AH169" s="348">
        <f t="shared" ref="AH169:AH213" si="82">AD169*0.12</f>
        <v>2801.0412000000001</v>
      </c>
      <c r="AI169" s="348">
        <f t="shared" si="76"/>
        <v>0</v>
      </c>
      <c r="AJ169" s="348">
        <f t="shared" ref="AJ169:AJ213" si="83">AF169*1.12</f>
        <v>26143.051200000005</v>
      </c>
      <c r="AK169" s="348">
        <v>21389.34</v>
      </c>
      <c r="AL169" s="348">
        <f t="shared" ref="AL169:AL183" si="84">AB169-AK169</f>
        <v>0</v>
      </c>
      <c r="AM169" s="29"/>
      <c r="AN169" s="37"/>
      <c r="AO169" s="29">
        <v>23342.010000000002</v>
      </c>
      <c r="AP169" s="37"/>
      <c r="AQ169" s="37">
        <v>21186.03</v>
      </c>
      <c r="AR169" s="25">
        <v>0.14000000000000001</v>
      </c>
      <c r="AS169" s="37">
        <f>AQ169*0.14</f>
        <v>2966.0442000000003</v>
      </c>
      <c r="AT169" s="37">
        <f>AQ169*1.14</f>
        <v>24152.074199999995</v>
      </c>
      <c r="AU169" s="37"/>
      <c r="AV169" s="37"/>
      <c r="AW169" s="37"/>
      <c r="AX169" s="37"/>
      <c r="AY169" s="37"/>
      <c r="AZ169" s="37"/>
      <c r="BA169" s="37"/>
      <c r="BB169" s="37"/>
      <c r="BC169" s="37"/>
      <c r="BD169" s="37"/>
      <c r="BE169" s="37"/>
      <c r="BF169" s="29">
        <f>AB169-AQ169</f>
        <v>203.30999999999767</v>
      </c>
      <c r="BG169" s="29">
        <f t="shared" si="73"/>
        <v>203.30999999999767</v>
      </c>
      <c r="BH169" s="37" t="s">
        <v>594</v>
      </c>
      <c r="BI169" s="29" t="s">
        <v>570</v>
      </c>
      <c r="BJ169" s="29" t="s">
        <v>570</v>
      </c>
      <c r="BK169" s="29" t="s">
        <v>570</v>
      </c>
      <c r="BL169" s="29" t="s">
        <v>570</v>
      </c>
      <c r="BM169" s="29" t="s">
        <v>570</v>
      </c>
      <c r="BN169" s="23">
        <v>42695</v>
      </c>
      <c r="BO169" s="23">
        <v>42699</v>
      </c>
      <c r="BP169" s="23">
        <v>42704</v>
      </c>
      <c r="BQ169" s="23">
        <v>42725</v>
      </c>
      <c r="BR169" s="13"/>
      <c r="BS169" s="23">
        <v>42730</v>
      </c>
      <c r="BT169" s="23">
        <v>42733</v>
      </c>
      <c r="BU169" s="13" t="s">
        <v>570</v>
      </c>
      <c r="BV169" s="13" t="s">
        <v>570</v>
      </c>
      <c r="BW169" s="224" t="s">
        <v>570</v>
      </c>
      <c r="BX169" s="23">
        <v>42782</v>
      </c>
      <c r="BY169" s="13" t="s">
        <v>570</v>
      </c>
      <c r="BZ169" s="23">
        <v>42782</v>
      </c>
      <c r="CA169" s="23">
        <v>42821</v>
      </c>
      <c r="CB169" s="224" t="s">
        <v>570</v>
      </c>
      <c r="CC169" s="224" t="s">
        <v>570</v>
      </c>
      <c r="CD169" s="224" t="s">
        <v>570</v>
      </c>
      <c r="CE169" s="127" t="s">
        <v>829</v>
      </c>
      <c r="CF169" s="127" t="s">
        <v>829</v>
      </c>
      <c r="CG169" s="13" t="s">
        <v>830</v>
      </c>
      <c r="CH169" s="13" t="s">
        <v>830</v>
      </c>
      <c r="CI169" s="13" t="s">
        <v>830</v>
      </c>
      <c r="CJ169" s="13" t="s">
        <v>830</v>
      </c>
      <c r="CK169" s="13" t="s">
        <v>830</v>
      </c>
      <c r="CL169" s="13" t="s">
        <v>830</v>
      </c>
      <c r="CM169" s="13" t="s">
        <v>830</v>
      </c>
      <c r="CN169" s="13" t="s">
        <v>830</v>
      </c>
      <c r="CO169" s="13" t="s">
        <v>503</v>
      </c>
      <c r="CP169" s="13" t="s">
        <v>570</v>
      </c>
      <c r="CQ169" s="13" t="s">
        <v>503</v>
      </c>
      <c r="CR169" s="13" t="s">
        <v>503</v>
      </c>
      <c r="CS169" s="13" t="s">
        <v>570</v>
      </c>
      <c r="CT169" s="37" t="s">
        <v>570</v>
      </c>
      <c r="CU169" s="37" t="s">
        <v>570</v>
      </c>
      <c r="CV169" s="23">
        <v>42852</v>
      </c>
      <c r="CW169" s="30">
        <v>10593.02</v>
      </c>
      <c r="CX169" s="79"/>
      <c r="CY169" s="2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31">
        <f t="shared" si="74"/>
        <v>10593.02</v>
      </c>
      <c r="DZ169" s="13"/>
      <c r="EA169" s="13"/>
      <c r="EB169" s="13"/>
      <c r="EC169" s="13"/>
      <c r="ED169" s="13"/>
      <c r="EE169" s="13"/>
      <c r="EF169" s="13"/>
      <c r="EG169" s="13">
        <v>90</v>
      </c>
      <c r="EH169" s="13" t="s">
        <v>588</v>
      </c>
      <c r="EI169" s="23">
        <f>CV169+1</f>
        <v>42853</v>
      </c>
      <c r="EJ169" s="23">
        <f>EI169+EG169</f>
        <v>42943</v>
      </c>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51">
        <v>0</v>
      </c>
      <c r="FW169" s="51">
        <v>0</v>
      </c>
      <c r="FX169" s="51">
        <v>0</v>
      </c>
      <c r="FY169" s="51">
        <v>0</v>
      </c>
      <c r="FZ169" s="51">
        <v>0</v>
      </c>
      <c r="GA169" s="51">
        <v>0</v>
      </c>
      <c r="GB169" s="51">
        <v>1</v>
      </c>
      <c r="GC169" s="25">
        <v>1</v>
      </c>
      <c r="GD169" s="25">
        <v>1</v>
      </c>
      <c r="GE169" s="25">
        <v>1</v>
      </c>
      <c r="GF169" s="25">
        <v>1</v>
      </c>
      <c r="GG169" s="25">
        <v>1</v>
      </c>
      <c r="GH169" s="25">
        <v>1</v>
      </c>
      <c r="GI169" s="25">
        <v>1</v>
      </c>
      <c r="GJ169" s="25">
        <v>1</v>
      </c>
      <c r="GK169" s="25">
        <v>1</v>
      </c>
      <c r="GL169" s="25">
        <v>1</v>
      </c>
      <c r="GM169" s="25">
        <v>1</v>
      </c>
      <c r="GN169" s="25">
        <v>1</v>
      </c>
      <c r="GO169" s="25">
        <v>1</v>
      </c>
      <c r="GP169" s="25">
        <v>1</v>
      </c>
      <c r="GQ169" s="25">
        <v>1</v>
      </c>
      <c r="GR169" s="25">
        <v>1</v>
      </c>
      <c r="GS169" s="25">
        <v>1</v>
      </c>
      <c r="GT169" s="349">
        <v>1</v>
      </c>
      <c r="GU169" s="349">
        <v>1</v>
      </c>
      <c r="GV169" s="25" t="s">
        <v>1588</v>
      </c>
      <c r="GW169" s="25" t="s">
        <v>455</v>
      </c>
      <c r="GX169" s="25" t="s">
        <v>455</v>
      </c>
      <c r="GY169" s="25" t="s">
        <v>455</v>
      </c>
      <c r="GZ169" s="25" t="s">
        <v>455</v>
      </c>
      <c r="HA169" s="25" t="s">
        <v>455</v>
      </c>
      <c r="HB169" s="25" t="s">
        <v>455</v>
      </c>
      <c r="HC169" s="25" t="s">
        <v>455</v>
      </c>
      <c r="HD169" s="25" t="s">
        <v>455</v>
      </c>
      <c r="HE169" s="25" t="s">
        <v>455</v>
      </c>
      <c r="HF169" s="25" t="s">
        <v>455</v>
      </c>
      <c r="HG169" s="349" t="s">
        <v>455</v>
      </c>
      <c r="HH169" s="349" t="s">
        <v>455</v>
      </c>
      <c r="HI169" s="25"/>
      <c r="HJ169" s="25"/>
      <c r="HK169" s="25"/>
      <c r="HL169" s="25"/>
      <c r="HM169" s="25"/>
      <c r="HN169" s="25"/>
      <c r="HO169" s="25"/>
      <c r="HP169" s="25"/>
      <c r="HQ169" s="25"/>
      <c r="HR169" s="25"/>
      <c r="HS169" s="349"/>
      <c r="HT169" s="349"/>
      <c r="HU169" s="346" t="s">
        <v>374</v>
      </c>
      <c r="HV169" s="346"/>
      <c r="HW169" s="351"/>
      <c r="HX169" s="353"/>
      <c r="HY169" s="353"/>
      <c r="HZ169" s="353"/>
      <c r="IA169" s="353"/>
      <c r="IB169" s="353"/>
      <c r="IC169" s="353"/>
      <c r="ID169" s="353"/>
      <c r="IE169" s="353"/>
      <c r="IF169" s="107">
        <v>23342.01</v>
      </c>
      <c r="IG169" s="107">
        <v>21389.34</v>
      </c>
      <c r="IH169" s="354">
        <f t="shared" ref="IH169:IH188" si="85">AK169-IG169</f>
        <v>0</v>
      </c>
      <c r="II169" s="353"/>
      <c r="IJ169" s="353"/>
      <c r="IK169" s="353"/>
      <c r="IL169" s="353"/>
      <c r="IM169" s="353"/>
      <c r="IN169" s="353"/>
      <c r="IO169" s="353"/>
      <c r="IP169" s="353"/>
      <c r="IQ169" s="353"/>
      <c r="IR169" s="353"/>
      <c r="IS169" s="353"/>
      <c r="IT169" s="353"/>
      <c r="IU169" s="353"/>
      <c r="IV169" s="353"/>
      <c r="IW169" s="353"/>
      <c r="IX169" s="353"/>
      <c r="IY169" s="55"/>
      <c r="IZ169" s="55"/>
      <c r="JA169" s="55"/>
      <c r="JB169" s="55"/>
      <c r="JC169" s="55"/>
      <c r="JD169" s="353">
        <v>2017</v>
      </c>
    </row>
    <row r="170" spans="1:264" s="17" customFormat="1" ht="24.95" hidden="1" customHeight="1">
      <c r="A170" s="326" t="s">
        <v>19</v>
      </c>
      <c r="B170" s="326" t="s">
        <v>27</v>
      </c>
      <c r="C170" s="307" t="s">
        <v>349</v>
      </c>
      <c r="D170" s="307" t="s">
        <v>380</v>
      </c>
      <c r="E170" s="327" t="s">
        <v>360</v>
      </c>
      <c r="F170" s="307" t="s">
        <v>360</v>
      </c>
      <c r="G170" s="328" t="s">
        <v>354</v>
      </c>
      <c r="H170" s="328"/>
      <c r="I170" s="329" t="s">
        <v>2104</v>
      </c>
      <c r="J170" s="330"/>
      <c r="K170" s="331" t="s">
        <v>375</v>
      </c>
      <c r="L170" s="326" t="s">
        <v>2103</v>
      </c>
      <c r="M170" s="332" t="s">
        <v>2111</v>
      </c>
      <c r="N170" s="332"/>
      <c r="O170" s="307" t="s">
        <v>3</v>
      </c>
      <c r="P170" s="307" t="s">
        <v>4</v>
      </c>
      <c r="Q170" s="333" t="s">
        <v>1118</v>
      </c>
      <c r="R170" s="333"/>
      <c r="S170" s="307"/>
      <c r="T170" s="307"/>
      <c r="U170" s="307"/>
      <c r="V170" s="307"/>
      <c r="W170" s="307"/>
      <c r="X170" s="307"/>
      <c r="Y170" s="307"/>
      <c r="Z170" s="307"/>
      <c r="AA170" s="334"/>
      <c r="AB170" s="335">
        <v>146911.29</v>
      </c>
      <c r="AC170" s="335">
        <v>146911.29</v>
      </c>
      <c r="AD170" s="335">
        <v>146911.29</v>
      </c>
      <c r="AE170" s="335">
        <v>8817.3700000000008</v>
      </c>
      <c r="AF170" s="335">
        <f>AD170+AE170</f>
        <v>155728.66</v>
      </c>
      <c r="AG170" s="308">
        <v>0.12</v>
      </c>
      <c r="AH170" s="335">
        <f>AD170*0.12</f>
        <v>17629.354800000001</v>
      </c>
      <c r="AI170" s="335">
        <f t="shared" si="76"/>
        <v>1058.0844</v>
      </c>
      <c r="AJ170" s="335">
        <f>AF170*1.12</f>
        <v>174416.09920000003</v>
      </c>
      <c r="AK170" s="335"/>
      <c r="AL170" s="335"/>
      <c r="AM170" s="335"/>
      <c r="AN170" s="334"/>
      <c r="AO170" s="335"/>
      <c r="AP170" s="334"/>
      <c r="AQ170" s="334"/>
      <c r="AR170" s="308"/>
      <c r="AS170" s="334"/>
      <c r="AT170" s="334"/>
      <c r="AU170" s="334"/>
      <c r="AV170" s="334"/>
      <c r="AW170" s="334"/>
      <c r="AX170" s="334"/>
      <c r="AY170" s="334"/>
      <c r="AZ170" s="334"/>
      <c r="BA170" s="334"/>
      <c r="BB170" s="334"/>
      <c r="BC170" s="334"/>
      <c r="BD170" s="334"/>
      <c r="BE170" s="334"/>
      <c r="BF170" s="335"/>
      <c r="BG170" s="335"/>
      <c r="BH170" s="334"/>
      <c r="BI170" s="335"/>
      <c r="BJ170" s="335"/>
      <c r="BK170" s="335"/>
      <c r="BL170" s="335"/>
      <c r="BM170" s="335"/>
      <c r="BN170" s="336"/>
      <c r="BO170" s="336"/>
      <c r="BP170" s="336"/>
      <c r="BQ170" s="336"/>
      <c r="BR170" s="307"/>
      <c r="BS170" s="336"/>
      <c r="BT170" s="336"/>
      <c r="BU170" s="307"/>
      <c r="BV170" s="307"/>
      <c r="BW170" s="337"/>
      <c r="BX170" s="336"/>
      <c r="BY170" s="307"/>
      <c r="BZ170" s="336"/>
      <c r="CA170" s="336"/>
      <c r="CB170" s="337"/>
      <c r="CC170" s="337"/>
      <c r="CD170" s="337"/>
      <c r="CE170" s="338"/>
      <c r="CF170" s="338"/>
      <c r="CG170" s="307"/>
      <c r="CH170" s="307"/>
      <c r="CI170" s="307"/>
      <c r="CJ170" s="307"/>
      <c r="CK170" s="307"/>
      <c r="CL170" s="307"/>
      <c r="CM170" s="307"/>
      <c r="CN170" s="307"/>
      <c r="CO170" s="307"/>
      <c r="CP170" s="307"/>
      <c r="CQ170" s="307"/>
      <c r="CR170" s="307"/>
      <c r="CS170" s="307"/>
      <c r="CT170" s="334"/>
      <c r="CU170" s="334"/>
      <c r="CV170" s="336"/>
      <c r="CW170" s="339"/>
      <c r="CX170" s="340"/>
      <c r="CY170" s="336"/>
      <c r="CZ170" s="307"/>
      <c r="DA170" s="307"/>
      <c r="DB170" s="307"/>
      <c r="DC170" s="307"/>
      <c r="DD170" s="307"/>
      <c r="DE170" s="307"/>
      <c r="DF170" s="307"/>
      <c r="DG170" s="307"/>
      <c r="DH170" s="307"/>
      <c r="DI170" s="307"/>
      <c r="DJ170" s="307"/>
      <c r="DK170" s="307"/>
      <c r="DL170" s="307"/>
      <c r="DM170" s="307"/>
      <c r="DN170" s="307"/>
      <c r="DO170" s="307"/>
      <c r="DP170" s="307"/>
      <c r="DQ170" s="307"/>
      <c r="DR170" s="307"/>
      <c r="DS170" s="307"/>
      <c r="DT170" s="307"/>
      <c r="DU170" s="307"/>
      <c r="DV170" s="307"/>
      <c r="DW170" s="307"/>
      <c r="DX170" s="307"/>
      <c r="DY170" s="341"/>
      <c r="DZ170" s="307"/>
      <c r="EA170" s="307"/>
      <c r="EB170" s="307"/>
      <c r="EC170" s="307"/>
      <c r="ED170" s="307"/>
      <c r="EE170" s="307"/>
      <c r="EF170" s="307"/>
      <c r="EG170" s="307"/>
      <c r="EH170" s="307"/>
      <c r="EI170" s="336"/>
      <c r="EJ170" s="336"/>
      <c r="EK170" s="307"/>
      <c r="EL170" s="307"/>
      <c r="EM170" s="307"/>
      <c r="EN170" s="307"/>
      <c r="EO170" s="307"/>
      <c r="EP170" s="307"/>
      <c r="EQ170" s="307"/>
      <c r="ER170" s="307"/>
      <c r="ES170" s="307"/>
      <c r="ET170" s="307"/>
      <c r="EU170" s="307"/>
      <c r="EV170" s="307"/>
      <c r="EW170" s="307"/>
      <c r="EX170" s="307"/>
      <c r="EY170" s="307"/>
      <c r="EZ170" s="307"/>
      <c r="FA170" s="307"/>
      <c r="FB170" s="307"/>
      <c r="FC170" s="307"/>
      <c r="FD170" s="307"/>
      <c r="FE170" s="307"/>
      <c r="FF170" s="307"/>
      <c r="FG170" s="307"/>
      <c r="FH170" s="307"/>
      <c r="FI170" s="307"/>
      <c r="FJ170" s="307"/>
      <c r="FK170" s="307"/>
      <c r="FL170" s="307"/>
      <c r="FM170" s="307"/>
      <c r="FN170" s="307"/>
      <c r="FO170" s="307"/>
      <c r="FP170" s="307"/>
      <c r="FQ170" s="307"/>
      <c r="FR170" s="307"/>
      <c r="FS170" s="307"/>
      <c r="FT170" s="307"/>
      <c r="FU170" s="307"/>
      <c r="FV170" s="342"/>
      <c r="FW170" s="342"/>
      <c r="FX170" s="342"/>
      <c r="FY170" s="342"/>
      <c r="FZ170" s="342"/>
      <c r="GA170" s="342"/>
      <c r="GB170" s="342"/>
      <c r="GC170" s="308"/>
      <c r="GD170" s="308"/>
      <c r="GE170" s="308"/>
      <c r="GF170" s="308"/>
      <c r="GG170" s="308"/>
      <c r="GH170" s="308"/>
      <c r="GI170" s="308"/>
      <c r="GJ170" s="308"/>
      <c r="GK170" s="308"/>
      <c r="GL170" s="308"/>
      <c r="GM170" s="308"/>
      <c r="GN170" s="308"/>
      <c r="GO170" s="308"/>
      <c r="GP170" s="308"/>
      <c r="GQ170" s="308"/>
      <c r="GR170" s="308"/>
      <c r="GS170" s="308"/>
      <c r="GT170" s="308"/>
      <c r="GU170" s="308"/>
      <c r="GV170" s="308"/>
      <c r="GW170" s="308"/>
      <c r="GX170" s="308"/>
      <c r="GY170" s="308"/>
      <c r="GZ170" s="308"/>
      <c r="HA170" s="308"/>
      <c r="HB170" s="308"/>
      <c r="HC170" s="308"/>
      <c r="HD170" s="308"/>
      <c r="HE170" s="308"/>
      <c r="HF170" s="308"/>
      <c r="HG170" s="308"/>
      <c r="HH170" s="308"/>
      <c r="HI170" s="308"/>
      <c r="HJ170" s="308"/>
      <c r="HK170" s="308"/>
      <c r="HL170" s="308"/>
      <c r="HM170" s="308"/>
      <c r="HN170" s="308"/>
      <c r="HO170" s="308"/>
      <c r="HP170" s="308"/>
      <c r="HQ170" s="308"/>
      <c r="HR170" s="308"/>
      <c r="HS170" s="308"/>
      <c r="HT170" s="308"/>
      <c r="HU170" s="307"/>
      <c r="HV170" s="307"/>
      <c r="HW170" s="309"/>
      <c r="HX170" s="310"/>
      <c r="HY170" s="310"/>
      <c r="HZ170" s="310"/>
      <c r="IA170" s="310"/>
      <c r="IB170" s="310"/>
      <c r="IC170" s="310"/>
      <c r="ID170" s="310"/>
      <c r="IE170" s="310"/>
      <c r="IF170" s="311"/>
      <c r="IG170" s="311"/>
      <c r="IH170" s="312"/>
      <c r="II170" s="310"/>
      <c r="IJ170" s="310"/>
      <c r="IK170" s="310"/>
      <c r="IL170" s="310"/>
      <c r="IM170" s="310"/>
      <c r="IN170" s="310"/>
      <c r="IO170" s="310"/>
      <c r="IP170" s="310"/>
      <c r="IQ170" s="310"/>
      <c r="IR170" s="310"/>
      <c r="IS170" s="310"/>
      <c r="IT170" s="310"/>
      <c r="IU170" s="310"/>
      <c r="IV170" s="310"/>
      <c r="IW170" s="310"/>
      <c r="IX170" s="310"/>
      <c r="IY170" s="310"/>
      <c r="IZ170" s="310"/>
      <c r="JA170" s="310"/>
      <c r="JB170" s="310"/>
      <c r="JC170" s="310"/>
      <c r="JD170" s="310"/>
    </row>
    <row r="171" spans="1:264" s="17" customFormat="1" ht="24.95" hidden="1" customHeight="1">
      <c r="A171" s="326" t="s">
        <v>19</v>
      </c>
      <c r="B171" s="326" t="s">
        <v>27</v>
      </c>
      <c r="C171" s="307" t="s">
        <v>349</v>
      </c>
      <c r="D171" s="307" t="s">
        <v>380</v>
      </c>
      <c r="E171" s="327" t="s">
        <v>360</v>
      </c>
      <c r="F171" s="307" t="s">
        <v>360</v>
      </c>
      <c r="G171" s="328" t="s">
        <v>354</v>
      </c>
      <c r="H171" s="328"/>
      <c r="I171" s="329" t="s">
        <v>2105</v>
      </c>
      <c r="J171" s="330"/>
      <c r="K171" s="331" t="s">
        <v>375</v>
      </c>
      <c r="L171" s="326" t="s">
        <v>2103</v>
      </c>
      <c r="M171" s="332" t="s">
        <v>2111</v>
      </c>
      <c r="N171" s="332"/>
      <c r="O171" s="307" t="s">
        <v>3</v>
      </c>
      <c r="P171" s="307" t="s">
        <v>4</v>
      </c>
      <c r="Q171" s="333" t="s">
        <v>1118</v>
      </c>
      <c r="R171" s="333"/>
      <c r="S171" s="307"/>
      <c r="T171" s="307"/>
      <c r="U171" s="307"/>
      <c r="V171" s="307"/>
      <c r="W171" s="307"/>
      <c r="X171" s="307"/>
      <c r="Y171" s="307"/>
      <c r="Z171" s="307"/>
      <c r="AA171" s="334"/>
      <c r="AB171" s="335">
        <v>132537.88</v>
      </c>
      <c r="AC171" s="335">
        <v>132537.88</v>
      </c>
      <c r="AD171" s="335">
        <v>132537.88</v>
      </c>
      <c r="AE171" s="335">
        <v>19797.87</v>
      </c>
      <c r="AF171" s="335">
        <f t="shared" ref="AF171:AF176" si="86">AD171+AE171</f>
        <v>152335.75</v>
      </c>
      <c r="AG171" s="308">
        <v>0.12</v>
      </c>
      <c r="AH171" s="335">
        <f t="shared" ref="AH171:AH176" si="87">AD171*0.12</f>
        <v>15904.545599999999</v>
      </c>
      <c r="AI171" s="335">
        <f t="shared" si="76"/>
        <v>2375.7443999999996</v>
      </c>
      <c r="AJ171" s="335">
        <f t="shared" ref="AJ171:AJ176" si="88">AF171*1.12</f>
        <v>170616.04</v>
      </c>
      <c r="AK171" s="335"/>
      <c r="AL171" s="335"/>
      <c r="AM171" s="335"/>
      <c r="AN171" s="334"/>
      <c r="AO171" s="335"/>
      <c r="AP171" s="334"/>
      <c r="AQ171" s="334"/>
      <c r="AR171" s="308"/>
      <c r="AS171" s="334"/>
      <c r="AT171" s="334"/>
      <c r="AU171" s="334"/>
      <c r="AV171" s="334"/>
      <c r="AW171" s="334"/>
      <c r="AX171" s="334"/>
      <c r="AY171" s="334"/>
      <c r="AZ171" s="334"/>
      <c r="BA171" s="334"/>
      <c r="BB171" s="334"/>
      <c r="BC171" s="334"/>
      <c r="BD171" s="334"/>
      <c r="BE171" s="334"/>
      <c r="BF171" s="335"/>
      <c r="BG171" s="335"/>
      <c r="BH171" s="334"/>
      <c r="BI171" s="335"/>
      <c r="BJ171" s="335"/>
      <c r="BK171" s="335"/>
      <c r="BL171" s="335"/>
      <c r="BM171" s="335"/>
      <c r="BN171" s="336"/>
      <c r="BO171" s="336"/>
      <c r="BP171" s="336"/>
      <c r="BQ171" s="336"/>
      <c r="BR171" s="307"/>
      <c r="BS171" s="336"/>
      <c r="BT171" s="336"/>
      <c r="BU171" s="307"/>
      <c r="BV171" s="307"/>
      <c r="BW171" s="337"/>
      <c r="BX171" s="336"/>
      <c r="BY171" s="307"/>
      <c r="BZ171" s="336"/>
      <c r="CA171" s="336"/>
      <c r="CB171" s="337"/>
      <c r="CC171" s="337"/>
      <c r="CD171" s="337"/>
      <c r="CE171" s="338"/>
      <c r="CF171" s="338"/>
      <c r="CG171" s="307"/>
      <c r="CH171" s="307"/>
      <c r="CI171" s="307"/>
      <c r="CJ171" s="307"/>
      <c r="CK171" s="307"/>
      <c r="CL171" s="307"/>
      <c r="CM171" s="307"/>
      <c r="CN171" s="307"/>
      <c r="CO171" s="307"/>
      <c r="CP171" s="307"/>
      <c r="CQ171" s="307"/>
      <c r="CR171" s="307"/>
      <c r="CS171" s="307"/>
      <c r="CT171" s="334"/>
      <c r="CU171" s="334"/>
      <c r="CV171" s="336"/>
      <c r="CW171" s="339"/>
      <c r="CX171" s="340"/>
      <c r="CY171" s="336"/>
      <c r="CZ171" s="307"/>
      <c r="DA171" s="307"/>
      <c r="DB171" s="307"/>
      <c r="DC171" s="307"/>
      <c r="DD171" s="307"/>
      <c r="DE171" s="307"/>
      <c r="DF171" s="307"/>
      <c r="DG171" s="307"/>
      <c r="DH171" s="307"/>
      <c r="DI171" s="307"/>
      <c r="DJ171" s="307"/>
      <c r="DK171" s="307"/>
      <c r="DL171" s="307"/>
      <c r="DM171" s="307"/>
      <c r="DN171" s="307"/>
      <c r="DO171" s="307"/>
      <c r="DP171" s="307"/>
      <c r="DQ171" s="307"/>
      <c r="DR171" s="307"/>
      <c r="DS171" s="307"/>
      <c r="DT171" s="307"/>
      <c r="DU171" s="307"/>
      <c r="DV171" s="307"/>
      <c r="DW171" s="307"/>
      <c r="DX171" s="307"/>
      <c r="DY171" s="341"/>
      <c r="DZ171" s="307"/>
      <c r="EA171" s="307"/>
      <c r="EB171" s="307"/>
      <c r="EC171" s="307"/>
      <c r="ED171" s="307"/>
      <c r="EE171" s="307"/>
      <c r="EF171" s="307"/>
      <c r="EG171" s="307"/>
      <c r="EH171" s="307"/>
      <c r="EI171" s="336"/>
      <c r="EJ171" s="336"/>
      <c r="EK171" s="307"/>
      <c r="EL171" s="307"/>
      <c r="EM171" s="307"/>
      <c r="EN171" s="307"/>
      <c r="EO171" s="307"/>
      <c r="EP171" s="307"/>
      <c r="EQ171" s="307"/>
      <c r="ER171" s="307"/>
      <c r="ES171" s="307"/>
      <c r="ET171" s="307"/>
      <c r="EU171" s="307"/>
      <c r="EV171" s="307"/>
      <c r="EW171" s="307"/>
      <c r="EX171" s="307"/>
      <c r="EY171" s="307"/>
      <c r="EZ171" s="307"/>
      <c r="FA171" s="307"/>
      <c r="FB171" s="307"/>
      <c r="FC171" s="307"/>
      <c r="FD171" s="307"/>
      <c r="FE171" s="307"/>
      <c r="FF171" s="307"/>
      <c r="FG171" s="307"/>
      <c r="FH171" s="307"/>
      <c r="FI171" s="307"/>
      <c r="FJ171" s="307"/>
      <c r="FK171" s="307"/>
      <c r="FL171" s="307"/>
      <c r="FM171" s="307"/>
      <c r="FN171" s="307"/>
      <c r="FO171" s="307"/>
      <c r="FP171" s="307"/>
      <c r="FQ171" s="307"/>
      <c r="FR171" s="307"/>
      <c r="FS171" s="307"/>
      <c r="FT171" s="307"/>
      <c r="FU171" s="307"/>
      <c r="FV171" s="342"/>
      <c r="FW171" s="342"/>
      <c r="FX171" s="342"/>
      <c r="FY171" s="342"/>
      <c r="FZ171" s="342"/>
      <c r="GA171" s="342"/>
      <c r="GB171" s="342"/>
      <c r="GC171" s="308"/>
      <c r="GD171" s="308"/>
      <c r="GE171" s="308"/>
      <c r="GF171" s="308"/>
      <c r="GG171" s="308"/>
      <c r="GH171" s="308"/>
      <c r="GI171" s="308"/>
      <c r="GJ171" s="308"/>
      <c r="GK171" s="308"/>
      <c r="GL171" s="308"/>
      <c r="GM171" s="308"/>
      <c r="GN171" s="308"/>
      <c r="GO171" s="308"/>
      <c r="GP171" s="308"/>
      <c r="GQ171" s="308"/>
      <c r="GR171" s="308"/>
      <c r="GS171" s="308"/>
      <c r="GT171" s="308"/>
      <c r="GU171" s="308"/>
      <c r="GV171" s="308"/>
      <c r="GW171" s="308"/>
      <c r="GX171" s="308"/>
      <c r="GY171" s="308"/>
      <c r="GZ171" s="308"/>
      <c r="HA171" s="308"/>
      <c r="HB171" s="308"/>
      <c r="HC171" s="308"/>
      <c r="HD171" s="308"/>
      <c r="HE171" s="308"/>
      <c r="HF171" s="308"/>
      <c r="HG171" s="308"/>
      <c r="HH171" s="308"/>
      <c r="HI171" s="308"/>
      <c r="HJ171" s="308"/>
      <c r="HK171" s="308"/>
      <c r="HL171" s="308"/>
      <c r="HM171" s="308"/>
      <c r="HN171" s="308"/>
      <c r="HO171" s="308"/>
      <c r="HP171" s="308"/>
      <c r="HQ171" s="308"/>
      <c r="HR171" s="308"/>
      <c r="HS171" s="308"/>
      <c r="HT171" s="308"/>
      <c r="HU171" s="307"/>
      <c r="HV171" s="307"/>
      <c r="HW171" s="309"/>
      <c r="HX171" s="310"/>
      <c r="HY171" s="310"/>
      <c r="HZ171" s="310"/>
      <c r="IA171" s="310"/>
      <c r="IB171" s="310"/>
      <c r="IC171" s="310"/>
      <c r="ID171" s="310"/>
      <c r="IE171" s="310"/>
      <c r="IF171" s="311"/>
      <c r="IG171" s="311"/>
      <c r="IH171" s="312"/>
      <c r="II171" s="310"/>
      <c r="IJ171" s="310"/>
      <c r="IK171" s="310"/>
      <c r="IL171" s="310"/>
      <c r="IM171" s="310"/>
      <c r="IN171" s="310"/>
      <c r="IO171" s="310"/>
      <c r="IP171" s="310"/>
      <c r="IQ171" s="310"/>
      <c r="IR171" s="310"/>
      <c r="IS171" s="310"/>
      <c r="IT171" s="310"/>
      <c r="IU171" s="310"/>
      <c r="IV171" s="310"/>
      <c r="IW171" s="310"/>
      <c r="IX171" s="310"/>
      <c r="IY171" s="310"/>
      <c r="IZ171" s="310"/>
      <c r="JA171" s="310"/>
      <c r="JB171" s="310"/>
      <c r="JC171" s="310"/>
      <c r="JD171" s="310"/>
    </row>
    <row r="172" spans="1:264" s="17" customFormat="1" ht="24.95" hidden="1" customHeight="1">
      <c r="A172" s="326" t="s">
        <v>19</v>
      </c>
      <c r="B172" s="326" t="s">
        <v>27</v>
      </c>
      <c r="C172" s="307" t="s">
        <v>349</v>
      </c>
      <c r="D172" s="307" t="s">
        <v>380</v>
      </c>
      <c r="E172" s="327" t="s">
        <v>360</v>
      </c>
      <c r="F172" s="307" t="s">
        <v>360</v>
      </c>
      <c r="G172" s="328" t="s">
        <v>354</v>
      </c>
      <c r="H172" s="328"/>
      <c r="I172" s="329" t="s">
        <v>2106</v>
      </c>
      <c r="J172" s="330"/>
      <c r="K172" s="331" t="s">
        <v>375</v>
      </c>
      <c r="L172" s="326" t="s">
        <v>2103</v>
      </c>
      <c r="M172" s="332" t="s">
        <v>2111</v>
      </c>
      <c r="N172" s="332"/>
      <c r="O172" s="307" t="s">
        <v>3</v>
      </c>
      <c r="P172" s="307" t="s">
        <v>4</v>
      </c>
      <c r="Q172" s="333" t="s">
        <v>1118</v>
      </c>
      <c r="R172" s="333"/>
      <c r="S172" s="307"/>
      <c r="T172" s="307"/>
      <c r="U172" s="307"/>
      <c r="V172" s="307"/>
      <c r="W172" s="307"/>
      <c r="X172" s="307"/>
      <c r="Y172" s="307"/>
      <c r="Z172" s="307"/>
      <c r="AA172" s="334"/>
      <c r="AB172" s="335">
        <v>42830.080000000002</v>
      </c>
      <c r="AC172" s="335">
        <v>42830.080000000002</v>
      </c>
      <c r="AD172" s="335">
        <v>42830.080000000002</v>
      </c>
      <c r="AE172" s="335">
        <v>17128.91</v>
      </c>
      <c r="AF172" s="335">
        <f t="shared" si="86"/>
        <v>59958.990000000005</v>
      </c>
      <c r="AG172" s="308">
        <v>0.12</v>
      </c>
      <c r="AH172" s="335">
        <f t="shared" si="87"/>
        <v>5139.6095999999998</v>
      </c>
      <c r="AI172" s="335">
        <f t="shared" si="76"/>
        <v>2055.4692</v>
      </c>
      <c r="AJ172" s="335">
        <f t="shared" si="88"/>
        <v>67154.068800000008</v>
      </c>
      <c r="AK172" s="335"/>
      <c r="AL172" s="335"/>
      <c r="AM172" s="335"/>
      <c r="AN172" s="334"/>
      <c r="AO172" s="335"/>
      <c r="AP172" s="334"/>
      <c r="AQ172" s="334"/>
      <c r="AR172" s="308"/>
      <c r="AS172" s="334"/>
      <c r="AT172" s="334"/>
      <c r="AU172" s="334"/>
      <c r="AV172" s="334"/>
      <c r="AW172" s="334"/>
      <c r="AX172" s="334"/>
      <c r="AY172" s="334"/>
      <c r="AZ172" s="334"/>
      <c r="BA172" s="334"/>
      <c r="BB172" s="334"/>
      <c r="BC172" s="334"/>
      <c r="BD172" s="334"/>
      <c r="BE172" s="334"/>
      <c r="BF172" s="335"/>
      <c r="BG172" s="335"/>
      <c r="BH172" s="334"/>
      <c r="BI172" s="335"/>
      <c r="BJ172" s="335"/>
      <c r="BK172" s="335"/>
      <c r="BL172" s="335"/>
      <c r="BM172" s="335"/>
      <c r="BN172" s="336"/>
      <c r="BO172" s="336"/>
      <c r="BP172" s="336"/>
      <c r="BQ172" s="336"/>
      <c r="BR172" s="307"/>
      <c r="BS172" s="336"/>
      <c r="BT172" s="336"/>
      <c r="BU172" s="307"/>
      <c r="BV172" s="307"/>
      <c r="BW172" s="337"/>
      <c r="BX172" s="336"/>
      <c r="BY172" s="307"/>
      <c r="BZ172" s="336"/>
      <c r="CA172" s="336"/>
      <c r="CB172" s="337"/>
      <c r="CC172" s="337"/>
      <c r="CD172" s="337"/>
      <c r="CE172" s="338"/>
      <c r="CF172" s="338"/>
      <c r="CG172" s="307"/>
      <c r="CH172" s="307"/>
      <c r="CI172" s="307"/>
      <c r="CJ172" s="307"/>
      <c r="CK172" s="307"/>
      <c r="CL172" s="307"/>
      <c r="CM172" s="307"/>
      <c r="CN172" s="307"/>
      <c r="CO172" s="307"/>
      <c r="CP172" s="307"/>
      <c r="CQ172" s="307"/>
      <c r="CR172" s="307"/>
      <c r="CS172" s="307"/>
      <c r="CT172" s="334"/>
      <c r="CU172" s="334"/>
      <c r="CV172" s="336"/>
      <c r="CW172" s="339"/>
      <c r="CX172" s="340"/>
      <c r="CY172" s="336"/>
      <c r="CZ172" s="307"/>
      <c r="DA172" s="307"/>
      <c r="DB172" s="307"/>
      <c r="DC172" s="307"/>
      <c r="DD172" s="307"/>
      <c r="DE172" s="307"/>
      <c r="DF172" s="307"/>
      <c r="DG172" s="307"/>
      <c r="DH172" s="307"/>
      <c r="DI172" s="307"/>
      <c r="DJ172" s="307"/>
      <c r="DK172" s="307"/>
      <c r="DL172" s="307"/>
      <c r="DM172" s="307"/>
      <c r="DN172" s="307"/>
      <c r="DO172" s="307"/>
      <c r="DP172" s="307"/>
      <c r="DQ172" s="307"/>
      <c r="DR172" s="307"/>
      <c r="DS172" s="307"/>
      <c r="DT172" s="307"/>
      <c r="DU172" s="307"/>
      <c r="DV172" s="307"/>
      <c r="DW172" s="307"/>
      <c r="DX172" s="307"/>
      <c r="DY172" s="341"/>
      <c r="DZ172" s="307"/>
      <c r="EA172" s="307"/>
      <c r="EB172" s="307"/>
      <c r="EC172" s="307"/>
      <c r="ED172" s="307"/>
      <c r="EE172" s="307"/>
      <c r="EF172" s="307"/>
      <c r="EG172" s="307"/>
      <c r="EH172" s="307"/>
      <c r="EI172" s="336"/>
      <c r="EJ172" s="336"/>
      <c r="EK172" s="307"/>
      <c r="EL172" s="307"/>
      <c r="EM172" s="307"/>
      <c r="EN172" s="307"/>
      <c r="EO172" s="307"/>
      <c r="EP172" s="307"/>
      <c r="EQ172" s="307"/>
      <c r="ER172" s="307"/>
      <c r="ES172" s="307"/>
      <c r="ET172" s="307"/>
      <c r="EU172" s="307"/>
      <c r="EV172" s="307"/>
      <c r="EW172" s="307"/>
      <c r="EX172" s="307"/>
      <c r="EY172" s="307"/>
      <c r="EZ172" s="307"/>
      <c r="FA172" s="307"/>
      <c r="FB172" s="307"/>
      <c r="FC172" s="307"/>
      <c r="FD172" s="307"/>
      <c r="FE172" s="307"/>
      <c r="FF172" s="307"/>
      <c r="FG172" s="307"/>
      <c r="FH172" s="307"/>
      <c r="FI172" s="307"/>
      <c r="FJ172" s="307"/>
      <c r="FK172" s="307"/>
      <c r="FL172" s="307"/>
      <c r="FM172" s="307"/>
      <c r="FN172" s="307"/>
      <c r="FO172" s="307"/>
      <c r="FP172" s="307"/>
      <c r="FQ172" s="307"/>
      <c r="FR172" s="307"/>
      <c r="FS172" s="307"/>
      <c r="FT172" s="307"/>
      <c r="FU172" s="307"/>
      <c r="FV172" s="342"/>
      <c r="FW172" s="342"/>
      <c r="FX172" s="342"/>
      <c r="FY172" s="342"/>
      <c r="FZ172" s="342"/>
      <c r="GA172" s="342"/>
      <c r="GB172" s="342"/>
      <c r="GC172" s="308"/>
      <c r="GD172" s="308"/>
      <c r="GE172" s="308"/>
      <c r="GF172" s="308"/>
      <c r="GG172" s="308"/>
      <c r="GH172" s="308"/>
      <c r="GI172" s="308"/>
      <c r="GJ172" s="308"/>
      <c r="GK172" s="308"/>
      <c r="GL172" s="308"/>
      <c r="GM172" s="308"/>
      <c r="GN172" s="308"/>
      <c r="GO172" s="308"/>
      <c r="GP172" s="308"/>
      <c r="GQ172" s="308"/>
      <c r="GR172" s="308"/>
      <c r="GS172" s="308"/>
      <c r="GT172" s="308"/>
      <c r="GU172" s="308"/>
      <c r="GV172" s="308"/>
      <c r="GW172" s="308"/>
      <c r="GX172" s="308"/>
      <c r="GY172" s="308"/>
      <c r="GZ172" s="308"/>
      <c r="HA172" s="308"/>
      <c r="HB172" s="308"/>
      <c r="HC172" s="308"/>
      <c r="HD172" s="308"/>
      <c r="HE172" s="308"/>
      <c r="HF172" s="308"/>
      <c r="HG172" s="308"/>
      <c r="HH172" s="308"/>
      <c r="HI172" s="308"/>
      <c r="HJ172" s="308"/>
      <c r="HK172" s="308"/>
      <c r="HL172" s="308"/>
      <c r="HM172" s="308"/>
      <c r="HN172" s="308"/>
      <c r="HO172" s="308"/>
      <c r="HP172" s="308"/>
      <c r="HQ172" s="308"/>
      <c r="HR172" s="308"/>
      <c r="HS172" s="308"/>
      <c r="HT172" s="308"/>
      <c r="HU172" s="307"/>
      <c r="HV172" s="307"/>
      <c r="HW172" s="309"/>
      <c r="HX172" s="310"/>
      <c r="HY172" s="310"/>
      <c r="HZ172" s="310"/>
      <c r="IA172" s="310"/>
      <c r="IB172" s="310"/>
      <c r="IC172" s="310"/>
      <c r="ID172" s="310"/>
      <c r="IE172" s="310"/>
      <c r="IF172" s="311"/>
      <c r="IG172" s="311"/>
      <c r="IH172" s="312"/>
      <c r="II172" s="310"/>
      <c r="IJ172" s="310"/>
      <c r="IK172" s="310"/>
      <c r="IL172" s="310"/>
      <c r="IM172" s="310"/>
      <c r="IN172" s="310"/>
      <c r="IO172" s="310"/>
      <c r="IP172" s="310"/>
      <c r="IQ172" s="310"/>
      <c r="IR172" s="310"/>
      <c r="IS172" s="310"/>
      <c r="IT172" s="310"/>
      <c r="IU172" s="310"/>
      <c r="IV172" s="310"/>
      <c r="IW172" s="310"/>
      <c r="IX172" s="310"/>
      <c r="IY172" s="310"/>
      <c r="IZ172" s="310"/>
      <c r="JA172" s="310"/>
      <c r="JB172" s="310"/>
      <c r="JC172" s="310"/>
      <c r="JD172" s="310"/>
    </row>
    <row r="173" spans="1:264" s="17" customFormat="1" ht="24.95" hidden="1" customHeight="1">
      <c r="A173" s="326" t="s">
        <v>19</v>
      </c>
      <c r="B173" s="326" t="s">
        <v>27</v>
      </c>
      <c r="C173" s="307" t="s">
        <v>349</v>
      </c>
      <c r="D173" s="307" t="s">
        <v>380</v>
      </c>
      <c r="E173" s="327" t="s">
        <v>360</v>
      </c>
      <c r="F173" s="307" t="s">
        <v>360</v>
      </c>
      <c r="G173" s="328" t="s">
        <v>354</v>
      </c>
      <c r="H173" s="328"/>
      <c r="I173" s="329" t="s">
        <v>2107</v>
      </c>
      <c r="J173" s="330"/>
      <c r="K173" s="331" t="s">
        <v>375</v>
      </c>
      <c r="L173" s="326" t="s">
        <v>2103</v>
      </c>
      <c r="M173" s="332" t="s">
        <v>2111</v>
      </c>
      <c r="N173" s="332"/>
      <c r="O173" s="307" t="s">
        <v>3</v>
      </c>
      <c r="P173" s="307" t="s">
        <v>4</v>
      </c>
      <c r="Q173" s="333" t="s">
        <v>1118</v>
      </c>
      <c r="R173" s="333"/>
      <c r="S173" s="307"/>
      <c r="T173" s="307"/>
      <c r="U173" s="307"/>
      <c r="V173" s="307"/>
      <c r="W173" s="307"/>
      <c r="X173" s="307"/>
      <c r="Y173" s="307"/>
      <c r="Z173" s="307"/>
      <c r="AA173" s="334"/>
      <c r="AB173" s="335">
        <v>13090.56</v>
      </c>
      <c r="AC173" s="335">
        <v>13090.56</v>
      </c>
      <c r="AD173" s="335">
        <v>13090.56</v>
      </c>
      <c r="AE173" s="335">
        <v>4898.12</v>
      </c>
      <c r="AF173" s="335">
        <f t="shared" si="86"/>
        <v>17988.68</v>
      </c>
      <c r="AG173" s="308">
        <v>0.12</v>
      </c>
      <c r="AH173" s="335">
        <f t="shared" si="87"/>
        <v>1570.8671999999999</v>
      </c>
      <c r="AI173" s="335">
        <f t="shared" si="76"/>
        <v>587.77440000000001</v>
      </c>
      <c r="AJ173" s="335">
        <f t="shared" si="88"/>
        <v>20147.321600000003</v>
      </c>
      <c r="AK173" s="335"/>
      <c r="AL173" s="335"/>
      <c r="AM173" s="335"/>
      <c r="AN173" s="334"/>
      <c r="AO173" s="335"/>
      <c r="AP173" s="334"/>
      <c r="AQ173" s="334"/>
      <c r="AR173" s="308"/>
      <c r="AS173" s="334"/>
      <c r="AT173" s="334"/>
      <c r="AU173" s="334"/>
      <c r="AV173" s="334"/>
      <c r="AW173" s="334"/>
      <c r="AX173" s="334"/>
      <c r="AY173" s="334"/>
      <c r="AZ173" s="334"/>
      <c r="BA173" s="334"/>
      <c r="BB173" s="334"/>
      <c r="BC173" s="334"/>
      <c r="BD173" s="334"/>
      <c r="BE173" s="334"/>
      <c r="BF173" s="335"/>
      <c r="BG173" s="335"/>
      <c r="BH173" s="334"/>
      <c r="BI173" s="335"/>
      <c r="BJ173" s="335"/>
      <c r="BK173" s="335"/>
      <c r="BL173" s="335"/>
      <c r="BM173" s="335"/>
      <c r="BN173" s="336"/>
      <c r="BO173" s="336"/>
      <c r="BP173" s="336"/>
      <c r="BQ173" s="336"/>
      <c r="BR173" s="307"/>
      <c r="BS173" s="336"/>
      <c r="BT173" s="336"/>
      <c r="BU173" s="307"/>
      <c r="BV173" s="307"/>
      <c r="BW173" s="337"/>
      <c r="BX173" s="336"/>
      <c r="BY173" s="307"/>
      <c r="BZ173" s="336"/>
      <c r="CA173" s="336"/>
      <c r="CB173" s="337"/>
      <c r="CC173" s="337"/>
      <c r="CD173" s="337"/>
      <c r="CE173" s="338"/>
      <c r="CF173" s="338"/>
      <c r="CG173" s="307"/>
      <c r="CH173" s="307"/>
      <c r="CI173" s="307"/>
      <c r="CJ173" s="307"/>
      <c r="CK173" s="307"/>
      <c r="CL173" s="307"/>
      <c r="CM173" s="307"/>
      <c r="CN173" s="307"/>
      <c r="CO173" s="307"/>
      <c r="CP173" s="307"/>
      <c r="CQ173" s="307"/>
      <c r="CR173" s="307"/>
      <c r="CS173" s="307"/>
      <c r="CT173" s="334"/>
      <c r="CU173" s="334"/>
      <c r="CV173" s="336"/>
      <c r="CW173" s="339"/>
      <c r="CX173" s="340"/>
      <c r="CY173" s="336"/>
      <c r="CZ173" s="307"/>
      <c r="DA173" s="307"/>
      <c r="DB173" s="307"/>
      <c r="DC173" s="307"/>
      <c r="DD173" s="307"/>
      <c r="DE173" s="307"/>
      <c r="DF173" s="307"/>
      <c r="DG173" s="307"/>
      <c r="DH173" s="307"/>
      <c r="DI173" s="307"/>
      <c r="DJ173" s="307"/>
      <c r="DK173" s="307"/>
      <c r="DL173" s="307"/>
      <c r="DM173" s="307"/>
      <c r="DN173" s="307"/>
      <c r="DO173" s="307"/>
      <c r="DP173" s="307"/>
      <c r="DQ173" s="307"/>
      <c r="DR173" s="307"/>
      <c r="DS173" s="307"/>
      <c r="DT173" s="307"/>
      <c r="DU173" s="307"/>
      <c r="DV173" s="307"/>
      <c r="DW173" s="307"/>
      <c r="DX173" s="307"/>
      <c r="DY173" s="341"/>
      <c r="DZ173" s="307"/>
      <c r="EA173" s="307"/>
      <c r="EB173" s="307"/>
      <c r="EC173" s="307"/>
      <c r="ED173" s="307"/>
      <c r="EE173" s="307"/>
      <c r="EF173" s="307"/>
      <c r="EG173" s="307"/>
      <c r="EH173" s="307"/>
      <c r="EI173" s="336"/>
      <c r="EJ173" s="336"/>
      <c r="EK173" s="307"/>
      <c r="EL173" s="307"/>
      <c r="EM173" s="307"/>
      <c r="EN173" s="307"/>
      <c r="EO173" s="307"/>
      <c r="EP173" s="307"/>
      <c r="EQ173" s="307"/>
      <c r="ER173" s="307"/>
      <c r="ES173" s="307"/>
      <c r="ET173" s="307"/>
      <c r="EU173" s="307"/>
      <c r="EV173" s="307"/>
      <c r="EW173" s="307"/>
      <c r="EX173" s="307"/>
      <c r="EY173" s="307"/>
      <c r="EZ173" s="307"/>
      <c r="FA173" s="307"/>
      <c r="FB173" s="307"/>
      <c r="FC173" s="307"/>
      <c r="FD173" s="307"/>
      <c r="FE173" s="307"/>
      <c r="FF173" s="307"/>
      <c r="FG173" s="307"/>
      <c r="FH173" s="307"/>
      <c r="FI173" s="307"/>
      <c r="FJ173" s="307"/>
      <c r="FK173" s="307"/>
      <c r="FL173" s="307"/>
      <c r="FM173" s="307"/>
      <c r="FN173" s="307"/>
      <c r="FO173" s="307"/>
      <c r="FP173" s="307"/>
      <c r="FQ173" s="307"/>
      <c r="FR173" s="307"/>
      <c r="FS173" s="307"/>
      <c r="FT173" s="307"/>
      <c r="FU173" s="307"/>
      <c r="FV173" s="342"/>
      <c r="FW173" s="342"/>
      <c r="FX173" s="342"/>
      <c r="FY173" s="342"/>
      <c r="FZ173" s="342"/>
      <c r="GA173" s="342"/>
      <c r="GB173" s="342"/>
      <c r="GC173" s="308"/>
      <c r="GD173" s="308"/>
      <c r="GE173" s="308"/>
      <c r="GF173" s="308"/>
      <c r="GG173" s="308"/>
      <c r="GH173" s="308"/>
      <c r="GI173" s="308"/>
      <c r="GJ173" s="308"/>
      <c r="GK173" s="308"/>
      <c r="GL173" s="308"/>
      <c r="GM173" s="308"/>
      <c r="GN173" s="308"/>
      <c r="GO173" s="308"/>
      <c r="GP173" s="308"/>
      <c r="GQ173" s="308"/>
      <c r="GR173" s="308"/>
      <c r="GS173" s="308"/>
      <c r="GT173" s="308"/>
      <c r="GU173" s="308"/>
      <c r="GV173" s="308"/>
      <c r="GW173" s="308"/>
      <c r="GX173" s="308"/>
      <c r="GY173" s="308"/>
      <c r="GZ173" s="308"/>
      <c r="HA173" s="308"/>
      <c r="HB173" s="308"/>
      <c r="HC173" s="308"/>
      <c r="HD173" s="308"/>
      <c r="HE173" s="308"/>
      <c r="HF173" s="308"/>
      <c r="HG173" s="308"/>
      <c r="HH173" s="308"/>
      <c r="HI173" s="308"/>
      <c r="HJ173" s="308"/>
      <c r="HK173" s="308"/>
      <c r="HL173" s="308"/>
      <c r="HM173" s="308"/>
      <c r="HN173" s="308"/>
      <c r="HO173" s="308"/>
      <c r="HP173" s="308"/>
      <c r="HQ173" s="308"/>
      <c r="HR173" s="308"/>
      <c r="HS173" s="308"/>
      <c r="HT173" s="308"/>
      <c r="HU173" s="307"/>
      <c r="HV173" s="307"/>
      <c r="HW173" s="309"/>
      <c r="HX173" s="310"/>
      <c r="HY173" s="310"/>
      <c r="HZ173" s="310"/>
      <c r="IA173" s="310"/>
      <c r="IB173" s="310"/>
      <c r="IC173" s="310"/>
      <c r="ID173" s="310"/>
      <c r="IE173" s="310"/>
      <c r="IF173" s="311"/>
      <c r="IG173" s="311"/>
      <c r="IH173" s="312"/>
      <c r="II173" s="310"/>
      <c r="IJ173" s="310"/>
      <c r="IK173" s="310"/>
      <c r="IL173" s="310"/>
      <c r="IM173" s="310"/>
      <c r="IN173" s="310"/>
      <c r="IO173" s="310"/>
      <c r="IP173" s="310"/>
      <c r="IQ173" s="310"/>
      <c r="IR173" s="310"/>
      <c r="IS173" s="310"/>
      <c r="IT173" s="310"/>
      <c r="IU173" s="310"/>
      <c r="IV173" s="310"/>
      <c r="IW173" s="310"/>
      <c r="IX173" s="310"/>
      <c r="IY173" s="310"/>
      <c r="IZ173" s="310"/>
      <c r="JA173" s="310"/>
      <c r="JB173" s="310"/>
      <c r="JC173" s="310"/>
      <c r="JD173" s="310"/>
    </row>
    <row r="174" spans="1:264" s="17" customFormat="1" ht="24.95" hidden="1" customHeight="1">
      <c r="A174" s="326" t="s">
        <v>19</v>
      </c>
      <c r="B174" s="326" t="s">
        <v>27</v>
      </c>
      <c r="C174" s="307" t="s">
        <v>349</v>
      </c>
      <c r="D174" s="307" t="s">
        <v>380</v>
      </c>
      <c r="E174" s="327" t="s">
        <v>360</v>
      </c>
      <c r="F174" s="307" t="s">
        <v>360</v>
      </c>
      <c r="G174" s="328" t="s">
        <v>354</v>
      </c>
      <c r="H174" s="328"/>
      <c r="I174" s="329" t="s">
        <v>2108</v>
      </c>
      <c r="J174" s="330"/>
      <c r="K174" s="331" t="s">
        <v>375</v>
      </c>
      <c r="L174" s="326" t="s">
        <v>2103</v>
      </c>
      <c r="M174" s="332" t="s">
        <v>2111</v>
      </c>
      <c r="N174" s="332"/>
      <c r="O174" s="307" t="s">
        <v>3</v>
      </c>
      <c r="P174" s="307" t="s">
        <v>4</v>
      </c>
      <c r="Q174" s="333" t="s">
        <v>1118</v>
      </c>
      <c r="R174" s="333"/>
      <c r="S174" s="307"/>
      <c r="T174" s="307"/>
      <c r="U174" s="307"/>
      <c r="V174" s="307"/>
      <c r="W174" s="307"/>
      <c r="X174" s="307"/>
      <c r="Y174" s="307"/>
      <c r="Z174" s="307"/>
      <c r="AA174" s="334"/>
      <c r="AB174" s="335">
        <v>23773.759999999998</v>
      </c>
      <c r="AC174" s="335">
        <v>23773.759999999998</v>
      </c>
      <c r="AD174" s="335">
        <v>23773.759999999998</v>
      </c>
      <c r="AE174" s="335">
        <v>10118.98</v>
      </c>
      <c r="AF174" s="335">
        <f t="shared" si="86"/>
        <v>33892.74</v>
      </c>
      <c r="AG174" s="308">
        <v>0.12</v>
      </c>
      <c r="AH174" s="335">
        <f t="shared" si="87"/>
        <v>2852.8511999999996</v>
      </c>
      <c r="AI174" s="335">
        <f t="shared" si="76"/>
        <v>1214.2775999999999</v>
      </c>
      <c r="AJ174" s="335">
        <f t="shared" si="88"/>
        <v>37959.868800000004</v>
      </c>
      <c r="AK174" s="335"/>
      <c r="AL174" s="335"/>
      <c r="AM174" s="335"/>
      <c r="AN174" s="334"/>
      <c r="AO174" s="335"/>
      <c r="AP174" s="334"/>
      <c r="AQ174" s="334"/>
      <c r="AR174" s="308"/>
      <c r="AS174" s="334"/>
      <c r="AT174" s="334"/>
      <c r="AU174" s="334"/>
      <c r="AV174" s="334"/>
      <c r="AW174" s="334"/>
      <c r="AX174" s="334"/>
      <c r="AY174" s="334"/>
      <c r="AZ174" s="334"/>
      <c r="BA174" s="334"/>
      <c r="BB174" s="334"/>
      <c r="BC174" s="334"/>
      <c r="BD174" s="334"/>
      <c r="BE174" s="334"/>
      <c r="BF174" s="335"/>
      <c r="BG174" s="335"/>
      <c r="BH174" s="334"/>
      <c r="BI174" s="335"/>
      <c r="BJ174" s="335"/>
      <c r="BK174" s="335"/>
      <c r="BL174" s="335"/>
      <c r="BM174" s="335"/>
      <c r="BN174" s="336"/>
      <c r="BO174" s="336"/>
      <c r="BP174" s="336"/>
      <c r="BQ174" s="336"/>
      <c r="BR174" s="307"/>
      <c r="BS174" s="336"/>
      <c r="BT174" s="336"/>
      <c r="BU174" s="307"/>
      <c r="BV174" s="307"/>
      <c r="BW174" s="337"/>
      <c r="BX174" s="336"/>
      <c r="BY174" s="307"/>
      <c r="BZ174" s="336"/>
      <c r="CA174" s="336"/>
      <c r="CB174" s="337"/>
      <c r="CC174" s="337"/>
      <c r="CD174" s="337"/>
      <c r="CE174" s="338"/>
      <c r="CF174" s="338"/>
      <c r="CG174" s="307"/>
      <c r="CH174" s="307"/>
      <c r="CI174" s="307"/>
      <c r="CJ174" s="307"/>
      <c r="CK174" s="307"/>
      <c r="CL174" s="307"/>
      <c r="CM174" s="307"/>
      <c r="CN174" s="307"/>
      <c r="CO174" s="307"/>
      <c r="CP174" s="307"/>
      <c r="CQ174" s="307"/>
      <c r="CR174" s="307"/>
      <c r="CS174" s="307"/>
      <c r="CT174" s="334"/>
      <c r="CU174" s="334"/>
      <c r="CV174" s="336"/>
      <c r="CW174" s="339"/>
      <c r="CX174" s="340"/>
      <c r="CY174" s="336"/>
      <c r="CZ174" s="307"/>
      <c r="DA174" s="307"/>
      <c r="DB174" s="307"/>
      <c r="DC174" s="307"/>
      <c r="DD174" s="307"/>
      <c r="DE174" s="307"/>
      <c r="DF174" s="307"/>
      <c r="DG174" s="307"/>
      <c r="DH174" s="307"/>
      <c r="DI174" s="307"/>
      <c r="DJ174" s="307"/>
      <c r="DK174" s="307"/>
      <c r="DL174" s="307"/>
      <c r="DM174" s="307"/>
      <c r="DN174" s="307"/>
      <c r="DO174" s="307"/>
      <c r="DP174" s="307"/>
      <c r="DQ174" s="307"/>
      <c r="DR174" s="307"/>
      <c r="DS174" s="307"/>
      <c r="DT174" s="307"/>
      <c r="DU174" s="307"/>
      <c r="DV174" s="307"/>
      <c r="DW174" s="307"/>
      <c r="DX174" s="307"/>
      <c r="DY174" s="341"/>
      <c r="DZ174" s="307"/>
      <c r="EA174" s="307"/>
      <c r="EB174" s="307"/>
      <c r="EC174" s="307"/>
      <c r="ED174" s="307"/>
      <c r="EE174" s="307"/>
      <c r="EF174" s="307"/>
      <c r="EG174" s="307"/>
      <c r="EH174" s="307"/>
      <c r="EI174" s="336"/>
      <c r="EJ174" s="336"/>
      <c r="EK174" s="307"/>
      <c r="EL174" s="307"/>
      <c r="EM174" s="307"/>
      <c r="EN174" s="307"/>
      <c r="EO174" s="307"/>
      <c r="EP174" s="307"/>
      <c r="EQ174" s="307"/>
      <c r="ER174" s="307"/>
      <c r="ES174" s="307"/>
      <c r="ET174" s="307"/>
      <c r="EU174" s="307"/>
      <c r="EV174" s="307"/>
      <c r="EW174" s="307"/>
      <c r="EX174" s="307"/>
      <c r="EY174" s="307"/>
      <c r="EZ174" s="307"/>
      <c r="FA174" s="307"/>
      <c r="FB174" s="307"/>
      <c r="FC174" s="307"/>
      <c r="FD174" s="307"/>
      <c r="FE174" s="307"/>
      <c r="FF174" s="307"/>
      <c r="FG174" s="307"/>
      <c r="FH174" s="307"/>
      <c r="FI174" s="307"/>
      <c r="FJ174" s="307"/>
      <c r="FK174" s="307"/>
      <c r="FL174" s="307"/>
      <c r="FM174" s="307"/>
      <c r="FN174" s="307"/>
      <c r="FO174" s="307"/>
      <c r="FP174" s="307"/>
      <c r="FQ174" s="307"/>
      <c r="FR174" s="307"/>
      <c r="FS174" s="307"/>
      <c r="FT174" s="307"/>
      <c r="FU174" s="307"/>
      <c r="FV174" s="342"/>
      <c r="FW174" s="342"/>
      <c r="FX174" s="342"/>
      <c r="FY174" s="342"/>
      <c r="FZ174" s="342"/>
      <c r="GA174" s="342"/>
      <c r="GB174" s="342"/>
      <c r="GC174" s="308"/>
      <c r="GD174" s="308"/>
      <c r="GE174" s="308"/>
      <c r="GF174" s="308"/>
      <c r="GG174" s="308"/>
      <c r="GH174" s="308"/>
      <c r="GI174" s="308"/>
      <c r="GJ174" s="308"/>
      <c r="GK174" s="308"/>
      <c r="GL174" s="308"/>
      <c r="GM174" s="308"/>
      <c r="GN174" s="308"/>
      <c r="GO174" s="308"/>
      <c r="GP174" s="308"/>
      <c r="GQ174" s="308"/>
      <c r="GR174" s="308"/>
      <c r="GS174" s="308"/>
      <c r="GT174" s="308"/>
      <c r="GU174" s="308"/>
      <c r="GV174" s="308"/>
      <c r="GW174" s="308"/>
      <c r="GX174" s="308"/>
      <c r="GY174" s="308"/>
      <c r="GZ174" s="308"/>
      <c r="HA174" s="308"/>
      <c r="HB174" s="308"/>
      <c r="HC174" s="308"/>
      <c r="HD174" s="308"/>
      <c r="HE174" s="308"/>
      <c r="HF174" s="308"/>
      <c r="HG174" s="308"/>
      <c r="HH174" s="308"/>
      <c r="HI174" s="308"/>
      <c r="HJ174" s="308"/>
      <c r="HK174" s="308"/>
      <c r="HL174" s="308"/>
      <c r="HM174" s="308"/>
      <c r="HN174" s="308"/>
      <c r="HO174" s="308"/>
      <c r="HP174" s="308"/>
      <c r="HQ174" s="308"/>
      <c r="HR174" s="308"/>
      <c r="HS174" s="308"/>
      <c r="HT174" s="308"/>
      <c r="HU174" s="307"/>
      <c r="HV174" s="307"/>
      <c r="HW174" s="309"/>
      <c r="HX174" s="310"/>
      <c r="HY174" s="310"/>
      <c r="HZ174" s="310"/>
      <c r="IA174" s="310"/>
      <c r="IB174" s="310"/>
      <c r="IC174" s="310"/>
      <c r="ID174" s="310"/>
      <c r="IE174" s="310"/>
      <c r="IF174" s="311"/>
      <c r="IG174" s="311"/>
      <c r="IH174" s="312"/>
      <c r="II174" s="310"/>
      <c r="IJ174" s="310"/>
      <c r="IK174" s="310"/>
      <c r="IL174" s="310"/>
      <c r="IM174" s="310"/>
      <c r="IN174" s="310"/>
      <c r="IO174" s="310"/>
      <c r="IP174" s="310"/>
      <c r="IQ174" s="310"/>
      <c r="IR174" s="310"/>
      <c r="IS174" s="310"/>
      <c r="IT174" s="310"/>
      <c r="IU174" s="310"/>
      <c r="IV174" s="310"/>
      <c r="IW174" s="310"/>
      <c r="IX174" s="310"/>
      <c r="IY174" s="310"/>
      <c r="IZ174" s="310"/>
      <c r="JA174" s="310"/>
      <c r="JB174" s="310"/>
      <c r="JC174" s="310"/>
      <c r="JD174" s="310"/>
    </row>
    <row r="175" spans="1:264" s="17" customFormat="1" ht="24.95" hidden="1" customHeight="1">
      <c r="A175" s="326" t="s">
        <v>19</v>
      </c>
      <c r="B175" s="326" t="s">
        <v>27</v>
      </c>
      <c r="C175" s="307" t="s">
        <v>349</v>
      </c>
      <c r="D175" s="307" t="s">
        <v>380</v>
      </c>
      <c r="E175" s="327" t="s">
        <v>360</v>
      </c>
      <c r="F175" s="307" t="s">
        <v>360</v>
      </c>
      <c r="G175" s="328" t="s">
        <v>354</v>
      </c>
      <c r="H175" s="328"/>
      <c r="I175" s="329" t="s">
        <v>2109</v>
      </c>
      <c r="J175" s="330"/>
      <c r="K175" s="331" t="s">
        <v>375</v>
      </c>
      <c r="L175" s="326" t="s">
        <v>2103</v>
      </c>
      <c r="M175" s="332" t="s">
        <v>2111</v>
      </c>
      <c r="N175" s="332"/>
      <c r="O175" s="307" t="s">
        <v>3</v>
      </c>
      <c r="P175" s="307" t="s">
        <v>4</v>
      </c>
      <c r="Q175" s="333" t="s">
        <v>1118</v>
      </c>
      <c r="R175" s="333"/>
      <c r="S175" s="307"/>
      <c r="T175" s="307"/>
      <c r="U175" s="307"/>
      <c r="V175" s="307"/>
      <c r="W175" s="307"/>
      <c r="X175" s="307"/>
      <c r="Y175" s="307"/>
      <c r="Z175" s="307"/>
      <c r="AA175" s="334"/>
      <c r="AB175" s="335">
        <v>15243.92</v>
      </c>
      <c r="AC175" s="335">
        <v>15243.92</v>
      </c>
      <c r="AD175" s="335">
        <v>15243.92</v>
      </c>
      <c r="AE175" s="335">
        <v>6015.22</v>
      </c>
      <c r="AF175" s="335">
        <f t="shared" si="86"/>
        <v>21259.14</v>
      </c>
      <c r="AG175" s="308">
        <v>0.12</v>
      </c>
      <c r="AH175" s="335">
        <f t="shared" si="87"/>
        <v>1829.2703999999999</v>
      </c>
      <c r="AI175" s="335">
        <f t="shared" si="76"/>
        <v>721.82640000000004</v>
      </c>
      <c r="AJ175" s="335">
        <f t="shared" si="88"/>
        <v>23810.236800000002</v>
      </c>
      <c r="AK175" s="335"/>
      <c r="AL175" s="335"/>
      <c r="AM175" s="335"/>
      <c r="AN175" s="334"/>
      <c r="AO175" s="335"/>
      <c r="AP175" s="334"/>
      <c r="AQ175" s="334"/>
      <c r="AR175" s="308"/>
      <c r="AS175" s="334"/>
      <c r="AT175" s="334"/>
      <c r="AU175" s="334"/>
      <c r="AV175" s="334"/>
      <c r="AW175" s="334"/>
      <c r="AX175" s="334"/>
      <c r="AY175" s="334"/>
      <c r="AZ175" s="334"/>
      <c r="BA175" s="334"/>
      <c r="BB175" s="334"/>
      <c r="BC175" s="334"/>
      <c r="BD175" s="334"/>
      <c r="BE175" s="334"/>
      <c r="BF175" s="335"/>
      <c r="BG175" s="335"/>
      <c r="BH175" s="334"/>
      <c r="BI175" s="335"/>
      <c r="BJ175" s="335"/>
      <c r="BK175" s="335"/>
      <c r="BL175" s="335"/>
      <c r="BM175" s="335"/>
      <c r="BN175" s="336"/>
      <c r="BO175" s="336"/>
      <c r="BP175" s="336"/>
      <c r="BQ175" s="336"/>
      <c r="BR175" s="307"/>
      <c r="BS175" s="336"/>
      <c r="BT175" s="336"/>
      <c r="BU175" s="307"/>
      <c r="BV175" s="307"/>
      <c r="BW175" s="337"/>
      <c r="BX175" s="336"/>
      <c r="BY175" s="307"/>
      <c r="BZ175" s="336"/>
      <c r="CA175" s="336"/>
      <c r="CB175" s="337"/>
      <c r="CC175" s="337"/>
      <c r="CD175" s="337"/>
      <c r="CE175" s="338"/>
      <c r="CF175" s="338"/>
      <c r="CG175" s="307"/>
      <c r="CH175" s="307"/>
      <c r="CI175" s="307"/>
      <c r="CJ175" s="307"/>
      <c r="CK175" s="307"/>
      <c r="CL175" s="307"/>
      <c r="CM175" s="307"/>
      <c r="CN175" s="307"/>
      <c r="CO175" s="307"/>
      <c r="CP175" s="307"/>
      <c r="CQ175" s="307"/>
      <c r="CR175" s="307"/>
      <c r="CS175" s="307"/>
      <c r="CT175" s="334"/>
      <c r="CU175" s="334"/>
      <c r="CV175" s="336"/>
      <c r="CW175" s="339"/>
      <c r="CX175" s="340"/>
      <c r="CY175" s="336"/>
      <c r="CZ175" s="307"/>
      <c r="DA175" s="307"/>
      <c r="DB175" s="307"/>
      <c r="DC175" s="307"/>
      <c r="DD175" s="307"/>
      <c r="DE175" s="307"/>
      <c r="DF175" s="307"/>
      <c r="DG175" s="307"/>
      <c r="DH175" s="307"/>
      <c r="DI175" s="307"/>
      <c r="DJ175" s="307"/>
      <c r="DK175" s="307"/>
      <c r="DL175" s="307"/>
      <c r="DM175" s="307"/>
      <c r="DN175" s="307"/>
      <c r="DO175" s="307"/>
      <c r="DP175" s="307"/>
      <c r="DQ175" s="307"/>
      <c r="DR175" s="307"/>
      <c r="DS175" s="307"/>
      <c r="DT175" s="307"/>
      <c r="DU175" s="307"/>
      <c r="DV175" s="307"/>
      <c r="DW175" s="307"/>
      <c r="DX175" s="307"/>
      <c r="DY175" s="341"/>
      <c r="DZ175" s="307"/>
      <c r="EA175" s="307"/>
      <c r="EB175" s="307"/>
      <c r="EC175" s="307"/>
      <c r="ED175" s="307"/>
      <c r="EE175" s="307"/>
      <c r="EF175" s="307"/>
      <c r="EG175" s="307"/>
      <c r="EH175" s="307"/>
      <c r="EI175" s="336"/>
      <c r="EJ175" s="336"/>
      <c r="EK175" s="307"/>
      <c r="EL175" s="307"/>
      <c r="EM175" s="307"/>
      <c r="EN175" s="307"/>
      <c r="EO175" s="307"/>
      <c r="EP175" s="307"/>
      <c r="EQ175" s="307"/>
      <c r="ER175" s="307"/>
      <c r="ES175" s="307"/>
      <c r="ET175" s="307"/>
      <c r="EU175" s="307"/>
      <c r="EV175" s="307"/>
      <c r="EW175" s="307"/>
      <c r="EX175" s="307"/>
      <c r="EY175" s="307"/>
      <c r="EZ175" s="307"/>
      <c r="FA175" s="307"/>
      <c r="FB175" s="307"/>
      <c r="FC175" s="307"/>
      <c r="FD175" s="307"/>
      <c r="FE175" s="307"/>
      <c r="FF175" s="307"/>
      <c r="FG175" s="307"/>
      <c r="FH175" s="307"/>
      <c r="FI175" s="307"/>
      <c r="FJ175" s="307"/>
      <c r="FK175" s="307"/>
      <c r="FL175" s="307"/>
      <c r="FM175" s="307"/>
      <c r="FN175" s="307"/>
      <c r="FO175" s="307"/>
      <c r="FP175" s="307"/>
      <c r="FQ175" s="307"/>
      <c r="FR175" s="307"/>
      <c r="FS175" s="307"/>
      <c r="FT175" s="307"/>
      <c r="FU175" s="307"/>
      <c r="FV175" s="342"/>
      <c r="FW175" s="342"/>
      <c r="FX175" s="342"/>
      <c r="FY175" s="342"/>
      <c r="FZ175" s="342"/>
      <c r="GA175" s="342"/>
      <c r="GB175" s="342"/>
      <c r="GC175" s="308"/>
      <c r="GD175" s="308"/>
      <c r="GE175" s="308"/>
      <c r="GF175" s="308"/>
      <c r="GG175" s="308"/>
      <c r="GH175" s="308"/>
      <c r="GI175" s="308"/>
      <c r="GJ175" s="308"/>
      <c r="GK175" s="308"/>
      <c r="GL175" s="308"/>
      <c r="GM175" s="308"/>
      <c r="GN175" s="308"/>
      <c r="GO175" s="308"/>
      <c r="GP175" s="308"/>
      <c r="GQ175" s="308"/>
      <c r="GR175" s="308"/>
      <c r="GS175" s="308"/>
      <c r="GT175" s="308"/>
      <c r="GU175" s="308"/>
      <c r="GV175" s="308"/>
      <c r="GW175" s="308"/>
      <c r="GX175" s="308"/>
      <c r="GY175" s="308"/>
      <c r="GZ175" s="308"/>
      <c r="HA175" s="308"/>
      <c r="HB175" s="308"/>
      <c r="HC175" s="308"/>
      <c r="HD175" s="308"/>
      <c r="HE175" s="308"/>
      <c r="HF175" s="308"/>
      <c r="HG175" s="308"/>
      <c r="HH175" s="308"/>
      <c r="HI175" s="308"/>
      <c r="HJ175" s="308"/>
      <c r="HK175" s="308"/>
      <c r="HL175" s="308"/>
      <c r="HM175" s="308"/>
      <c r="HN175" s="308"/>
      <c r="HO175" s="308"/>
      <c r="HP175" s="308"/>
      <c r="HQ175" s="308"/>
      <c r="HR175" s="308"/>
      <c r="HS175" s="308"/>
      <c r="HT175" s="308"/>
      <c r="HU175" s="307"/>
      <c r="HV175" s="307"/>
      <c r="HW175" s="309"/>
      <c r="HX175" s="310"/>
      <c r="HY175" s="310"/>
      <c r="HZ175" s="310"/>
      <c r="IA175" s="310"/>
      <c r="IB175" s="310"/>
      <c r="IC175" s="310"/>
      <c r="ID175" s="310"/>
      <c r="IE175" s="310"/>
      <c r="IF175" s="311"/>
      <c r="IG175" s="311"/>
      <c r="IH175" s="312"/>
      <c r="II175" s="310"/>
      <c r="IJ175" s="310"/>
      <c r="IK175" s="310"/>
      <c r="IL175" s="310"/>
      <c r="IM175" s="310"/>
      <c r="IN175" s="310"/>
      <c r="IO175" s="310"/>
      <c r="IP175" s="310"/>
      <c r="IQ175" s="310"/>
      <c r="IR175" s="310"/>
      <c r="IS175" s="310"/>
      <c r="IT175" s="310"/>
      <c r="IU175" s="310"/>
      <c r="IV175" s="310"/>
      <c r="IW175" s="310"/>
      <c r="IX175" s="310"/>
      <c r="IY175" s="310"/>
      <c r="IZ175" s="310"/>
      <c r="JA175" s="310"/>
      <c r="JB175" s="310"/>
      <c r="JC175" s="310"/>
      <c r="JD175" s="310"/>
    </row>
    <row r="176" spans="1:264" s="17" customFormat="1" ht="24.95" hidden="1" customHeight="1">
      <c r="A176" s="326" t="s">
        <v>19</v>
      </c>
      <c r="B176" s="326" t="s">
        <v>27</v>
      </c>
      <c r="C176" s="307" t="s">
        <v>349</v>
      </c>
      <c r="D176" s="307" t="s">
        <v>380</v>
      </c>
      <c r="E176" s="327" t="s">
        <v>360</v>
      </c>
      <c r="F176" s="307" t="s">
        <v>360</v>
      </c>
      <c r="G176" s="328" t="s">
        <v>354</v>
      </c>
      <c r="H176" s="328"/>
      <c r="I176" s="329" t="s">
        <v>2110</v>
      </c>
      <c r="J176" s="330"/>
      <c r="K176" s="331" t="s">
        <v>375</v>
      </c>
      <c r="L176" s="326" t="s">
        <v>2103</v>
      </c>
      <c r="M176" s="332" t="s">
        <v>2111</v>
      </c>
      <c r="N176" s="332"/>
      <c r="O176" s="307" t="s">
        <v>3</v>
      </c>
      <c r="P176" s="307" t="s">
        <v>4</v>
      </c>
      <c r="Q176" s="333" t="s">
        <v>1118</v>
      </c>
      <c r="R176" s="333"/>
      <c r="S176" s="307"/>
      <c r="T176" s="307"/>
      <c r="U176" s="307"/>
      <c r="V176" s="307"/>
      <c r="W176" s="307"/>
      <c r="X176" s="307"/>
      <c r="Y176" s="307"/>
      <c r="Z176" s="307"/>
      <c r="AA176" s="334"/>
      <c r="AB176" s="335">
        <v>34978.22</v>
      </c>
      <c r="AC176" s="335">
        <v>34978.22</v>
      </c>
      <c r="AD176" s="335">
        <v>34978.22</v>
      </c>
      <c r="AE176" s="335">
        <v>15069.34</v>
      </c>
      <c r="AF176" s="335">
        <f t="shared" si="86"/>
        <v>50047.56</v>
      </c>
      <c r="AG176" s="308">
        <v>0.12</v>
      </c>
      <c r="AH176" s="335">
        <f t="shared" si="87"/>
        <v>4197.3864000000003</v>
      </c>
      <c r="AI176" s="335">
        <f t="shared" si="76"/>
        <v>1808.3208</v>
      </c>
      <c r="AJ176" s="335">
        <f t="shared" si="88"/>
        <v>56053.267200000002</v>
      </c>
      <c r="AK176" s="335"/>
      <c r="AL176" s="335"/>
      <c r="AM176" s="335"/>
      <c r="AN176" s="334"/>
      <c r="AO176" s="335"/>
      <c r="AP176" s="334"/>
      <c r="AQ176" s="334"/>
      <c r="AR176" s="308"/>
      <c r="AS176" s="334"/>
      <c r="AT176" s="334"/>
      <c r="AU176" s="334"/>
      <c r="AV176" s="334"/>
      <c r="AW176" s="334"/>
      <c r="AX176" s="334"/>
      <c r="AY176" s="334"/>
      <c r="AZ176" s="334"/>
      <c r="BA176" s="334"/>
      <c r="BB176" s="334"/>
      <c r="BC176" s="334"/>
      <c r="BD176" s="334"/>
      <c r="BE176" s="334"/>
      <c r="BF176" s="335"/>
      <c r="BG176" s="335"/>
      <c r="BH176" s="334"/>
      <c r="BI176" s="335"/>
      <c r="BJ176" s="335"/>
      <c r="BK176" s="335"/>
      <c r="BL176" s="335"/>
      <c r="BM176" s="335"/>
      <c r="BN176" s="336"/>
      <c r="BO176" s="336"/>
      <c r="BP176" s="336"/>
      <c r="BQ176" s="336"/>
      <c r="BR176" s="307"/>
      <c r="BS176" s="336"/>
      <c r="BT176" s="336"/>
      <c r="BU176" s="307"/>
      <c r="BV176" s="307"/>
      <c r="BW176" s="337"/>
      <c r="BX176" s="336"/>
      <c r="BY176" s="307"/>
      <c r="BZ176" s="336"/>
      <c r="CA176" s="336"/>
      <c r="CB176" s="337"/>
      <c r="CC176" s="337"/>
      <c r="CD176" s="337"/>
      <c r="CE176" s="338"/>
      <c r="CF176" s="338"/>
      <c r="CG176" s="307"/>
      <c r="CH176" s="307"/>
      <c r="CI176" s="307"/>
      <c r="CJ176" s="307"/>
      <c r="CK176" s="307"/>
      <c r="CL176" s="307"/>
      <c r="CM176" s="307"/>
      <c r="CN176" s="307"/>
      <c r="CO176" s="307"/>
      <c r="CP176" s="307"/>
      <c r="CQ176" s="307"/>
      <c r="CR176" s="307"/>
      <c r="CS176" s="307"/>
      <c r="CT176" s="334"/>
      <c r="CU176" s="334"/>
      <c r="CV176" s="336"/>
      <c r="CW176" s="339"/>
      <c r="CX176" s="340"/>
      <c r="CY176" s="336"/>
      <c r="CZ176" s="307"/>
      <c r="DA176" s="307"/>
      <c r="DB176" s="307"/>
      <c r="DC176" s="307"/>
      <c r="DD176" s="307"/>
      <c r="DE176" s="307"/>
      <c r="DF176" s="307"/>
      <c r="DG176" s="307"/>
      <c r="DH176" s="307"/>
      <c r="DI176" s="307"/>
      <c r="DJ176" s="307"/>
      <c r="DK176" s="307"/>
      <c r="DL176" s="307"/>
      <c r="DM176" s="307"/>
      <c r="DN176" s="307"/>
      <c r="DO176" s="307"/>
      <c r="DP176" s="307"/>
      <c r="DQ176" s="307"/>
      <c r="DR176" s="307"/>
      <c r="DS176" s="307"/>
      <c r="DT176" s="307"/>
      <c r="DU176" s="307"/>
      <c r="DV176" s="307"/>
      <c r="DW176" s="307"/>
      <c r="DX176" s="307"/>
      <c r="DY176" s="341"/>
      <c r="DZ176" s="307"/>
      <c r="EA176" s="307"/>
      <c r="EB176" s="307"/>
      <c r="EC176" s="307"/>
      <c r="ED176" s="307"/>
      <c r="EE176" s="307"/>
      <c r="EF176" s="307"/>
      <c r="EG176" s="307"/>
      <c r="EH176" s="307"/>
      <c r="EI176" s="336"/>
      <c r="EJ176" s="336"/>
      <c r="EK176" s="307"/>
      <c r="EL176" s="307"/>
      <c r="EM176" s="307"/>
      <c r="EN176" s="307"/>
      <c r="EO176" s="307"/>
      <c r="EP176" s="307"/>
      <c r="EQ176" s="307"/>
      <c r="ER176" s="307"/>
      <c r="ES176" s="307"/>
      <c r="ET176" s="307"/>
      <c r="EU176" s="307"/>
      <c r="EV176" s="307"/>
      <c r="EW176" s="307"/>
      <c r="EX176" s="307"/>
      <c r="EY176" s="307"/>
      <c r="EZ176" s="307"/>
      <c r="FA176" s="307"/>
      <c r="FB176" s="307"/>
      <c r="FC176" s="307"/>
      <c r="FD176" s="307"/>
      <c r="FE176" s="307"/>
      <c r="FF176" s="307"/>
      <c r="FG176" s="307"/>
      <c r="FH176" s="307"/>
      <c r="FI176" s="307"/>
      <c r="FJ176" s="307"/>
      <c r="FK176" s="307"/>
      <c r="FL176" s="307"/>
      <c r="FM176" s="307"/>
      <c r="FN176" s="307"/>
      <c r="FO176" s="307"/>
      <c r="FP176" s="307"/>
      <c r="FQ176" s="307"/>
      <c r="FR176" s="307"/>
      <c r="FS176" s="307"/>
      <c r="FT176" s="307"/>
      <c r="FU176" s="307"/>
      <c r="FV176" s="342"/>
      <c r="FW176" s="342"/>
      <c r="FX176" s="342"/>
      <c r="FY176" s="342"/>
      <c r="FZ176" s="342"/>
      <c r="GA176" s="342"/>
      <c r="GB176" s="342"/>
      <c r="GC176" s="308"/>
      <c r="GD176" s="308"/>
      <c r="GE176" s="308"/>
      <c r="GF176" s="308"/>
      <c r="GG176" s="308"/>
      <c r="GH176" s="308"/>
      <c r="GI176" s="308"/>
      <c r="GJ176" s="308"/>
      <c r="GK176" s="308"/>
      <c r="GL176" s="308"/>
      <c r="GM176" s="308"/>
      <c r="GN176" s="308"/>
      <c r="GO176" s="308"/>
      <c r="GP176" s="308"/>
      <c r="GQ176" s="308"/>
      <c r="GR176" s="308"/>
      <c r="GS176" s="308"/>
      <c r="GT176" s="308"/>
      <c r="GU176" s="308"/>
      <c r="GV176" s="308"/>
      <c r="GW176" s="308"/>
      <c r="GX176" s="308"/>
      <c r="GY176" s="308"/>
      <c r="GZ176" s="308"/>
      <c r="HA176" s="308"/>
      <c r="HB176" s="308"/>
      <c r="HC176" s="308"/>
      <c r="HD176" s="308"/>
      <c r="HE176" s="308"/>
      <c r="HF176" s="308"/>
      <c r="HG176" s="308"/>
      <c r="HH176" s="308"/>
      <c r="HI176" s="308"/>
      <c r="HJ176" s="308"/>
      <c r="HK176" s="308"/>
      <c r="HL176" s="308"/>
      <c r="HM176" s="308"/>
      <c r="HN176" s="308"/>
      <c r="HO176" s="308"/>
      <c r="HP176" s="308"/>
      <c r="HQ176" s="308"/>
      <c r="HR176" s="308"/>
      <c r="HS176" s="308"/>
      <c r="HT176" s="308"/>
      <c r="HU176" s="307"/>
      <c r="HV176" s="307"/>
      <c r="HW176" s="309"/>
      <c r="HX176" s="310"/>
      <c r="HY176" s="310"/>
      <c r="HZ176" s="310"/>
      <c r="IA176" s="310"/>
      <c r="IB176" s="310"/>
      <c r="IC176" s="310"/>
      <c r="ID176" s="310"/>
      <c r="IE176" s="310"/>
      <c r="IF176" s="311"/>
      <c r="IG176" s="311"/>
      <c r="IH176" s="312"/>
      <c r="II176" s="310"/>
      <c r="IJ176" s="310"/>
      <c r="IK176" s="310"/>
      <c r="IL176" s="310"/>
      <c r="IM176" s="310"/>
      <c r="IN176" s="310"/>
      <c r="IO176" s="310"/>
      <c r="IP176" s="310"/>
      <c r="IQ176" s="310"/>
      <c r="IR176" s="310"/>
      <c r="IS176" s="310"/>
      <c r="IT176" s="310"/>
      <c r="IU176" s="310"/>
      <c r="IV176" s="310"/>
      <c r="IW176" s="310"/>
      <c r="IX176" s="310"/>
      <c r="IY176" s="310"/>
      <c r="IZ176" s="310"/>
      <c r="JA176" s="310"/>
      <c r="JB176" s="310"/>
      <c r="JC176" s="310"/>
      <c r="JD176" s="310"/>
    </row>
    <row r="177" spans="1:265" s="5" customFormat="1" ht="24.95" hidden="1" customHeight="1">
      <c r="A177" s="26" t="s">
        <v>155</v>
      </c>
      <c r="B177" s="26" t="s">
        <v>27</v>
      </c>
      <c r="C177" s="13" t="s">
        <v>349</v>
      </c>
      <c r="D177" s="13" t="s">
        <v>382</v>
      </c>
      <c r="E177" s="16" t="s">
        <v>360</v>
      </c>
      <c r="F177" s="13" t="s">
        <v>360</v>
      </c>
      <c r="G177" s="39" t="s">
        <v>354</v>
      </c>
      <c r="H177" s="39" t="s">
        <v>1581</v>
      </c>
      <c r="I177" s="313" t="s">
        <v>321</v>
      </c>
      <c r="J177" s="40">
        <v>1</v>
      </c>
      <c r="K177" s="49" t="s">
        <v>375</v>
      </c>
      <c r="L177" s="26" t="s">
        <v>156</v>
      </c>
      <c r="M177" s="20" t="s">
        <v>321</v>
      </c>
      <c r="N177" s="20"/>
      <c r="O177" s="13" t="s">
        <v>3</v>
      </c>
      <c r="P177" s="13" t="s">
        <v>4</v>
      </c>
      <c r="Q177" s="22" t="s">
        <v>1118</v>
      </c>
      <c r="R177" s="26" t="s">
        <v>156</v>
      </c>
      <c r="S177" s="22" t="s">
        <v>909</v>
      </c>
      <c r="T177" s="22" t="s">
        <v>1387</v>
      </c>
      <c r="U177" s="22" t="s">
        <v>477</v>
      </c>
      <c r="V177" s="22" t="s">
        <v>503</v>
      </c>
      <c r="W177" s="13" t="s">
        <v>908</v>
      </c>
      <c r="X177" s="24">
        <v>1001659232001</v>
      </c>
      <c r="Y177" s="13" t="s">
        <v>907</v>
      </c>
      <c r="Z177" s="13"/>
      <c r="AA177" s="37"/>
      <c r="AB177" s="68">
        <v>168591.55</v>
      </c>
      <c r="AC177" s="29">
        <v>0</v>
      </c>
      <c r="AD177" s="37">
        <v>229264.07</v>
      </c>
      <c r="AE177" s="29">
        <f>AK177-AB177</f>
        <v>23750.51999999996</v>
      </c>
      <c r="AF177" s="29">
        <f t="shared" si="70"/>
        <v>253014.58999999997</v>
      </c>
      <c r="AG177" s="25">
        <v>0.12</v>
      </c>
      <c r="AH177" s="29">
        <f t="shared" si="82"/>
        <v>27511.688399999999</v>
      </c>
      <c r="AI177" s="29">
        <f t="shared" si="76"/>
        <v>2850.0623999999953</v>
      </c>
      <c r="AJ177" s="29">
        <f t="shared" si="83"/>
        <v>283376.34080000001</v>
      </c>
      <c r="AK177" s="29">
        <v>192342.06999999995</v>
      </c>
      <c r="AL177" s="126">
        <f t="shared" si="84"/>
        <v>-23750.51999999996</v>
      </c>
      <c r="AM177" s="29"/>
      <c r="AN177" s="37"/>
      <c r="AO177" s="37">
        <v>185846.78</v>
      </c>
      <c r="AP177" s="37"/>
      <c r="AQ177" s="37">
        <v>168591.55</v>
      </c>
      <c r="AR177" s="37"/>
      <c r="AS177" s="37"/>
      <c r="AT177" s="37"/>
      <c r="AU177" s="37"/>
      <c r="AV177" s="37"/>
      <c r="AW177" s="37"/>
      <c r="AX177" s="37"/>
      <c r="AY177" s="37"/>
      <c r="AZ177" s="37"/>
      <c r="BA177" s="37"/>
      <c r="BB177" s="37"/>
      <c r="BC177" s="37"/>
      <c r="BD177" s="37"/>
      <c r="BE177" s="37"/>
      <c r="BF177" s="29">
        <f>AB177-AQ177</f>
        <v>0</v>
      </c>
      <c r="BG177" s="29">
        <f t="shared" si="73"/>
        <v>0</v>
      </c>
      <c r="BH177" s="37" t="s">
        <v>594</v>
      </c>
      <c r="BI177" s="29" t="s">
        <v>570</v>
      </c>
      <c r="BJ177" s="29" t="s">
        <v>570</v>
      </c>
      <c r="BK177" s="29" t="s">
        <v>570</v>
      </c>
      <c r="BL177" s="29" t="s">
        <v>570</v>
      </c>
      <c r="BM177" s="29" t="s">
        <v>570</v>
      </c>
      <c r="BN177" s="23">
        <v>42250</v>
      </c>
      <c r="BO177" s="23">
        <v>42272</v>
      </c>
      <c r="BP177" s="23">
        <v>42277</v>
      </c>
      <c r="BQ177" s="23">
        <v>42282</v>
      </c>
      <c r="BR177" s="13" t="s">
        <v>570</v>
      </c>
      <c r="BS177" s="23">
        <v>42306</v>
      </c>
      <c r="BT177" s="23">
        <v>42313</v>
      </c>
      <c r="BU177" s="13" t="s">
        <v>570</v>
      </c>
      <c r="BV177" s="13" t="s">
        <v>570</v>
      </c>
      <c r="BW177" s="224" t="s">
        <v>570</v>
      </c>
      <c r="BX177" s="23">
        <v>42305</v>
      </c>
      <c r="BY177" s="13" t="s">
        <v>570</v>
      </c>
      <c r="BZ177" s="23">
        <v>42305</v>
      </c>
      <c r="CA177" s="23">
        <v>42324</v>
      </c>
      <c r="CB177" s="224" t="s">
        <v>570</v>
      </c>
      <c r="CC177" s="224" t="s">
        <v>570</v>
      </c>
      <c r="CD177" s="224" t="s">
        <v>570</v>
      </c>
      <c r="CE177" s="13"/>
      <c r="CF177" s="127" t="s">
        <v>829</v>
      </c>
      <c r="CG177" s="13"/>
      <c r="CH177" s="13"/>
      <c r="CI177" s="13"/>
      <c r="CJ177" s="13"/>
      <c r="CK177" s="13"/>
      <c r="CL177" s="13"/>
      <c r="CM177" s="13"/>
      <c r="CN177" s="13"/>
      <c r="CO177" s="13"/>
      <c r="CP177" s="13"/>
      <c r="CQ177" s="13"/>
      <c r="CR177" s="127" t="s">
        <v>829</v>
      </c>
      <c r="CS177" s="13" t="s">
        <v>570</v>
      </c>
      <c r="CT177" s="37" t="s">
        <v>452</v>
      </c>
      <c r="CU177" s="25">
        <v>0.05</v>
      </c>
      <c r="CV177" s="23">
        <v>42354</v>
      </c>
      <c r="CW177" s="30">
        <f>AQ177*0.5</f>
        <v>84295.774999999994</v>
      </c>
      <c r="CX177" s="170" t="s">
        <v>1279</v>
      </c>
      <c r="CY177" s="23">
        <v>42572</v>
      </c>
      <c r="CZ177" s="30">
        <f>59278.23-29639.12-2963.91</f>
        <v>26675.200000000004</v>
      </c>
      <c r="DA177" s="170" t="s">
        <v>1280</v>
      </c>
      <c r="DB177" s="23">
        <v>42585</v>
      </c>
      <c r="DC177" s="30">
        <v>27329.769999999997</v>
      </c>
      <c r="DD177" s="80" t="s">
        <v>1999</v>
      </c>
      <c r="DE177" s="23">
        <v>42690</v>
      </c>
      <c r="DF177" s="30">
        <f>(72194.4+136.62)-24290.25-3616.55</f>
        <v>44424.219999999987</v>
      </c>
      <c r="DG177" s="80" t="s">
        <v>1281</v>
      </c>
      <c r="DH177" s="23">
        <v>42745</v>
      </c>
      <c r="DI177" s="54">
        <v>4808.55</v>
      </c>
      <c r="DJ177" s="80" t="s">
        <v>1282</v>
      </c>
      <c r="DK177" s="99">
        <v>42766</v>
      </c>
      <c r="DL177" s="238">
        <v>4808.55</v>
      </c>
      <c r="DM177" s="13"/>
      <c r="DN177" s="13"/>
      <c r="DO177" s="13"/>
      <c r="DP177" s="13"/>
      <c r="DQ177" s="13"/>
      <c r="DR177" s="13"/>
      <c r="DS177" s="13"/>
      <c r="DT177" s="13"/>
      <c r="DU177" s="13"/>
      <c r="DV177" s="13"/>
      <c r="DW177" s="13"/>
      <c r="DX177" s="13"/>
      <c r="DY177" s="31">
        <f t="shared" si="74"/>
        <v>192342.06499999994</v>
      </c>
      <c r="DZ177" s="13"/>
      <c r="EA177" s="13"/>
      <c r="EB177" s="13"/>
      <c r="EC177" s="13"/>
      <c r="ED177" s="13"/>
      <c r="EE177" s="13"/>
      <c r="EF177" s="13"/>
      <c r="EG177" s="24">
        <v>180</v>
      </c>
      <c r="EH177" s="13" t="s">
        <v>588</v>
      </c>
      <c r="EI177" s="23">
        <f>CV177+1</f>
        <v>42355</v>
      </c>
      <c r="EJ177" s="23">
        <f>EI177+EG177</f>
        <v>42535</v>
      </c>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25">
        <v>0.1</v>
      </c>
      <c r="FI177" s="25">
        <v>0.18</v>
      </c>
      <c r="FJ177" s="25">
        <v>0.28999999999999998</v>
      </c>
      <c r="FK177" s="25">
        <v>0.49880000000000002</v>
      </c>
      <c r="FL177" s="25">
        <v>0.67920000000000003</v>
      </c>
      <c r="FM177" s="25">
        <v>0.99</v>
      </c>
      <c r="FN177" s="25">
        <v>1</v>
      </c>
      <c r="FO177" s="25">
        <v>1</v>
      </c>
      <c r="FP177" s="25">
        <v>1</v>
      </c>
      <c r="FQ177" s="25">
        <v>1</v>
      </c>
      <c r="FR177" s="25">
        <v>1</v>
      </c>
      <c r="FS177" s="25">
        <v>1</v>
      </c>
      <c r="FT177" s="25">
        <v>1</v>
      </c>
      <c r="FU177" s="25">
        <v>1</v>
      </c>
      <c r="FV177" s="25">
        <v>1</v>
      </c>
      <c r="FW177" s="25">
        <v>1</v>
      </c>
      <c r="FX177" s="25">
        <v>1</v>
      </c>
      <c r="FY177" s="25">
        <v>1</v>
      </c>
      <c r="FZ177" s="25">
        <v>1</v>
      </c>
      <c r="GA177" s="25">
        <v>1</v>
      </c>
      <c r="GB177" s="25">
        <v>1</v>
      </c>
      <c r="GC177" s="25">
        <v>1</v>
      </c>
      <c r="GD177" s="25">
        <v>1</v>
      </c>
      <c r="GE177" s="25">
        <v>1</v>
      </c>
      <c r="GF177" s="25">
        <v>1</v>
      </c>
      <c r="GG177" s="25">
        <v>1</v>
      </c>
      <c r="GH177" s="25">
        <v>1</v>
      </c>
      <c r="GI177" s="25">
        <v>1</v>
      </c>
      <c r="GJ177" s="25">
        <v>1</v>
      </c>
      <c r="GK177" s="25">
        <v>1</v>
      </c>
      <c r="GL177" s="25">
        <v>1</v>
      </c>
      <c r="GM177" s="25">
        <v>1</v>
      </c>
      <c r="GN177" s="25">
        <v>1</v>
      </c>
      <c r="GO177" s="25">
        <v>1</v>
      </c>
      <c r="GP177" s="25">
        <v>1</v>
      </c>
      <c r="GQ177" s="25">
        <v>1</v>
      </c>
      <c r="GR177" s="25">
        <v>1</v>
      </c>
      <c r="GS177" s="25">
        <v>1</v>
      </c>
      <c r="GT177" s="25">
        <v>1</v>
      </c>
      <c r="GU177" s="25">
        <v>1</v>
      </c>
      <c r="GV177" s="25" t="s">
        <v>455</v>
      </c>
      <c r="GW177" s="25" t="s">
        <v>455</v>
      </c>
      <c r="GX177" s="25" t="s">
        <v>455</v>
      </c>
      <c r="GY177" s="25" t="s">
        <v>455</v>
      </c>
      <c r="GZ177" s="25" t="s">
        <v>455</v>
      </c>
      <c r="HA177" s="25" t="s">
        <v>455</v>
      </c>
      <c r="HB177" s="25" t="s">
        <v>455</v>
      </c>
      <c r="HC177" s="25" t="s">
        <v>455</v>
      </c>
      <c r="HD177" s="25" t="s">
        <v>455</v>
      </c>
      <c r="HE177" s="25" t="s">
        <v>455</v>
      </c>
      <c r="HF177" s="25" t="s">
        <v>455</v>
      </c>
      <c r="HG177" s="25" t="s">
        <v>455</v>
      </c>
      <c r="HH177" s="25" t="s">
        <v>455</v>
      </c>
      <c r="HI177" s="25"/>
      <c r="HJ177" s="25"/>
      <c r="HK177" s="25"/>
      <c r="HL177" s="25"/>
      <c r="HM177" s="25"/>
      <c r="HN177" s="25"/>
      <c r="HO177" s="25"/>
      <c r="HP177" s="25"/>
      <c r="HQ177" s="25"/>
      <c r="HR177" s="25"/>
      <c r="HS177" s="25"/>
      <c r="HT177" s="25"/>
      <c r="HU177" s="13"/>
      <c r="HV177" s="13"/>
      <c r="HW177" s="32"/>
      <c r="HX177" s="55"/>
      <c r="HY177" s="55"/>
      <c r="HZ177" s="55"/>
      <c r="IA177" s="55"/>
      <c r="IB177" s="55"/>
      <c r="IC177" s="55"/>
      <c r="ID177" s="55"/>
      <c r="IE177" s="55"/>
      <c r="IF177" s="107">
        <v>168591.55</v>
      </c>
      <c r="IG177" s="107">
        <v>192342.06999999995</v>
      </c>
      <c r="IH177" s="250">
        <f t="shared" si="85"/>
        <v>0</v>
      </c>
      <c r="II177" s="55"/>
      <c r="IJ177" s="55"/>
      <c r="IK177" s="55"/>
      <c r="IL177" s="55"/>
      <c r="IM177" s="55"/>
      <c r="IN177" s="55"/>
      <c r="IO177" s="55"/>
      <c r="IP177" s="55"/>
      <c r="IQ177" s="55"/>
      <c r="IR177" s="55"/>
      <c r="IS177" s="55"/>
      <c r="IT177" s="55"/>
      <c r="IU177" s="55"/>
      <c r="IV177" s="55"/>
      <c r="IW177" s="55"/>
      <c r="IX177" s="55"/>
      <c r="IY177" s="55"/>
      <c r="IZ177" s="55"/>
      <c r="JA177" s="55"/>
      <c r="JB177" s="55"/>
      <c r="JC177" s="55"/>
      <c r="JD177" s="55">
        <v>2016</v>
      </c>
    </row>
    <row r="178" spans="1:265" s="5" customFormat="1" ht="24.95" hidden="1" customHeight="1">
      <c r="A178" s="26" t="s">
        <v>155</v>
      </c>
      <c r="B178" s="26" t="s">
        <v>27</v>
      </c>
      <c r="C178" s="13" t="s">
        <v>349</v>
      </c>
      <c r="D178" s="13" t="s">
        <v>382</v>
      </c>
      <c r="E178" s="16" t="s">
        <v>360</v>
      </c>
      <c r="F178" s="13" t="s">
        <v>360</v>
      </c>
      <c r="G178" s="39" t="s">
        <v>354</v>
      </c>
      <c r="H178" s="39" t="s">
        <v>1581</v>
      </c>
      <c r="I178" s="313" t="s">
        <v>158</v>
      </c>
      <c r="J178" s="40">
        <v>2</v>
      </c>
      <c r="K178" s="49" t="s">
        <v>375</v>
      </c>
      <c r="L178" s="26" t="s">
        <v>157</v>
      </c>
      <c r="M178" s="20" t="s">
        <v>158</v>
      </c>
      <c r="N178" s="20"/>
      <c r="O178" s="13" t="s">
        <v>3</v>
      </c>
      <c r="P178" s="13" t="s">
        <v>4</v>
      </c>
      <c r="Q178" s="22" t="s">
        <v>1118</v>
      </c>
      <c r="R178" s="26" t="s">
        <v>157</v>
      </c>
      <c r="S178" s="22" t="s">
        <v>909</v>
      </c>
      <c r="T178" s="22" t="s">
        <v>1387</v>
      </c>
      <c r="U178" s="22" t="s">
        <v>477</v>
      </c>
      <c r="V178" s="22" t="s">
        <v>503</v>
      </c>
      <c r="W178" s="13" t="s">
        <v>911</v>
      </c>
      <c r="X178" s="24">
        <v>1001659232001</v>
      </c>
      <c r="Y178" s="13" t="s">
        <v>910</v>
      </c>
      <c r="Z178" s="13"/>
      <c r="AA178" s="37"/>
      <c r="AB178" s="68">
        <v>297843.32</v>
      </c>
      <c r="AC178" s="29">
        <v>0</v>
      </c>
      <c r="AD178" s="37">
        <v>481603.99107142852</v>
      </c>
      <c r="AE178" s="29">
        <f>AK178-AB178</f>
        <v>42186.660000000033</v>
      </c>
      <c r="AF178" s="29">
        <f t="shared" si="70"/>
        <v>523790.65107142855</v>
      </c>
      <c r="AG178" s="25">
        <v>0.12</v>
      </c>
      <c r="AH178" s="29">
        <f t="shared" si="82"/>
        <v>57792.478928571421</v>
      </c>
      <c r="AI178" s="29">
        <f t="shared" si="76"/>
        <v>5062.3992000000035</v>
      </c>
      <c r="AJ178" s="29">
        <f t="shared" si="83"/>
        <v>586645.52919999999</v>
      </c>
      <c r="AK178" s="126">
        <v>340029.98000000004</v>
      </c>
      <c r="AL178" s="126">
        <f t="shared" si="84"/>
        <v>-42186.660000000033</v>
      </c>
      <c r="AM178" s="126"/>
      <c r="AN178" s="37"/>
      <c r="AO178" s="37">
        <v>335247.68</v>
      </c>
      <c r="AP178" s="37"/>
      <c r="AQ178" s="37">
        <v>297843.32</v>
      </c>
      <c r="AR178" s="37"/>
      <c r="AS178" s="37"/>
      <c r="AT178" s="37"/>
      <c r="AU178" s="37"/>
      <c r="AV178" s="37"/>
      <c r="AW178" s="37"/>
      <c r="AX178" s="37"/>
      <c r="AY178" s="37"/>
      <c r="AZ178" s="37"/>
      <c r="BA178" s="37"/>
      <c r="BB178" s="37"/>
      <c r="BC178" s="37"/>
      <c r="BD178" s="37"/>
      <c r="BE178" s="37"/>
      <c r="BF178" s="29">
        <f>AB178-AQ178</f>
        <v>0</v>
      </c>
      <c r="BG178" s="29">
        <f t="shared" si="73"/>
        <v>0</v>
      </c>
      <c r="BH178" s="37" t="s">
        <v>594</v>
      </c>
      <c r="BI178" s="29" t="s">
        <v>570</v>
      </c>
      <c r="BJ178" s="29" t="s">
        <v>570</v>
      </c>
      <c r="BK178" s="29" t="s">
        <v>570</v>
      </c>
      <c r="BL178" s="29" t="s">
        <v>570</v>
      </c>
      <c r="BM178" s="29" t="s">
        <v>570</v>
      </c>
      <c r="BN178" s="23">
        <v>42250</v>
      </c>
      <c r="BO178" s="23">
        <v>42272</v>
      </c>
      <c r="BP178" s="23">
        <v>42277</v>
      </c>
      <c r="BQ178" s="23">
        <v>42282</v>
      </c>
      <c r="BR178" s="13" t="s">
        <v>570</v>
      </c>
      <c r="BS178" s="23">
        <v>42306</v>
      </c>
      <c r="BT178" s="23">
        <v>42313</v>
      </c>
      <c r="BU178" s="13" t="s">
        <v>570</v>
      </c>
      <c r="BV178" s="13" t="s">
        <v>570</v>
      </c>
      <c r="BW178" s="224" t="s">
        <v>570</v>
      </c>
      <c r="BX178" s="23">
        <v>42306</v>
      </c>
      <c r="BY178" s="13" t="s">
        <v>570</v>
      </c>
      <c r="BZ178" s="23">
        <v>42312</v>
      </c>
      <c r="CA178" s="23">
        <v>42325</v>
      </c>
      <c r="CB178" s="224" t="s">
        <v>570</v>
      </c>
      <c r="CC178" s="224" t="s">
        <v>570</v>
      </c>
      <c r="CD178" s="224" t="s">
        <v>570</v>
      </c>
      <c r="CE178" s="13"/>
      <c r="CF178" s="127" t="s">
        <v>829</v>
      </c>
      <c r="CG178" s="13"/>
      <c r="CH178" s="13"/>
      <c r="CI178" s="13"/>
      <c r="CJ178" s="13"/>
      <c r="CK178" s="13"/>
      <c r="CL178" s="13"/>
      <c r="CM178" s="13"/>
      <c r="CN178" s="13"/>
      <c r="CO178" s="13"/>
      <c r="CP178" s="13"/>
      <c r="CQ178" s="13"/>
      <c r="CR178" s="127" t="s">
        <v>829</v>
      </c>
      <c r="CS178" s="13" t="s">
        <v>570</v>
      </c>
      <c r="CT178" s="37" t="s">
        <v>452</v>
      </c>
      <c r="CU178" s="25">
        <v>0.05</v>
      </c>
      <c r="CV178" s="23">
        <v>42352</v>
      </c>
      <c r="CW178" s="30">
        <f>AQ178*0.5</f>
        <v>148921.66</v>
      </c>
      <c r="CX178" s="170" t="s">
        <v>1283</v>
      </c>
      <c r="CY178" s="23">
        <v>42516</v>
      </c>
      <c r="CZ178" s="30">
        <f>105144.07-52572.04-5257.2</f>
        <v>47314.830000000009</v>
      </c>
      <c r="DA178" s="170" t="s">
        <v>1284</v>
      </c>
      <c r="DB178" s="23">
        <v>42547</v>
      </c>
      <c r="DC178" s="30">
        <f>108247.14-54123.57</f>
        <v>54123.57</v>
      </c>
      <c r="DD178" s="80" t="s">
        <v>1285</v>
      </c>
      <c r="DE178" s="23">
        <v>42685</v>
      </c>
      <c r="DF178" s="30">
        <f>(125859.74+779.03)-42226.05-11744.3</f>
        <v>72668.42</v>
      </c>
      <c r="DG178" s="80" t="s">
        <v>1286</v>
      </c>
      <c r="DH178" s="23">
        <v>42774</v>
      </c>
      <c r="DI178" s="54">
        <v>8500.75</v>
      </c>
      <c r="DJ178" s="170" t="s">
        <v>1483</v>
      </c>
      <c r="DK178" s="99">
        <v>42830</v>
      </c>
      <c r="DL178" s="238">
        <v>8500.75</v>
      </c>
      <c r="DM178" s="13"/>
      <c r="DN178" s="13"/>
      <c r="DO178" s="13"/>
      <c r="DP178" s="13"/>
      <c r="DQ178" s="13"/>
      <c r="DR178" s="13"/>
      <c r="DS178" s="13"/>
      <c r="DT178" s="13"/>
      <c r="DU178" s="13"/>
      <c r="DV178" s="13"/>
      <c r="DW178" s="13"/>
      <c r="DX178" s="13"/>
      <c r="DY178" s="31">
        <f t="shared" si="74"/>
        <v>340029.98000000004</v>
      </c>
      <c r="DZ178" s="13"/>
      <c r="EA178" s="13"/>
      <c r="EB178" s="13"/>
      <c r="EC178" s="13"/>
      <c r="ED178" s="13"/>
      <c r="EE178" s="13"/>
      <c r="EF178" s="13"/>
      <c r="EG178" s="24">
        <v>180</v>
      </c>
      <c r="EH178" s="13" t="s">
        <v>588</v>
      </c>
      <c r="EI178" s="23">
        <f>CV178+1</f>
        <v>42353</v>
      </c>
      <c r="EJ178" s="23">
        <f>EI178+EG178</f>
        <v>42533</v>
      </c>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25">
        <v>0.15</v>
      </c>
      <c r="FI178" s="25">
        <v>0.28000000000000003</v>
      </c>
      <c r="FJ178" s="25">
        <v>0.3</v>
      </c>
      <c r="FK178" s="25">
        <v>0.5</v>
      </c>
      <c r="FL178" s="25">
        <v>0.75</v>
      </c>
      <c r="FM178" s="25">
        <v>0.8</v>
      </c>
      <c r="FN178" s="25">
        <v>0.88</v>
      </c>
      <c r="FO178" s="25">
        <v>1</v>
      </c>
      <c r="FP178" s="25">
        <v>1</v>
      </c>
      <c r="FQ178" s="25">
        <v>1</v>
      </c>
      <c r="FR178" s="25">
        <v>1</v>
      </c>
      <c r="FS178" s="25">
        <v>1</v>
      </c>
      <c r="FT178" s="25">
        <v>1</v>
      </c>
      <c r="FU178" s="25">
        <v>1</v>
      </c>
      <c r="FV178" s="25">
        <v>1</v>
      </c>
      <c r="FW178" s="25">
        <v>1</v>
      </c>
      <c r="FX178" s="25">
        <v>1</v>
      </c>
      <c r="FY178" s="25">
        <v>1</v>
      </c>
      <c r="FZ178" s="25">
        <v>1</v>
      </c>
      <c r="GA178" s="25">
        <v>1</v>
      </c>
      <c r="GB178" s="25">
        <v>1</v>
      </c>
      <c r="GC178" s="25">
        <v>1</v>
      </c>
      <c r="GD178" s="25">
        <v>1</v>
      </c>
      <c r="GE178" s="25">
        <v>1</v>
      </c>
      <c r="GF178" s="25">
        <v>1</v>
      </c>
      <c r="GG178" s="25">
        <v>1</v>
      </c>
      <c r="GH178" s="25">
        <v>1</v>
      </c>
      <c r="GI178" s="25">
        <v>1</v>
      </c>
      <c r="GJ178" s="25">
        <v>1</v>
      </c>
      <c r="GK178" s="25">
        <v>1</v>
      </c>
      <c r="GL178" s="25">
        <v>1</v>
      </c>
      <c r="GM178" s="25">
        <v>1</v>
      </c>
      <c r="GN178" s="25">
        <v>1</v>
      </c>
      <c r="GO178" s="25">
        <v>1</v>
      </c>
      <c r="GP178" s="25">
        <v>1</v>
      </c>
      <c r="GQ178" s="25">
        <v>1</v>
      </c>
      <c r="GR178" s="25">
        <v>1</v>
      </c>
      <c r="GS178" s="25">
        <v>1</v>
      </c>
      <c r="GT178" s="25">
        <v>1</v>
      </c>
      <c r="GU178" s="25">
        <v>1</v>
      </c>
      <c r="GV178" s="25" t="s">
        <v>455</v>
      </c>
      <c r="GW178" s="25" t="s">
        <v>455</v>
      </c>
      <c r="GX178" s="25" t="s">
        <v>455</v>
      </c>
      <c r="GY178" s="25" t="s">
        <v>455</v>
      </c>
      <c r="GZ178" s="25" t="s">
        <v>455</v>
      </c>
      <c r="HA178" s="25" t="s">
        <v>455</v>
      </c>
      <c r="HB178" s="25" t="s">
        <v>455</v>
      </c>
      <c r="HC178" s="25" t="s">
        <v>455</v>
      </c>
      <c r="HD178" s="25" t="s">
        <v>455</v>
      </c>
      <c r="HE178" s="25" t="s">
        <v>455</v>
      </c>
      <c r="HF178" s="25" t="s">
        <v>455</v>
      </c>
      <c r="HG178" s="25" t="s">
        <v>455</v>
      </c>
      <c r="HH178" s="25" t="s">
        <v>455</v>
      </c>
      <c r="HI178" s="25"/>
      <c r="HJ178" s="25"/>
      <c r="HK178" s="25"/>
      <c r="HL178" s="25"/>
      <c r="HM178" s="25"/>
      <c r="HN178" s="25"/>
      <c r="HO178" s="25"/>
      <c r="HP178" s="25"/>
      <c r="HQ178" s="25"/>
      <c r="HR178" s="25"/>
      <c r="HS178" s="25"/>
      <c r="HT178" s="25"/>
      <c r="HU178" s="13"/>
      <c r="HV178" s="13"/>
      <c r="HW178" s="32"/>
      <c r="HX178" s="55"/>
      <c r="HY178" s="55"/>
      <c r="HZ178" s="55"/>
      <c r="IA178" s="55"/>
      <c r="IB178" s="55"/>
      <c r="IC178" s="55"/>
      <c r="ID178" s="55"/>
      <c r="IE178" s="55"/>
      <c r="IF178" s="107">
        <v>297843.32</v>
      </c>
      <c r="IG178" s="107">
        <v>340029.98000000004</v>
      </c>
      <c r="IH178" s="250">
        <f t="shared" si="85"/>
        <v>0</v>
      </c>
      <c r="II178" s="55"/>
      <c r="IJ178" s="55"/>
      <c r="IK178" s="55"/>
      <c r="IL178" s="55"/>
      <c r="IM178" s="55"/>
      <c r="IN178" s="55"/>
      <c r="IO178" s="55"/>
      <c r="IP178" s="55"/>
      <c r="IQ178" s="55"/>
      <c r="IR178" s="55"/>
      <c r="IS178" s="55"/>
      <c r="IT178" s="55"/>
      <c r="IU178" s="55"/>
      <c r="IV178" s="55"/>
      <c r="IW178" s="55"/>
      <c r="IX178" s="55"/>
      <c r="IY178" s="55"/>
      <c r="IZ178" s="55"/>
      <c r="JA178" s="55"/>
      <c r="JB178" s="55"/>
      <c r="JC178" s="55"/>
      <c r="JD178" s="55">
        <v>2016</v>
      </c>
    </row>
    <row r="179" spans="1:265" s="5" customFormat="1" ht="24.95" hidden="1" customHeight="1">
      <c r="A179" s="26" t="s">
        <v>155</v>
      </c>
      <c r="B179" s="26" t="s">
        <v>27</v>
      </c>
      <c r="C179" s="13" t="s">
        <v>349</v>
      </c>
      <c r="D179" s="13" t="s">
        <v>382</v>
      </c>
      <c r="E179" s="16" t="s">
        <v>360</v>
      </c>
      <c r="F179" s="13" t="s">
        <v>360</v>
      </c>
      <c r="G179" s="39" t="s">
        <v>354</v>
      </c>
      <c r="H179" s="39" t="s">
        <v>1581</v>
      </c>
      <c r="I179" s="20" t="s">
        <v>160</v>
      </c>
      <c r="J179" s="40">
        <v>3</v>
      </c>
      <c r="K179" s="49" t="s">
        <v>375</v>
      </c>
      <c r="L179" s="26" t="s">
        <v>159</v>
      </c>
      <c r="M179" s="20" t="s">
        <v>160</v>
      </c>
      <c r="N179" s="20"/>
      <c r="O179" s="13" t="s">
        <v>3</v>
      </c>
      <c r="P179" s="13" t="s">
        <v>4</v>
      </c>
      <c r="Q179" s="22" t="s">
        <v>1118</v>
      </c>
      <c r="R179" s="26" t="s">
        <v>159</v>
      </c>
      <c r="S179" s="13" t="s">
        <v>560</v>
      </c>
      <c r="T179" s="13" t="s">
        <v>1387</v>
      </c>
      <c r="U179" s="13" t="s">
        <v>479</v>
      </c>
      <c r="V179" s="24">
        <v>1792410282001</v>
      </c>
      <c r="W179" s="24" t="s">
        <v>913</v>
      </c>
      <c r="X179" s="24"/>
      <c r="Y179" s="24" t="s">
        <v>912</v>
      </c>
      <c r="Z179" s="24"/>
      <c r="AA179" s="37"/>
      <c r="AB179" s="68">
        <v>1027345.71</v>
      </c>
      <c r="AC179" s="29">
        <v>0</v>
      </c>
      <c r="AD179" s="37">
        <v>1139651.1670714286</v>
      </c>
      <c r="AE179" s="29">
        <v>0</v>
      </c>
      <c r="AF179" s="29">
        <f t="shared" si="70"/>
        <v>1139651.1670714286</v>
      </c>
      <c r="AG179" s="25">
        <v>0.12</v>
      </c>
      <c r="AH179" s="29">
        <f t="shared" si="82"/>
        <v>136758.14004857143</v>
      </c>
      <c r="AI179" s="29">
        <f t="shared" si="76"/>
        <v>0</v>
      </c>
      <c r="AJ179" s="29">
        <f t="shared" si="83"/>
        <v>1276409.3071200002</v>
      </c>
      <c r="AK179" s="126">
        <v>969373.7899999998</v>
      </c>
      <c r="AL179" s="126">
        <f t="shared" si="84"/>
        <v>57971.920000000158</v>
      </c>
      <c r="AM179" s="126"/>
      <c r="AN179" s="37"/>
      <c r="AO179" s="37">
        <v>1139651.17</v>
      </c>
      <c r="AP179" s="37"/>
      <c r="AQ179" s="37">
        <v>745394.43</v>
      </c>
      <c r="AR179" s="37"/>
      <c r="AS179" s="37"/>
      <c r="AT179" s="37"/>
      <c r="AU179" s="37" t="s">
        <v>503</v>
      </c>
      <c r="AV179" s="37" t="s">
        <v>561</v>
      </c>
      <c r="AW179" s="37">
        <v>224289.18</v>
      </c>
      <c r="AX179" s="37"/>
      <c r="AY179" s="37"/>
      <c r="AZ179" s="37"/>
      <c r="BA179" s="37"/>
      <c r="BB179" s="37"/>
      <c r="BC179" s="37"/>
      <c r="BD179" s="37"/>
      <c r="BE179" s="37"/>
      <c r="BF179" s="29">
        <f>AB179-AQ179</f>
        <v>281951.27999999991</v>
      </c>
      <c r="BG179" s="29">
        <f t="shared" si="73"/>
        <v>57662.099999999919</v>
      </c>
      <c r="BH179" s="37" t="s">
        <v>594</v>
      </c>
      <c r="BI179" s="29" t="s">
        <v>570</v>
      </c>
      <c r="BJ179" s="29" t="s">
        <v>570</v>
      </c>
      <c r="BK179" s="29" t="s">
        <v>570</v>
      </c>
      <c r="BL179" s="29" t="s">
        <v>570</v>
      </c>
      <c r="BM179" s="29" t="s">
        <v>570</v>
      </c>
      <c r="BN179" s="23">
        <v>42250</v>
      </c>
      <c r="BO179" s="23">
        <v>42272</v>
      </c>
      <c r="BP179" s="23">
        <v>42277</v>
      </c>
      <c r="BQ179" s="23">
        <v>42282</v>
      </c>
      <c r="BR179" s="13" t="s">
        <v>570</v>
      </c>
      <c r="BS179" s="23">
        <v>42306</v>
      </c>
      <c r="BT179" s="23">
        <v>42313</v>
      </c>
      <c r="BU179" s="13" t="s">
        <v>570</v>
      </c>
      <c r="BV179" s="13" t="s">
        <v>570</v>
      </c>
      <c r="BW179" s="224" t="s">
        <v>570</v>
      </c>
      <c r="BX179" s="23">
        <v>42328</v>
      </c>
      <c r="BY179" s="13" t="s">
        <v>570</v>
      </c>
      <c r="BZ179" s="23">
        <v>42328</v>
      </c>
      <c r="CA179" s="23">
        <v>42348</v>
      </c>
      <c r="CB179" s="224" t="s">
        <v>570</v>
      </c>
      <c r="CC179" s="224" t="s">
        <v>570</v>
      </c>
      <c r="CD179" s="224" t="s">
        <v>570</v>
      </c>
      <c r="CE179" s="23"/>
      <c r="CF179" s="127" t="s">
        <v>829</v>
      </c>
      <c r="CG179" s="23"/>
      <c r="CH179" s="23"/>
      <c r="CI179" s="23"/>
      <c r="CJ179" s="23"/>
      <c r="CK179" s="23"/>
      <c r="CL179" s="23"/>
      <c r="CM179" s="23"/>
      <c r="CN179" s="23"/>
      <c r="CO179" s="23"/>
      <c r="CP179" s="23"/>
      <c r="CQ179" s="23"/>
      <c r="CR179" s="127" t="s">
        <v>829</v>
      </c>
      <c r="CS179" s="13" t="s">
        <v>570</v>
      </c>
      <c r="CT179" s="37" t="s">
        <v>452</v>
      </c>
      <c r="CU179" s="25">
        <v>0.05</v>
      </c>
      <c r="CV179" s="23">
        <v>42396</v>
      </c>
      <c r="CW179" s="30">
        <f>AQ179*0.5</f>
        <v>372697.21500000003</v>
      </c>
      <c r="CX179" s="80" t="s">
        <v>1287</v>
      </c>
      <c r="CY179" s="23">
        <v>42692</v>
      </c>
      <c r="CZ179" s="30">
        <f>(264696.61+8640)-136668.31-13666.83</f>
        <v>123001.46999999999</v>
      </c>
      <c r="DA179" s="80" t="s">
        <v>1288</v>
      </c>
      <c r="DB179" s="23">
        <v>42702</v>
      </c>
      <c r="DC179" s="30">
        <f>(404450.77+604.8)-202527.79-20252.78</f>
        <v>182275</v>
      </c>
      <c r="DD179" s="80" t="s">
        <v>1289</v>
      </c>
      <c r="DE179" s="23">
        <v>42755</v>
      </c>
      <c r="DF179" s="30">
        <v>112005.6</v>
      </c>
      <c r="DG179" s="134" t="s">
        <v>1484</v>
      </c>
      <c r="DH179" s="166">
        <v>42801</v>
      </c>
      <c r="DI179" s="81">
        <v>130925.80999999998</v>
      </c>
      <c r="DJ179" s="170" t="s">
        <v>1485</v>
      </c>
      <c r="DK179" s="99">
        <v>42830</v>
      </c>
      <c r="DL179" s="238">
        <v>24234.34</v>
      </c>
      <c r="DM179" s="13"/>
      <c r="DN179" s="13"/>
      <c r="DO179" s="13"/>
      <c r="DP179" s="13"/>
      <c r="DQ179" s="13"/>
      <c r="DR179" s="13"/>
      <c r="DS179" s="13"/>
      <c r="DT179" s="13"/>
      <c r="DU179" s="13"/>
      <c r="DV179" s="13"/>
      <c r="DW179" s="13"/>
      <c r="DX179" s="13"/>
      <c r="DY179" s="31">
        <f t="shared" si="74"/>
        <v>945139.43499999994</v>
      </c>
      <c r="DZ179" s="13"/>
      <c r="EA179" s="13"/>
      <c r="EB179" s="13"/>
      <c r="EC179" s="13"/>
      <c r="ED179" s="13"/>
      <c r="EE179" s="13"/>
      <c r="EF179" s="13"/>
      <c r="EG179" s="13">
        <v>240</v>
      </c>
      <c r="EH179" s="13" t="s">
        <v>588</v>
      </c>
      <c r="EI179" s="23">
        <f>CV179+1</f>
        <v>42397</v>
      </c>
      <c r="EJ179" s="23">
        <f>EI179+EG179</f>
        <v>42637</v>
      </c>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25"/>
      <c r="FI179" s="25"/>
      <c r="FJ179" s="25"/>
      <c r="FK179" s="25"/>
      <c r="FL179" s="25"/>
      <c r="FM179" s="25">
        <v>0.23</v>
      </c>
      <c r="FN179" s="25">
        <v>0.39240000000000003</v>
      </c>
      <c r="FO179" s="25">
        <v>0.52100000000000002</v>
      </c>
      <c r="FP179" s="25">
        <v>0.7177</v>
      </c>
      <c r="FQ179" s="25">
        <v>0.8</v>
      </c>
      <c r="FR179" s="25">
        <v>0.98</v>
      </c>
      <c r="FS179" s="25">
        <v>1</v>
      </c>
      <c r="FT179" s="25">
        <v>1</v>
      </c>
      <c r="FU179" s="25">
        <v>1</v>
      </c>
      <c r="FV179" s="25">
        <v>1</v>
      </c>
      <c r="FW179" s="25">
        <v>1</v>
      </c>
      <c r="FX179" s="25">
        <v>1</v>
      </c>
      <c r="FY179" s="25">
        <v>1</v>
      </c>
      <c r="FZ179" s="25">
        <v>1</v>
      </c>
      <c r="GA179" s="25">
        <v>1</v>
      </c>
      <c r="GB179" s="25">
        <v>1</v>
      </c>
      <c r="GC179" s="25">
        <v>1</v>
      </c>
      <c r="GD179" s="25">
        <v>1</v>
      </c>
      <c r="GE179" s="25">
        <v>1</v>
      </c>
      <c r="GF179" s="25">
        <v>1</v>
      </c>
      <c r="GG179" s="25">
        <v>1</v>
      </c>
      <c r="GH179" s="25">
        <v>1</v>
      </c>
      <c r="GI179" s="25">
        <v>1</v>
      </c>
      <c r="GJ179" s="25">
        <v>1</v>
      </c>
      <c r="GK179" s="25">
        <v>1</v>
      </c>
      <c r="GL179" s="25">
        <v>1</v>
      </c>
      <c r="GM179" s="25">
        <v>1</v>
      </c>
      <c r="GN179" s="25">
        <v>1</v>
      </c>
      <c r="GO179" s="25">
        <v>1</v>
      </c>
      <c r="GP179" s="25">
        <v>1</v>
      </c>
      <c r="GQ179" s="25">
        <v>1</v>
      </c>
      <c r="GR179" s="25">
        <v>1</v>
      </c>
      <c r="GS179" s="25">
        <v>1</v>
      </c>
      <c r="GT179" s="25">
        <v>1</v>
      </c>
      <c r="GU179" s="25">
        <v>1</v>
      </c>
      <c r="GV179" s="25" t="s">
        <v>455</v>
      </c>
      <c r="GW179" s="25" t="s">
        <v>455</v>
      </c>
      <c r="GX179" s="25" t="s">
        <v>455</v>
      </c>
      <c r="GY179" s="25" t="s">
        <v>455</v>
      </c>
      <c r="GZ179" s="25" t="s">
        <v>455</v>
      </c>
      <c r="HA179" s="25" t="s">
        <v>455</v>
      </c>
      <c r="HB179" s="25" t="s">
        <v>455</v>
      </c>
      <c r="HC179" s="25" t="s">
        <v>455</v>
      </c>
      <c r="HD179" s="25" t="s">
        <v>455</v>
      </c>
      <c r="HE179" s="25" t="s">
        <v>455</v>
      </c>
      <c r="HF179" s="25" t="s">
        <v>455</v>
      </c>
      <c r="HG179" s="25" t="s">
        <v>455</v>
      </c>
      <c r="HH179" s="25" t="s">
        <v>455</v>
      </c>
      <c r="HI179" s="25"/>
      <c r="HJ179" s="25"/>
      <c r="HK179" s="25"/>
      <c r="HL179" s="25"/>
      <c r="HM179" s="25"/>
      <c r="HN179" s="25"/>
      <c r="HO179" s="25"/>
      <c r="HP179" s="25"/>
      <c r="HQ179" s="25"/>
      <c r="HR179" s="25"/>
      <c r="HS179" s="25"/>
      <c r="HT179" s="25"/>
      <c r="HU179" s="13"/>
      <c r="HV179" s="13"/>
      <c r="HW179" s="32"/>
      <c r="HX179" s="55"/>
      <c r="HY179" s="55"/>
      <c r="HZ179" s="55"/>
      <c r="IA179" s="55"/>
      <c r="IB179" s="55"/>
      <c r="IC179" s="55"/>
      <c r="ID179" s="55"/>
      <c r="IE179" s="55"/>
      <c r="IF179" s="107">
        <v>1027345.71</v>
      </c>
      <c r="IG179" s="107">
        <v>969373.7899999998</v>
      </c>
      <c r="IH179" s="250">
        <f t="shared" si="85"/>
        <v>0</v>
      </c>
      <c r="II179" s="55"/>
      <c r="IJ179" s="55"/>
      <c r="IK179" s="55"/>
      <c r="IL179" s="55"/>
      <c r="IM179" s="55"/>
      <c r="IN179" s="55"/>
      <c r="IO179" s="55"/>
      <c r="IP179" s="55"/>
      <c r="IQ179" s="55"/>
      <c r="IR179" s="55"/>
      <c r="IS179" s="55"/>
      <c r="IT179" s="55"/>
      <c r="IU179" s="55"/>
      <c r="IV179" s="55"/>
      <c r="IW179" s="55"/>
      <c r="IX179" s="55"/>
      <c r="IY179" s="55"/>
      <c r="IZ179" s="55"/>
      <c r="JA179" s="55"/>
      <c r="JB179" s="55"/>
      <c r="JC179" s="55"/>
      <c r="JD179" s="55">
        <v>2016</v>
      </c>
    </row>
    <row r="180" spans="1:265" s="5" customFormat="1" ht="24.95" hidden="1" customHeight="1">
      <c r="A180" s="26" t="s">
        <v>155</v>
      </c>
      <c r="B180" s="26" t="s">
        <v>27</v>
      </c>
      <c r="C180" s="13" t="s">
        <v>349</v>
      </c>
      <c r="D180" s="13" t="s">
        <v>382</v>
      </c>
      <c r="E180" s="16" t="s">
        <v>360</v>
      </c>
      <c r="F180" s="13" t="s">
        <v>360</v>
      </c>
      <c r="G180" s="39" t="s">
        <v>354</v>
      </c>
      <c r="H180" s="39" t="s">
        <v>1581</v>
      </c>
      <c r="I180" s="47" t="s">
        <v>1370</v>
      </c>
      <c r="J180" s="40">
        <v>4</v>
      </c>
      <c r="K180" s="49" t="s">
        <v>375</v>
      </c>
      <c r="L180" s="26" t="s">
        <v>1371</v>
      </c>
      <c r="M180" s="20" t="s">
        <v>1370</v>
      </c>
      <c r="N180" s="20"/>
      <c r="O180" s="13" t="s">
        <v>3</v>
      </c>
      <c r="P180" s="13" t="s">
        <v>4</v>
      </c>
      <c r="Q180" s="22" t="s">
        <v>1118</v>
      </c>
      <c r="R180" s="26" t="s">
        <v>1605</v>
      </c>
      <c r="S180" s="13" t="s">
        <v>1561</v>
      </c>
      <c r="T180" s="13" t="s">
        <v>1387</v>
      </c>
      <c r="U180" s="13" t="s">
        <v>479</v>
      </c>
      <c r="V180" s="24" t="s">
        <v>647</v>
      </c>
      <c r="W180" s="24"/>
      <c r="X180" s="24"/>
      <c r="Y180" s="24" t="s">
        <v>1628</v>
      </c>
      <c r="Z180" s="24"/>
      <c r="AA180" s="37"/>
      <c r="AB180" s="68">
        <v>314892.75</v>
      </c>
      <c r="AC180" s="29">
        <v>0</v>
      </c>
      <c r="AD180" s="68">
        <v>314892.75</v>
      </c>
      <c r="AE180" s="29">
        <v>0</v>
      </c>
      <c r="AF180" s="29">
        <f t="shared" si="70"/>
        <v>314892.75</v>
      </c>
      <c r="AG180" s="25">
        <v>0.12</v>
      </c>
      <c r="AH180" s="29">
        <f t="shared" si="82"/>
        <v>37787.129999999997</v>
      </c>
      <c r="AI180" s="29">
        <f t="shared" si="76"/>
        <v>0</v>
      </c>
      <c r="AJ180" s="29">
        <f t="shared" si="83"/>
        <v>352679.88</v>
      </c>
      <c r="AK180" s="126">
        <v>300908.92999999993</v>
      </c>
      <c r="AL180" s="126">
        <f t="shared" si="84"/>
        <v>13983.820000000065</v>
      </c>
      <c r="AM180" s="126"/>
      <c r="AN180" s="37"/>
      <c r="AO180" s="37">
        <v>314892.75</v>
      </c>
      <c r="AP180" s="37"/>
      <c r="AQ180" s="37">
        <v>309339.68</v>
      </c>
      <c r="AR180" s="25">
        <v>0.12</v>
      </c>
      <c r="AS180" s="37">
        <f>AQ180*0.12</f>
        <v>37120.761599999998</v>
      </c>
      <c r="AT180" s="37">
        <f>AQ180*1.12</f>
        <v>346460.44160000002</v>
      </c>
      <c r="AU180" s="37"/>
      <c r="AV180" s="37"/>
      <c r="AW180" s="37"/>
      <c r="AX180" s="37"/>
      <c r="AY180" s="37"/>
      <c r="AZ180" s="37"/>
      <c r="BA180" s="37"/>
      <c r="BB180" s="37"/>
      <c r="BC180" s="37"/>
      <c r="BD180" s="37"/>
      <c r="BE180" s="37"/>
      <c r="BF180" s="29"/>
      <c r="BG180" s="29">
        <f t="shared" si="73"/>
        <v>0</v>
      </c>
      <c r="BH180" s="37"/>
      <c r="BI180" s="29" t="s">
        <v>570</v>
      </c>
      <c r="BJ180" s="29" t="s">
        <v>570</v>
      </c>
      <c r="BK180" s="29" t="s">
        <v>570</v>
      </c>
      <c r="BL180" s="29" t="s">
        <v>570</v>
      </c>
      <c r="BM180" s="29" t="s">
        <v>570</v>
      </c>
      <c r="BN180" s="23">
        <v>42929</v>
      </c>
      <c r="BO180" s="23">
        <v>42947</v>
      </c>
      <c r="BP180" s="23">
        <v>42954</v>
      </c>
      <c r="BQ180" s="23">
        <v>42961</v>
      </c>
      <c r="BR180" s="13" t="s">
        <v>570</v>
      </c>
      <c r="BS180" s="23"/>
      <c r="BT180" s="23">
        <v>42970</v>
      </c>
      <c r="BU180" s="13" t="s">
        <v>570</v>
      </c>
      <c r="BV180" s="13" t="s">
        <v>570</v>
      </c>
      <c r="BW180" s="224" t="s">
        <v>570</v>
      </c>
      <c r="BX180" s="23">
        <v>42970</v>
      </c>
      <c r="BY180" s="224" t="s">
        <v>570</v>
      </c>
      <c r="BZ180" s="23"/>
      <c r="CA180" s="23">
        <v>42996</v>
      </c>
      <c r="CB180" s="224" t="s">
        <v>570</v>
      </c>
      <c r="CC180" s="224" t="s">
        <v>570</v>
      </c>
      <c r="CD180" s="224" t="s">
        <v>570</v>
      </c>
      <c r="CE180" s="23"/>
      <c r="CF180" s="127"/>
      <c r="CG180" s="23"/>
      <c r="CH180" s="23"/>
      <c r="CI180" s="23"/>
      <c r="CJ180" s="23"/>
      <c r="CK180" s="23"/>
      <c r="CL180" s="23"/>
      <c r="CM180" s="23"/>
      <c r="CN180" s="23"/>
      <c r="CO180" s="23"/>
      <c r="CP180" s="23"/>
      <c r="CQ180" s="23"/>
      <c r="CR180" s="127"/>
      <c r="CS180" s="13"/>
      <c r="CT180" s="37"/>
      <c r="CU180" s="25"/>
      <c r="CV180" s="23"/>
      <c r="CW180" s="30"/>
      <c r="CX180" s="80"/>
      <c r="CY180" s="23"/>
      <c r="CZ180" s="30"/>
      <c r="DA180" s="80"/>
      <c r="DB180" s="23"/>
      <c r="DC180" s="30"/>
      <c r="DD180" s="80"/>
      <c r="DE180" s="23"/>
      <c r="DF180" s="30"/>
      <c r="DG180" s="13"/>
      <c r="DH180" s="13"/>
      <c r="DI180" s="13"/>
      <c r="DJ180" s="13"/>
      <c r="DK180" s="13"/>
      <c r="DL180" s="13"/>
      <c r="DM180" s="13"/>
      <c r="DN180" s="13"/>
      <c r="DO180" s="13"/>
      <c r="DP180" s="13"/>
      <c r="DQ180" s="13"/>
      <c r="DR180" s="13"/>
      <c r="DS180" s="13"/>
      <c r="DT180" s="13"/>
      <c r="DU180" s="13"/>
      <c r="DV180" s="13"/>
      <c r="DW180" s="13"/>
      <c r="DX180" s="13"/>
      <c r="DY180" s="31"/>
      <c r="DZ180" s="13"/>
      <c r="EA180" s="13"/>
      <c r="EB180" s="13"/>
      <c r="EC180" s="13"/>
      <c r="ED180" s="13"/>
      <c r="EE180" s="13"/>
      <c r="EF180" s="13"/>
      <c r="EG180" s="13">
        <v>150</v>
      </c>
      <c r="EH180" s="13" t="s">
        <v>588</v>
      </c>
      <c r="EI180" s="23"/>
      <c r="EJ180" s="2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v>0</v>
      </c>
      <c r="GD180" s="25">
        <v>0.9</v>
      </c>
      <c r="GE180" s="25">
        <v>0.9</v>
      </c>
      <c r="GF180" s="25">
        <v>0.9</v>
      </c>
      <c r="GG180" s="25">
        <v>0.9</v>
      </c>
      <c r="GH180" s="25">
        <v>1</v>
      </c>
      <c r="GI180" s="25">
        <v>1</v>
      </c>
      <c r="GJ180" s="25">
        <v>1</v>
      </c>
      <c r="GK180" s="25">
        <v>1</v>
      </c>
      <c r="GL180" s="25">
        <v>1</v>
      </c>
      <c r="GM180" s="25">
        <v>1</v>
      </c>
      <c r="GN180" s="25">
        <v>1</v>
      </c>
      <c r="GO180" s="25">
        <v>1</v>
      </c>
      <c r="GP180" s="25">
        <v>1</v>
      </c>
      <c r="GQ180" s="25">
        <v>1</v>
      </c>
      <c r="GR180" s="25">
        <v>1</v>
      </c>
      <c r="GS180" s="25">
        <v>1</v>
      </c>
      <c r="GT180" s="25">
        <v>1</v>
      </c>
      <c r="GU180" s="25">
        <v>1</v>
      </c>
      <c r="GV180" s="25" t="s">
        <v>1588</v>
      </c>
      <c r="GW180" s="25" t="s">
        <v>1588</v>
      </c>
      <c r="GX180" s="25" t="s">
        <v>1588</v>
      </c>
      <c r="GY180" s="25" t="s">
        <v>1588</v>
      </c>
      <c r="GZ180" s="25" t="s">
        <v>1588</v>
      </c>
      <c r="HA180" s="25" t="s">
        <v>1588</v>
      </c>
      <c r="HB180" s="25" t="s">
        <v>455</v>
      </c>
      <c r="HC180" s="25" t="s">
        <v>455</v>
      </c>
      <c r="HD180" s="25" t="s">
        <v>455</v>
      </c>
      <c r="HE180" s="25" t="s">
        <v>455</v>
      </c>
      <c r="HF180" s="25" t="s">
        <v>455</v>
      </c>
      <c r="HG180" s="25" t="s">
        <v>455</v>
      </c>
      <c r="HH180" s="25" t="s">
        <v>455</v>
      </c>
      <c r="HI180" s="25" t="s">
        <v>1657</v>
      </c>
      <c r="HJ180" s="25"/>
      <c r="HK180" s="25"/>
      <c r="HL180" s="25" t="s">
        <v>1719</v>
      </c>
      <c r="HM180" s="25" t="s">
        <v>1719</v>
      </c>
      <c r="HN180" s="25" t="s">
        <v>1780</v>
      </c>
      <c r="HO180" s="25" t="s">
        <v>1852</v>
      </c>
      <c r="HP180" s="25"/>
      <c r="HQ180" s="25"/>
      <c r="HR180" s="25"/>
      <c r="HS180" s="25"/>
      <c r="HT180" s="25"/>
      <c r="HU180" s="13"/>
      <c r="HV180" s="13"/>
      <c r="HW180" s="32"/>
      <c r="HX180" s="55"/>
      <c r="HY180" s="55"/>
      <c r="HZ180" s="55"/>
      <c r="IA180" s="55"/>
      <c r="IB180" s="55"/>
      <c r="IC180" s="55"/>
      <c r="ID180" s="55"/>
      <c r="IE180" s="55"/>
      <c r="IF180" s="107">
        <v>314892.75</v>
      </c>
      <c r="IG180" s="107"/>
      <c r="IH180" s="250">
        <f t="shared" si="85"/>
        <v>300908.92999999993</v>
      </c>
      <c r="II180" s="55"/>
      <c r="IJ180" s="55"/>
      <c r="IK180" s="55"/>
      <c r="IL180" s="55"/>
      <c r="IM180" s="55"/>
      <c r="IN180" s="55"/>
      <c r="IO180" s="55"/>
      <c r="IP180" s="55"/>
      <c r="IQ180" s="55"/>
      <c r="IR180" s="55"/>
      <c r="IS180" s="55"/>
      <c r="IT180" s="55"/>
      <c r="IU180" s="55"/>
      <c r="IV180" s="55"/>
      <c r="IW180" s="55"/>
      <c r="IX180" s="55"/>
      <c r="IY180" s="55"/>
      <c r="IZ180" s="55"/>
      <c r="JA180" s="55"/>
      <c r="JB180" s="55"/>
      <c r="JC180" s="55"/>
      <c r="JD180" s="55">
        <v>2018</v>
      </c>
    </row>
    <row r="181" spans="1:265" s="5" customFormat="1" ht="24.95" hidden="1" customHeight="1">
      <c r="A181" s="26" t="s">
        <v>155</v>
      </c>
      <c r="B181" s="26" t="s">
        <v>27</v>
      </c>
      <c r="C181" s="13" t="s">
        <v>349</v>
      </c>
      <c r="D181" s="13" t="s">
        <v>382</v>
      </c>
      <c r="E181" s="16" t="s">
        <v>360</v>
      </c>
      <c r="F181" s="13" t="s">
        <v>360</v>
      </c>
      <c r="G181" s="39" t="s">
        <v>354</v>
      </c>
      <c r="H181" s="39" t="s">
        <v>1581</v>
      </c>
      <c r="I181" s="47" t="s">
        <v>1526</v>
      </c>
      <c r="J181" s="40">
        <v>5</v>
      </c>
      <c r="K181" s="49" t="s">
        <v>375</v>
      </c>
      <c r="L181" s="26" t="s">
        <v>1519</v>
      </c>
      <c r="M181" s="20" t="s">
        <v>1526</v>
      </c>
      <c r="N181" s="20"/>
      <c r="O181" s="13" t="s">
        <v>3</v>
      </c>
      <c r="P181" s="13" t="s">
        <v>4</v>
      </c>
      <c r="Q181" s="22" t="s">
        <v>1118</v>
      </c>
      <c r="R181" s="26"/>
      <c r="S181" s="13"/>
      <c r="T181" s="13"/>
      <c r="U181" s="13"/>
      <c r="V181" s="24"/>
      <c r="W181" s="24"/>
      <c r="X181" s="24"/>
      <c r="Y181" s="24"/>
      <c r="Z181" s="24"/>
      <c r="AA181" s="37"/>
      <c r="AB181" s="68">
        <v>41845.9</v>
      </c>
      <c r="AC181" s="29">
        <v>0</v>
      </c>
      <c r="AD181" s="68">
        <v>41845.901785714283</v>
      </c>
      <c r="AE181" s="29">
        <v>0</v>
      </c>
      <c r="AF181" s="29">
        <f t="shared" si="70"/>
        <v>41845.901785714283</v>
      </c>
      <c r="AG181" s="25">
        <v>0.12</v>
      </c>
      <c r="AH181" s="29">
        <f t="shared" si="82"/>
        <v>5021.5082142857136</v>
      </c>
      <c r="AI181" s="29">
        <f t="shared" si="76"/>
        <v>0</v>
      </c>
      <c r="AJ181" s="29">
        <f t="shared" si="83"/>
        <v>46867.41</v>
      </c>
      <c r="AK181" s="126">
        <v>38600.57</v>
      </c>
      <c r="AL181" s="126">
        <f t="shared" si="84"/>
        <v>3245.3300000000017</v>
      </c>
      <c r="AM181" s="126"/>
      <c r="AN181" s="37"/>
      <c r="AO181" s="37">
        <v>41810.47</v>
      </c>
      <c r="AP181" s="37"/>
      <c r="AQ181" s="37"/>
      <c r="AR181" s="37"/>
      <c r="AS181" s="37"/>
      <c r="AT181" s="37"/>
      <c r="AU181" s="37"/>
      <c r="AV181" s="37"/>
      <c r="AW181" s="37"/>
      <c r="AX181" s="37"/>
      <c r="AY181" s="37"/>
      <c r="AZ181" s="37"/>
      <c r="BA181" s="37"/>
      <c r="BB181" s="37"/>
      <c r="BC181" s="37"/>
      <c r="BD181" s="37"/>
      <c r="BE181" s="37"/>
      <c r="BF181" s="29"/>
      <c r="BG181" s="29"/>
      <c r="BH181" s="37"/>
      <c r="BI181" s="29" t="s">
        <v>570</v>
      </c>
      <c r="BJ181" s="26" t="s">
        <v>570</v>
      </c>
      <c r="BK181" s="29" t="s">
        <v>570</v>
      </c>
      <c r="BL181" s="29" t="s">
        <v>570</v>
      </c>
      <c r="BM181" s="29" t="s">
        <v>570</v>
      </c>
      <c r="BN181" s="23">
        <v>43256</v>
      </c>
      <c r="BO181" s="23">
        <v>43269</v>
      </c>
      <c r="BP181" s="23">
        <v>43272</v>
      </c>
      <c r="BQ181" s="23">
        <v>43286</v>
      </c>
      <c r="BR181" s="13"/>
      <c r="BS181" s="23"/>
      <c r="BT181" s="23">
        <v>43294</v>
      </c>
      <c r="BU181" s="13" t="s">
        <v>570</v>
      </c>
      <c r="BV181" s="13" t="s">
        <v>570</v>
      </c>
      <c r="BW181" s="224" t="s">
        <v>570</v>
      </c>
      <c r="BX181" s="23"/>
      <c r="BY181" s="13"/>
      <c r="BZ181" s="23"/>
      <c r="CA181" s="23"/>
      <c r="CB181" s="224" t="s">
        <v>570</v>
      </c>
      <c r="CC181" s="224" t="s">
        <v>570</v>
      </c>
      <c r="CD181" s="224" t="s">
        <v>570</v>
      </c>
      <c r="CE181" s="23"/>
      <c r="CF181" s="127"/>
      <c r="CG181" s="23"/>
      <c r="CH181" s="23"/>
      <c r="CI181" s="23"/>
      <c r="CJ181" s="23"/>
      <c r="CK181" s="23"/>
      <c r="CL181" s="23"/>
      <c r="CM181" s="23"/>
      <c r="CN181" s="23"/>
      <c r="CO181" s="23"/>
      <c r="CP181" s="23"/>
      <c r="CQ181" s="23"/>
      <c r="CR181" s="127"/>
      <c r="CS181" s="13"/>
      <c r="CT181" s="37"/>
      <c r="CU181" s="25"/>
      <c r="CV181" s="23"/>
      <c r="CW181" s="30"/>
      <c r="CX181" s="80"/>
      <c r="CY181" s="23"/>
      <c r="CZ181" s="30"/>
      <c r="DA181" s="80"/>
      <c r="DB181" s="23"/>
      <c r="DC181" s="30"/>
      <c r="DD181" s="80"/>
      <c r="DE181" s="23"/>
      <c r="DF181" s="30"/>
      <c r="DG181" s="13"/>
      <c r="DH181" s="13"/>
      <c r="DI181" s="13"/>
      <c r="DJ181" s="13"/>
      <c r="DK181" s="13"/>
      <c r="DL181" s="13"/>
      <c r="DM181" s="13"/>
      <c r="DN181" s="13"/>
      <c r="DO181" s="13"/>
      <c r="DP181" s="13"/>
      <c r="DQ181" s="13"/>
      <c r="DR181" s="13"/>
      <c r="DS181" s="13"/>
      <c r="DT181" s="13"/>
      <c r="DU181" s="13"/>
      <c r="DV181" s="13"/>
      <c r="DW181" s="13"/>
      <c r="DX181" s="13"/>
      <c r="DY181" s="31"/>
      <c r="DZ181" s="13"/>
      <c r="EA181" s="13"/>
      <c r="EB181" s="13"/>
      <c r="EC181" s="13"/>
      <c r="ED181" s="13"/>
      <c r="EE181" s="13"/>
      <c r="EF181" s="13"/>
      <c r="EG181" s="13">
        <v>30</v>
      </c>
      <c r="EH181" s="13"/>
      <c r="EI181" s="23"/>
      <c r="EJ181" s="2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v>0</v>
      </c>
      <c r="GD181" s="25">
        <v>0</v>
      </c>
      <c r="GE181" s="25">
        <v>0</v>
      </c>
      <c r="GF181" s="25">
        <v>0</v>
      </c>
      <c r="GG181" s="25">
        <v>0</v>
      </c>
      <c r="GH181" s="25">
        <v>1</v>
      </c>
      <c r="GI181" s="25">
        <v>1</v>
      </c>
      <c r="GJ181" s="25">
        <v>1</v>
      </c>
      <c r="GK181" s="25">
        <v>1</v>
      </c>
      <c r="GL181" s="25">
        <v>1</v>
      </c>
      <c r="GM181" s="25">
        <v>1</v>
      </c>
      <c r="GN181" s="25">
        <v>1</v>
      </c>
      <c r="GO181" s="25">
        <v>1</v>
      </c>
      <c r="GP181" s="25">
        <v>1</v>
      </c>
      <c r="GQ181" s="25">
        <v>1</v>
      </c>
      <c r="GR181" s="25">
        <v>1</v>
      </c>
      <c r="GS181" s="25">
        <v>1</v>
      </c>
      <c r="GT181" s="25">
        <v>1</v>
      </c>
      <c r="GU181" s="25">
        <v>1</v>
      </c>
      <c r="GV181" s="25" t="s">
        <v>1588</v>
      </c>
      <c r="GW181" s="25" t="s">
        <v>1588</v>
      </c>
      <c r="GX181" s="25" t="s">
        <v>1588</v>
      </c>
      <c r="GY181" s="25" t="s">
        <v>452</v>
      </c>
      <c r="GZ181" s="25" t="s">
        <v>452</v>
      </c>
      <c r="HA181" s="25" t="s">
        <v>452</v>
      </c>
      <c r="HB181" s="25" t="s">
        <v>452</v>
      </c>
      <c r="HC181" s="25" t="s">
        <v>452</v>
      </c>
      <c r="HD181" s="25" t="s">
        <v>452</v>
      </c>
      <c r="HE181" s="25" t="s">
        <v>452</v>
      </c>
      <c r="HF181" s="25" t="s">
        <v>452</v>
      </c>
      <c r="HG181" s="25" t="s">
        <v>452</v>
      </c>
      <c r="HH181" s="25" t="s">
        <v>452</v>
      </c>
      <c r="HI181" s="25" t="s">
        <v>1658</v>
      </c>
      <c r="HJ181" s="25"/>
      <c r="HK181" s="25"/>
      <c r="HL181" s="25" t="s">
        <v>1720</v>
      </c>
      <c r="HM181" s="25" t="s">
        <v>1720</v>
      </c>
      <c r="HN181" s="25"/>
      <c r="HO181" s="25"/>
      <c r="HP181" s="25"/>
      <c r="HQ181" s="25"/>
      <c r="HR181" s="25"/>
      <c r="HS181" s="25"/>
      <c r="HT181" s="25"/>
      <c r="HU181" s="13" t="s">
        <v>1602</v>
      </c>
      <c r="HV181" s="13"/>
      <c r="HW181" s="32"/>
      <c r="HX181" s="55"/>
      <c r="HY181" s="55"/>
      <c r="HZ181" s="55"/>
      <c r="IA181" s="55"/>
      <c r="IB181" s="55"/>
      <c r="IC181" s="55"/>
      <c r="ID181" s="55"/>
      <c r="IE181" s="55"/>
      <c r="IF181" s="107">
        <v>41845.9</v>
      </c>
      <c r="IG181" s="107">
        <v>38600.57</v>
      </c>
      <c r="IH181" s="250">
        <f t="shared" si="85"/>
        <v>0</v>
      </c>
      <c r="II181" s="55"/>
      <c r="IJ181" s="55"/>
      <c r="IK181" s="55"/>
      <c r="IL181" s="55"/>
      <c r="IM181" s="55"/>
      <c r="IN181" s="55"/>
      <c r="IO181" s="55"/>
      <c r="IP181" s="55"/>
      <c r="IQ181" s="55"/>
      <c r="IR181" s="55"/>
      <c r="IS181" s="55"/>
      <c r="IT181" s="55"/>
      <c r="IU181" s="55"/>
      <c r="IV181" s="55"/>
      <c r="IW181" s="55"/>
      <c r="IX181" s="55"/>
      <c r="IY181" s="55"/>
      <c r="IZ181" s="55"/>
      <c r="JA181" s="55"/>
      <c r="JB181" s="55"/>
      <c r="JC181" s="55"/>
      <c r="JD181" s="55">
        <v>2018</v>
      </c>
    </row>
    <row r="182" spans="1:265" s="5" customFormat="1" ht="24.95" hidden="1" customHeight="1">
      <c r="A182" s="26" t="s">
        <v>23</v>
      </c>
      <c r="B182" s="26" t="s">
        <v>27</v>
      </c>
      <c r="C182" s="13" t="s">
        <v>352</v>
      </c>
      <c r="D182" s="13" t="s">
        <v>377</v>
      </c>
      <c r="E182" s="16" t="s">
        <v>378</v>
      </c>
      <c r="F182" s="13" t="s">
        <v>378</v>
      </c>
      <c r="G182" s="39" t="s">
        <v>354</v>
      </c>
      <c r="H182" s="28" t="s">
        <v>1550</v>
      </c>
      <c r="I182" s="313" t="s">
        <v>162</v>
      </c>
      <c r="J182" s="48">
        <v>1</v>
      </c>
      <c r="K182" s="49" t="s">
        <v>375</v>
      </c>
      <c r="L182" s="26" t="s">
        <v>161</v>
      </c>
      <c r="M182" s="20" t="s">
        <v>162</v>
      </c>
      <c r="N182" s="20"/>
      <c r="O182" s="13" t="s">
        <v>3</v>
      </c>
      <c r="P182" s="13" t="s">
        <v>4</v>
      </c>
      <c r="Q182" s="22" t="s">
        <v>1118</v>
      </c>
      <c r="R182" s="22" t="s">
        <v>656</v>
      </c>
      <c r="S182" s="13" t="s">
        <v>657</v>
      </c>
      <c r="T182" s="13" t="s">
        <v>1387</v>
      </c>
      <c r="U182" s="13" t="s">
        <v>479</v>
      </c>
      <c r="V182" s="24">
        <v>1792356342001</v>
      </c>
      <c r="W182" s="13" t="s">
        <v>969</v>
      </c>
      <c r="X182" s="13" t="s">
        <v>969</v>
      </c>
      <c r="Y182" s="13" t="s">
        <v>658</v>
      </c>
      <c r="Z182" s="13" t="s">
        <v>503</v>
      </c>
      <c r="AA182" s="37"/>
      <c r="AB182" s="68">
        <v>975000</v>
      </c>
      <c r="AC182" s="29">
        <v>0</v>
      </c>
      <c r="AD182" s="37">
        <v>974999.99999999988</v>
      </c>
      <c r="AE182" s="29">
        <v>0</v>
      </c>
      <c r="AF182" s="29">
        <f t="shared" si="70"/>
        <v>974999.99999999988</v>
      </c>
      <c r="AG182" s="25">
        <v>0.12</v>
      </c>
      <c r="AH182" s="29">
        <f t="shared" si="82"/>
        <v>116999.99999999999</v>
      </c>
      <c r="AI182" s="29">
        <f t="shared" si="76"/>
        <v>0</v>
      </c>
      <c r="AJ182" s="29">
        <f t="shared" si="83"/>
        <v>1092000</v>
      </c>
      <c r="AK182" s="29">
        <v>814092.35</v>
      </c>
      <c r="AL182" s="29">
        <f t="shared" si="84"/>
        <v>160907.65000000002</v>
      </c>
      <c r="AM182" s="126"/>
      <c r="AN182" s="37"/>
      <c r="AO182" s="37">
        <v>975000</v>
      </c>
      <c r="AP182" s="37"/>
      <c r="AQ182" s="37">
        <v>896103.87</v>
      </c>
      <c r="AR182" s="25">
        <v>0.14000000000000001</v>
      </c>
      <c r="AS182" s="25"/>
      <c r="AT182" s="37">
        <f>+AQ182*1.14</f>
        <v>1021558.4117999999</v>
      </c>
      <c r="AU182" s="37"/>
      <c r="AV182" s="37"/>
      <c r="AW182" s="37"/>
      <c r="AX182" s="37"/>
      <c r="AY182" s="37"/>
      <c r="AZ182" s="37"/>
      <c r="BA182" s="37"/>
      <c r="BB182" s="37"/>
      <c r="BC182" s="37"/>
      <c r="BD182" s="37"/>
      <c r="BE182" s="37"/>
      <c r="BF182" s="29">
        <f t="shared" ref="BF182:BF187" si="89">AB182-AQ182</f>
        <v>78896.13</v>
      </c>
      <c r="BG182" s="29">
        <f t="shared" ref="BG182:BG187" si="90">BF182-AW182-AZ182-BC182-BE182</f>
        <v>78896.13</v>
      </c>
      <c r="BH182" s="37" t="s">
        <v>594</v>
      </c>
      <c r="BI182" s="29" t="s">
        <v>570</v>
      </c>
      <c r="BJ182" s="29" t="s">
        <v>570</v>
      </c>
      <c r="BK182" s="29" t="s">
        <v>570</v>
      </c>
      <c r="BL182" s="29" t="s">
        <v>570</v>
      </c>
      <c r="BM182" s="29" t="s">
        <v>570</v>
      </c>
      <c r="BN182" s="23">
        <v>42303</v>
      </c>
      <c r="BO182" s="23">
        <v>42318</v>
      </c>
      <c r="BP182" s="23">
        <v>42324</v>
      </c>
      <c r="BQ182" s="23">
        <v>42339</v>
      </c>
      <c r="BR182" s="13" t="s">
        <v>570</v>
      </c>
      <c r="BS182" s="23">
        <v>42353</v>
      </c>
      <c r="BT182" s="23">
        <v>42359</v>
      </c>
      <c r="BU182" s="13" t="s">
        <v>570</v>
      </c>
      <c r="BV182" s="13" t="s">
        <v>570</v>
      </c>
      <c r="BW182" s="224" t="s">
        <v>570</v>
      </c>
      <c r="BX182" s="13" t="s">
        <v>503</v>
      </c>
      <c r="BY182" s="13" t="s">
        <v>570</v>
      </c>
      <c r="BZ182" s="23">
        <v>42555</v>
      </c>
      <c r="CA182" s="23">
        <v>42633</v>
      </c>
      <c r="CB182" s="224" t="s">
        <v>570</v>
      </c>
      <c r="CC182" s="224" t="s">
        <v>570</v>
      </c>
      <c r="CD182" s="224" t="s">
        <v>570</v>
      </c>
      <c r="CE182" s="23"/>
      <c r="CF182" s="127" t="s">
        <v>829</v>
      </c>
      <c r="CG182" s="23"/>
      <c r="CH182" s="23"/>
      <c r="CI182" s="23"/>
      <c r="CJ182" s="23"/>
      <c r="CK182" s="23"/>
      <c r="CL182" s="23"/>
      <c r="CM182" s="23"/>
      <c r="CN182" s="23"/>
      <c r="CO182" s="23"/>
      <c r="CP182" s="23"/>
      <c r="CQ182" s="23"/>
      <c r="CR182" s="127" t="s">
        <v>829</v>
      </c>
      <c r="CS182" s="13" t="s">
        <v>570</v>
      </c>
      <c r="CT182" s="37" t="s">
        <v>452</v>
      </c>
      <c r="CU182" s="25">
        <v>0.05</v>
      </c>
      <c r="CV182" s="23">
        <v>42656</v>
      </c>
      <c r="CW182" s="30">
        <f>AQ182*0.5</f>
        <v>448051.935</v>
      </c>
      <c r="CX182" s="83"/>
      <c r="CY182" s="2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31">
        <f t="shared" ref="DY182:DY187" si="91">CW182+CZ182+DC182+DF182+DI182+DL182+DO182+DR182+DU182+DX182</f>
        <v>448051.935</v>
      </c>
      <c r="DZ182" s="13"/>
      <c r="EA182" s="13"/>
      <c r="EB182" s="13"/>
      <c r="EC182" s="13"/>
      <c r="ED182" s="13"/>
      <c r="EE182" s="13"/>
      <c r="EF182" s="13"/>
      <c r="EG182" s="13">
        <v>300</v>
      </c>
      <c r="EH182" s="13" t="s">
        <v>588</v>
      </c>
      <c r="EI182" s="23">
        <f>CV182+1</f>
        <v>42657</v>
      </c>
      <c r="EJ182" s="23">
        <f t="shared" ref="EJ182:EJ187" si="92">EI182+EG182</f>
        <v>42957</v>
      </c>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25">
        <v>0.28000000000000003</v>
      </c>
      <c r="FV182" s="25">
        <v>0.33</v>
      </c>
      <c r="FW182" s="25">
        <v>0.33</v>
      </c>
      <c r="FX182" s="25">
        <v>0.33</v>
      </c>
      <c r="FY182" s="25">
        <v>0.39</v>
      </c>
      <c r="FZ182" s="25">
        <v>0.39</v>
      </c>
      <c r="GA182" s="25">
        <v>0.39</v>
      </c>
      <c r="GB182" s="25">
        <v>0.39</v>
      </c>
      <c r="GC182" s="25">
        <v>0.39</v>
      </c>
      <c r="GD182" s="25">
        <v>0.9</v>
      </c>
      <c r="GE182" s="25">
        <v>0.9</v>
      </c>
      <c r="GF182" s="25">
        <v>0.9</v>
      </c>
      <c r="GG182" s="25">
        <v>0.9</v>
      </c>
      <c r="GH182" s="25">
        <v>0.99</v>
      </c>
      <c r="GI182" s="25">
        <v>1</v>
      </c>
      <c r="GJ182" s="25">
        <v>1</v>
      </c>
      <c r="GK182" s="25">
        <v>1</v>
      </c>
      <c r="GL182" s="25">
        <v>1</v>
      </c>
      <c r="GM182" s="25">
        <v>1</v>
      </c>
      <c r="GN182" s="25">
        <v>1</v>
      </c>
      <c r="GO182" s="25">
        <v>1</v>
      </c>
      <c r="GP182" s="25">
        <v>1</v>
      </c>
      <c r="GQ182" s="25">
        <v>1</v>
      </c>
      <c r="GR182" s="25">
        <v>1</v>
      </c>
      <c r="GS182" s="25">
        <v>1</v>
      </c>
      <c r="GT182" s="25">
        <v>1</v>
      </c>
      <c r="GU182" s="25">
        <v>1</v>
      </c>
      <c r="GV182" s="25" t="s">
        <v>1588</v>
      </c>
      <c r="GW182" s="25" t="s">
        <v>1588</v>
      </c>
      <c r="GX182" s="25" t="s">
        <v>1588</v>
      </c>
      <c r="GY182" s="25" t="s">
        <v>1588</v>
      </c>
      <c r="GZ182" s="25" t="s">
        <v>1588</v>
      </c>
      <c r="HA182" s="25" t="s">
        <v>1588</v>
      </c>
      <c r="HB182" s="25" t="s">
        <v>1588</v>
      </c>
      <c r="HC182" s="25" t="s">
        <v>455</v>
      </c>
      <c r="HD182" s="25" t="s">
        <v>455</v>
      </c>
      <c r="HE182" s="25" t="s">
        <v>455</v>
      </c>
      <c r="HF182" s="25" t="s">
        <v>455</v>
      </c>
      <c r="HG182" s="25" t="s">
        <v>455</v>
      </c>
      <c r="HH182" s="25" t="s">
        <v>455</v>
      </c>
      <c r="HI182" s="25" t="s">
        <v>1647</v>
      </c>
      <c r="HJ182" s="25"/>
      <c r="HK182" s="25"/>
      <c r="HL182" s="25"/>
      <c r="HM182" s="84" t="s">
        <v>1767</v>
      </c>
      <c r="HN182" s="84" t="s">
        <v>1777</v>
      </c>
      <c r="HO182" s="25" t="s">
        <v>1855</v>
      </c>
      <c r="HP182" s="25"/>
      <c r="HQ182" s="25"/>
      <c r="HR182" s="25"/>
      <c r="HS182" s="25"/>
      <c r="HT182" s="25"/>
      <c r="HU182" s="13"/>
      <c r="HV182" s="13"/>
      <c r="HW182" s="32"/>
      <c r="HX182" s="55"/>
      <c r="HY182" s="55"/>
      <c r="HZ182" s="55"/>
      <c r="IA182" s="55"/>
      <c r="IB182" s="55"/>
      <c r="IC182" s="55"/>
      <c r="ID182" s="55"/>
      <c r="IE182" s="55"/>
      <c r="IF182" s="107">
        <v>975000</v>
      </c>
      <c r="IG182" s="107"/>
      <c r="IH182" s="250">
        <f t="shared" si="85"/>
        <v>814092.35</v>
      </c>
      <c r="II182" s="55"/>
      <c r="IJ182" s="55"/>
      <c r="IK182" s="55"/>
      <c r="IL182" s="55"/>
      <c r="IM182" s="55"/>
      <c r="IN182" s="55"/>
      <c r="IO182" s="55"/>
      <c r="IP182" s="55"/>
      <c r="IQ182" s="55"/>
      <c r="IR182" s="55"/>
      <c r="IS182" s="55"/>
      <c r="IT182" s="55"/>
      <c r="IU182" s="55"/>
      <c r="IV182" s="55"/>
      <c r="IW182" s="55"/>
      <c r="IX182" s="55"/>
      <c r="IY182" s="55"/>
      <c r="IZ182" s="55"/>
      <c r="JA182" s="55"/>
      <c r="JB182" s="55"/>
      <c r="JC182" s="55"/>
      <c r="JD182" s="55">
        <v>2018</v>
      </c>
    </row>
    <row r="183" spans="1:265" s="5" customFormat="1" ht="36" hidden="1" customHeight="1">
      <c r="A183" s="26" t="s">
        <v>23</v>
      </c>
      <c r="B183" s="26" t="s">
        <v>27</v>
      </c>
      <c r="C183" s="13" t="s">
        <v>352</v>
      </c>
      <c r="D183" s="13" t="s">
        <v>377</v>
      </c>
      <c r="E183" s="16" t="s">
        <v>353</v>
      </c>
      <c r="F183" s="13" t="s">
        <v>353</v>
      </c>
      <c r="G183" s="39" t="s">
        <v>354</v>
      </c>
      <c r="H183" s="28" t="s">
        <v>1550</v>
      </c>
      <c r="I183" s="313" t="s">
        <v>164</v>
      </c>
      <c r="J183" s="48">
        <v>2</v>
      </c>
      <c r="K183" s="49" t="s">
        <v>375</v>
      </c>
      <c r="L183" s="26" t="s">
        <v>163</v>
      </c>
      <c r="M183" s="20" t="s">
        <v>164</v>
      </c>
      <c r="N183" s="20"/>
      <c r="O183" s="13" t="s">
        <v>3</v>
      </c>
      <c r="P183" s="13" t="s">
        <v>4</v>
      </c>
      <c r="Q183" s="22" t="s">
        <v>1118</v>
      </c>
      <c r="R183" s="22" t="s">
        <v>659</v>
      </c>
      <c r="S183" s="13" t="s">
        <v>660</v>
      </c>
      <c r="T183" s="13" t="s">
        <v>1387</v>
      </c>
      <c r="U183" s="13" t="s">
        <v>477</v>
      </c>
      <c r="V183" s="24">
        <v>104081039001</v>
      </c>
      <c r="W183" s="13" t="s">
        <v>969</v>
      </c>
      <c r="X183" s="13" t="s">
        <v>969</v>
      </c>
      <c r="Y183" s="13" t="s">
        <v>661</v>
      </c>
      <c r="Z183" s="13" t="s">
        <v>503</v>
      </c>
      <c r="AA183" s="37"/>
      <c r="AB183" s="68">
        <v>137700</v>
      </c>
      <c r="AC183" s="29">
        <v>0</v>
      </c>
      <c r="AD183" s="37">
        <v>137700</v>
      </c>
      <c r="AE183" s="29">
        <v>0</v>
      </c>
      <c r="AF183" s="29">
        <f t="shared" si="70"/>
        <v>137700</v>
      </c>
      <c r="AG183" s="25">
        <v>0.12</v>
      </c>
      <c r="AH183" s="29">
        <f t="shared" si="82"/>
        <v>16524</v>
      </c>
      <c r="AI183" s="29">
        <f t="shared" si="76"/>
        <v>0</v>
      </c>
      <c r="AJ183" s="29">
        <f t="shared" si="83"/>
        <v>154224.00000000003</v>
      </c>
      <c r="AK183" s="29">
        <v>132494.54</v>
      </c>
      <c r="AL183" s="29">
        <f t="shared" si="84"/>
        <v>5205.4599999999919</v>
      </c>
      <c r="AM183" s="126"/>
      <c r="AN183" s="37"/>
      <c r="AO183" s="37">
        <v>137700</v>
      </c>
      <c r="AP183" s="37"/>
      <c r="AQ183" s="37">
        <v>132494.54</v>
      </c>
      <c r="AR183" s="25">
        <v>0.14000000000000001</v>
      </c>
      <c r="AS183" s="25"/>
      <c r="AT183" s="37">
        <f>+AQ183*1.14</f>
        <v>151043.77559999999</v>
      </c>
      <c r="AU183" s="37"/>
      <c r="AV183" s="37"/>
      <c r="AW183" s="37"/>
      <c r="AX183" s="37"/>
      <c r="AY183" s="37"/>
      <c r="AZ183" s="37"/>
      <c r="BA183" s="37"/>
      <c r="BB183" s="37"/>
      <c r="BC183" s="37"/>
      <c r="BD183" s="37"/>
      <c r="BE183" s="37"/>
      <c r="BF183" s="29">
        <f t="shared" si="89"/>
        <v>5205.4599999999919</v>
      </c>
      <c r="BG183" s="29">
        <f t="shared" si="90"/>
        <v>5205.4599999999919</v>
      </c>
      <c r="BH183" s="37" t="s">
        <v>594</v>
      </c>
      <c r="BI183" s="29" t="s">
        <v>570</v>
      </c>
      <c r="BJ183" s="29" t="s">
        <v>570</v>
      </c>
      <c r="BK183" s="29" t="s">
        <v>570</v>
      </c>
      <c r="BL183" s="29" t="s">
        <v>570</v>
      </c>
      <c r="BM183" s="29" t="s">
        <v>570</v>
      </c>
      <c r="BN183" s="23">
        <v>42415</v>
      </c>
      <c r="BO183" s="23">
        <v>42423</v>
      </c>
      <c r="BP183" s="23">
        <v>42430</v>
      </c>
      <c r="BQ183" s="23">
        <v>42437</v>
      </c>
      <c r="BR183" s="13" t="s">
        <v>570</v>
      </c>
      <c r="BS183" s="23">
        <v>42444</v>
      </c>
      <c r="BT183" s="23">
        <v>42447</v>
      </c>
      <c r="BU183" s="13" t="s">
        <v>570</v>
      </c>
      <c r="BV183" s="13" t="s">
        <v>570</v>
      </c>
      <c r="BW183" s="224" t="s">
        <v>570</v>
      </c>
      <c r="BX183" s="13" t="s">
        <v>503</v>
      </c>
      <c r="BY183" s="13" t="s">
        <v>570</v>
      </c>
      <c r="BZ183" s="23">
        <v>42555</v>
      </c>
      <c r="CA183" s="23">
        <v>42578</v>
      </c>
      <c r="CB183" s="224" t="s">
        <v>570</v>
      </c>
      <c r="CC183" s="224" t="s">
        <v>570</v>
      </c>
      <c r="CD183" s="224" t="s">
        <v>570</v>
      </c>
      <c r="CE183" s="23"/>
      <c r="CF183" s="127" t="s">
        <v>829</v>
      </c>
      <c r="CG183" s="23"/>
      <c r="CH183" s="23"/>
      <c r="CI183" s="23"/>
      <c r="CJ183" s="23"/>
      <c r="CK183" s="23"/>
      <c r="CL183" s="23"/>
      <c r="CM183" s="23"/>
      <c r="CN183" s="23"/>
      <c r="CO183" s="23"/>
      <c r="CP183" s="23"/>
      <c r="CQ183" s="23"/>
      <c r="CR183" s="127" t="s">
        <v>829</v>
      </c>
      <c r="CS183" s="13" t="s">
        <v>570</v>
      </c>
      <c r="CT183" s="37" t="s">
        <v>452</v>
      </c>
      <c r="CU183" s="25">
        <v>0.05</v>
      </c>
      <c r="CV183" s="23">
        <v>42585</v>
      </c>
      <c r="CW183" s="30">
        <f>AQ183*0.5</f>
        <v>66247.27</v>
      </c>
      <c r="CX183" s="314" t="s">
        <v>1001</v>
      </c>
      <c r="CY183" s="23">
        <v>42731</v>
      </c>
      <c r="CZ183" s="30">
        <f>132494.54-66247.27</f>
        <v>66247.27</v>
      </c>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31">
        <f t="shared" si="91"/>
        <v>132494.54</v>
      </c>
      <c r="DZ183" s="13"/>
      <c r="EA183" s="13"/>
      <c r="EB183" s="13"/>
      <c r="EC183" s="13"/>
      <c r="ED183" s="13"/>
      <c r="EE183" s="13"/>
      <c r="EF183" s="13"/>
      <c r="EG183" s="13">
        <v>150</v>
      </c>
      <c r="EH183" s="13" t="s">
        <v>588</v>
      </c>
      <c r="EI183" s="23">
        <f>CV183+1</f>
        <v>42586</v>
      </c>
      <c r="EJ183" s="23">
        <f t="shared" si="92"/>
        <v>42736</v>
      </c>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c r="FN183" s="13"/>
      <c r="FO183" s="13"/>
      <c r="FP183" s="13"/>
      <c r="FQ183" s="13"/>
      <c r="FR183" s="13"/>
      <c r="FS183" s="25">
        <v>1</v>
      </c>
      <c r="FT183" s="25">
        <v>1</v>
      </c>
      <c r="FU183" s="25">
        <v>1</v>
      </c>
      <c r="FV183" s="25">
        <v>1</v>
      </c>
      <c r="FW183" s="25">
        <v>1</v>
      </c>
      <c r="FX183" s="25">
        <v>1</v>
      </c>
      <c r="FY183" s="25">
        <v>1</v>
      </c>
      <c r="FZ183" s="25">
        <v>1</v>
      </c>
      <c r="GA183" s="25">
        <v>1</v>
      </c>
      <c r="GB183" s="25">
        <v>1</v>
      </c>
      <c r="GC183" s="25">
        <v>1</v>
      </c>
      <c r="GD183" s="25">
        <v>1</v>
      </c>
      <c r="GE183" s="25">
        <v>1</v>
      </c>
      <c r="GF183" s="25">
        <v>1</v>
      </c>
      <c r="GG183" s="25">
        <v>1</v>
      </c>
      <c r="GH183" s="25">
        <v>1</v>
      </c>
      <c r="GI183" s="25">
        <v>1</v>
      </c>
      <c r="GJ183" s="25">
        <v>1</v>
      </c>
      <c r="GK183" s="25">
        <v>1</v>
      </c>
      <c r="GL183" s="25">
        <v>1</v>
      </c>
      <c r="GM183" s="25">
        <v>1</v>
      </c>
      <c r="GN183" s="25">
        <v>1</v>
      </c>
      <c r="GO183" s="25">
        <v>1</v>
      </c>
      <c r="GP183" s="25">
        <v>1</v>
      </c>
      <c r="GQ183" s="25">
        <v>1</v>
      </c>
      <c r="GR183" s="25">
        <v>1</v>
      </c>
      <c r="GS183" s="25">
        <v>1</v>
      </c>
      <c r="GT183" s="25">
        <v>1</v>
      </c>
      <c r="GU183" s="25">
        <v>1</v>
      </c>
      <c r="GV183" s="25" t="s">
        <v>455</v>
      </c>
      <c r="GW183" s="25" t="s">
        <v>455</v>
      </c>
      <c r="GX183" s="25" t="s">
        <v>455</v>
      </c>
      <c r="GY183" s="25" t="s">
        <v>455</v>
      </c>
      <c r="GZ183" s="25" t="s">
        <v>455</v>
      </c>
      <c r="HA183" s="25" t="s">
        <v>455</v>
      </c>
      <c r="HB183" s="25" t="s">
        <v>455</v>
      </c>
      <c r="HC183" s="25" t="s">
        <v>455</v>
      </c>
      <c r="HD183" s="25" t="s">
        <v>455</v>
      </c>
      <c r="HE183" s="25" t="s">
        <v>455</v>
      </c>
      <c r="HF183" s="25" t="s">
        <v>455</v>
      </c>
      <c r="HG183" s="25" t="s">
        <v>455</v>
      </c>
      <c r="HH183" s="25" t="s">
        <v>455</v>
      </c>
      <c r="HI183" s="25"/>
      <c r="HJ183" s="25"/>
      <c r="HK183" s="25"/>
      <c r="HL183" s="25"/>
      <c r="HM183" s="25"/>
      <c r="HN183" s="25"/>
      <c r="HO183" s="25"/>
      <c r="HP183" s="25"/>
      <c r="HQ183" s="25"/>
      <c r="HR183" s="25"/>
      <c r="HS183" s="25"/>
      <c r="HT183" s="25"/>
      <c r="HU183" s="13"/>
      <c r="HV183" s="13"/>
      <c r="HW183" s="32"/>
      <c r="HX183" s="55"/>
      <c r="HY183" s="55"/>
      <c r="HZ183" s="55"/>
      <c r="IA183" s="55"/>
      <c r="IB183" s="55"/>
      <c r="IC183" s="55"/>
      <c r="ID183" s="55"/>
      <c r="IE183" s="55"/>
      <c r="IF183" s="107">
        <v>137700</v>
      </c>
      <c r="IG183" s="107">
        <v>132494.54</v>
      </c>
      <c r="IH183" s="250">
        <f t="shared" si="85"/>
        <v>0</v>
      </c>
      <c r="II183" s="55"/>
      <c r="IJ183" s="55"/>
      <c r="IK183" s="55"/>
      <c r="IL183" s="55"/>
      <c r="IM183" s="55"/>
      <c r="IN183" s="55"/>
      <c r="IO183" s="55"/>
      <c r="IP183" s="55"/>
      <c r="IQ183" s="55"/>
      <c r="IR183" s="55"/>
      <c r="IS183" s="55"/>
      <c r="IT183" s="55"/>
      <c r="IU183" s="55"/>
      <c r="IV183" s="55"/>
      <c r="IW183" s="55"/>
      <c r="IX183" s="55"/>
      <c r="IY183" s="55"/>
      <c r="IZ183" s="55"/>
      <c r="JA183" s="55"/>
      <c r="JB183" s="55"/>
      <c r="JC183" s="55"/>
      <c r="JD183" s="55">
        <v>2016</v>
      </c>
    </row>
    <row r="184" spans="1:265" s="5" customFormat="1" ht="42" hidden="1" customHeight="1">
      <c r="A184" s="26" t="s">
        <v>23</v>
      </c>
      <c r="B184" s="26" t="s">
        <v>27</v>
      </c>
      <c r="C184" s="13" t="s">
        <v>352</v>
      </c>
      <c r="D184" s="13" t="s">
        <v>377</v>
      </c>
      <c r="E184" s="16" t="s">
        <v>353</v>
      </c>
      <c r="F184" s="13" t="s">
        <v>353</v>
      </c>
      <c r="G184" s="39" t="s">
        <v>354</v>
      </c>
      <c r="H184" s="28" t="s">
        <v>1550</v>
      </c>
      <c r="I184" s="385" t="s">
        <v>2032</v>
      </c>
      <c r="J184" s="48">
        <v>3</v>
      </c>
      <c r="K184" s="13" t="s">
        <v>348</v>
      </c>
      <c r="L184" s="314" t="s">
        <v>448</v>
      </c>
      <c r="M184" s="20" t="s">
        <v>165</v>
      </c>
      <c r="N184" s="20"/>
      <c r="O184" s="13" t="s">
        <v>3</v>
      </c>
      <c r="P184" s="13" t="s">
        <v>4</v>
      </c>
      <c r="Q184" s="22" t="s">
        <v>364</v>
      </c>
      <c r="R184" s="22" t="s">
        <v>777</v>
      </c>
      <c r="S184" s="13" t="s">
        <v>1561</v>
      </c>
      <c r="T184" s="13" t="s">
        <v>1387</v>
      </c>
      <c r="U184" s="13" t="s">
        <v>479</v>
      </c>
      <c r="V184" s="24" t="s">
        <v>647</v>
      </c>
      <c r="W184" s="13" t="s">
        <v>969</v>
      </c>
      <c r="X184" s="13" t="s">
        <v>969</v>
      </c>
      <c r="Y184" s="13" t="s">
        <v>778</v>
      </c>
      <c r="Z184" s="13" t="s">
        <v>503</v>
      </c>
      <c r="AA184" s="37">
        <v>1111857.07</v>
      </c>
      <c r="AB184" s="68">
        <v>1111857.07</v>
      </c>
      <c r="AC184" s="37">
        <v>1111857.07</v>
      </c>
      <c r="AD184" s="37">
        <f>AA184+AA185</f>
        <v>1269070</v>
      </c>
      <c r="AE184" s="29">
        <v>0</v>
      </c>
      <c r="AF184" s="29">
        <f t="shared" si="70"/>
        <v>1269070</v>
      </c>
      <c r="AG184" s="25">
        <v>0.12</v>
      </c>
      <c r="AH184" s="29">
        <f t="shared" si="82"/>
        <v>152288.4</v>
      </c>
      <c r="AI184" s="29">
        <f t="shared" si="76"/>
        <v>0</v>
      </c>
      <c r="AJ184" s="29">
        <f t="shared" si="83"/>
        <v>1421358.4000000001</v>
      </c>
      <c r="AK184" s="29"/>
      <c r="AL184" s="29"/>
      <c r="AM184" s="29">
        <f>AB184-AQ184</f>
        <v>65820.010000000009</v>
      </c>
      <c r="AN184" s="37">
        <v>1111857.07</v>
      </c>
      <c r="AO184" s="37" t="e">
        <f>AN184+AN185+#REF!+#REF!</f>
        <v>#REF!</v>
      </c>
      <c r="AP184" s="37"/>
      <c r="AQ184" s="37">
        <v>1046037.06</v>
      </c>
      <c r="AR184" s="25">
        <v>0.14000000000000001</v>
      </c>
      <c r="AS184" s="25"/>
      <c r="AT184" s="37">
        <f>+AQ184*1.14</f>
        <v>1192482.2483999999</v>
      </c>
      <c r="AU184" s="37"/>
      <c r="AV184" s="37"/>
      <c r="AW184" s="37"/>
      <c r="AX184" s="37"/>
      <c r="AY184" s="37"/>
      <c r="AZ184" s="37"/>
      <c r="BA184" s="37"/>
      <c r="BB184" s="37"/>
      <c r="BC184" s="37"/>
      <c r="BD184" s="37"/>
      <c r="BE184" s="37"/>
      <c r="BF184" s="29">
        <f t="shared" si="89"/>
        <v>65820.010000000009</v>
      </c>
      <c r="BG184" s="29">
        <f t="shared" si="90"/>
        <v>65820.010000000009</v>
      </c>
      <c r="BH184" s="37" t="s">
        <v>594</v>
      </c>
      <c r="BI184" s="29" t="s">
        <v>570</v>
      </c>
      <c r="BJ184" s="29" t="s">
        <v>570</v>
      </c>
      <c r="BK184" s="29" t="s">
        <v>570</v>
      </c>
      <c r="BL184" s="29" t="s">
        <v>570</v>
      </c>
      <c r="BM184" s="29" t="s">
        <v>570</v>
      </c>
      <c r="BN184" s="23">
        <v>42653</v>
      </c>
      <c r="BO184" s="23">
        <v>42671</v>
      </c>
      <c r="BP184" s="23">
        <v>42675</v>
      </c>
      <c r="BQ184" s="23">
        <v>42682</v>
      </c>
      <c r="BR184" s="23" t="s">
        <v>570</v>
      </c>
      <c r="BS184" s="23">
        <v>42688</v>
      </c>
      <c r="BT184" s="23">
        <v>42689</v>
      </c>
      <c r="BU184" s="13" t="s">
        <v>570</v>
      </c>
      <c r="BV184" s="13" t="s">
        <v>570</v>
      </c>
      <c r="BW184" s="224" t="s">
        <v>570</v>
      </c>
      <c r="BX184" s="23">
        <v>42690</v>
      </c>
      <c r="BY184" s="23" t="s">
        <v>570</v>
      </c>
      <c r="BZ184" s="13" t="s">
        <v>503</v>
      </c>
      <c r="CA184" s="23">
        <v>42712</v>
      </c>
      <c r="CB184" s="224" t="s">
        <v>570</v>
      </c>
      <c r="CC184" s="224" t="s">
        <v>570</v>
      </c>
      <c r="CD184" s="224" t="s">
        <v>570</v>
      </c>
      <c r="CE184" s="23"/>
      <c r="CF184" s="127" t="s">
        <v>829</v>
      </c>
      <c r="CG184" s="23"/>
      <c r="CH184" s="23"/>
      <c r="CI184" s="23"/>
      <c r="CJ184" s="23"/>
      <c r="CK184" s="23"/>
      <c r="CL184" s="23"/>
      <c r="CM184" s="23"/>
      <c r="CN184" s="23"/>
      <c r="CO184" s="23"/>
      <c r="CP184" s="23"/>
      <c r="CQ184" s="23"/>
      <c r="CR184" s="127" t="s">
        <v>829</v>
      </c>
      <c r="CS184" s="13" t="s">
        <v>570</v>
      </c>
      <c r="CT184" s="37" t="s">
        <v>570</v>
      </c>
      <c r="CU184" s="37" t="s">
        <v>570</v>
      </c>
      <c r="CV184" s="23">
        <v>42712</v>
      </c>
      <c r="CW184" s="30">
        <f>AQ184*0.5</f>
        <v>523018.53</v>
      </c>
      <c r="CX184" s="30"/>
      <c r="CY184" s="2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31">
        <f t="shared" si="91"/>
        <v>523018.53</v>
      </c>
      <c r="DZ184" s="13"/>
      <c r="EA184" s="13"/>
      <c r="EB184" s="13"/>
      <c r="EC184" s="13"/>
      <c r="ED184" s="13"/>
      <c r="EE184" s="13"/>
      <c r="EF184" s="13"/>
      <c r="EG184" s="13">
        <v>360</v>
      </c>
      <c r="EH184" s="13" t="s">
        <v>588</v>
      </c>
      <c r="EI184" s="23">
        <f>CV184+1</f>
        <v>42713</v>
      </c>
      <c r="EJ184" s="23">
        <f t="shared" si="92"/>
        <v>43073</v>
      </c>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c r="FT184" s="13"/>
      <c r="FU184" s="25"/>
      <c r="FV184" s="25">
        <v>0.108</v>
      </c>
      <c r="FW184" s="25">
        <v>0.108</v>
      </c>
      <c r="FX184" s="25">
        <v>0.108</v>
      </c>
      <c r="FY184" s="25">
        <v>0.12</v>
      </c>
      <c r="FZ184" s="25">
        <v>0.12</v>
      </c>
      <c r="GA184" s="25">
        <v>0.12</v>
      </c>
      <c r="GB184" s="25">
        <v>0.12</v>
      </c>
      <c r="GC184" s="25">
        <v>0.12</v>
      </c>
      <c r="GD184" s="25">
        <v>0.9</v>
      </c>
      <c r="GE184" s="25">
        <v>0.9</v>
      </c>
      <c r="GF184" s="25">
        <v>0.9</v>
      </c>
      <c r="GG184" s="25">
        <v>0.9</v>
      </c>
      <c r="GH184" s="25">
        <v>0.8</v>
      </c>
      <c r="GI184" s="25">
        <v>1</v>
      </c>
      <c r="GJ184" s="25">
        <v>1</v>
      </c>
      <c r="GK184" s="25">
        <v>1</v>
      </c>
      <c r="GL184" s="25">
        <v>1</v>
      </c>
      <c r="GM184" s="25">
        <v>1</v>
      </c>
      <c r="GN184" s="25">
        <v>1</v>
      </c>
      <c r="GO184" s="25">
        <v>1</v>
      </c>
      <c r="GP184" s="25">
        <v>1</v>
      </c>
      <c r="GQ184" s="25">
        <v>1</v>
      </c>
      <c r="GR184" s="25">
        <v>1</v>
      </c>
      <c r="GS184" s="25">
        <v>1</v>
      </c>
      <c r="GT184" s="25">
        <v>1</v>
      </c>
      <c r="GU184" s="25">
        <v>1</v>
      </c>
      <c r="GV184" s="25" t="s">
        <v>1588</v>
      </c>
      <c r="GW184" s="25" t="s">
        <v>1588</v>
      </c>
      <c r="GX184" s="25" t="s">
        <v>1588</v>
      </c>
      <c r="GY184" s="25" t="s">
        <v>1588</v>
      </c>
      <c r="GZ184" s="25" t="s">
        <v>1588</v>
      </c>
      <c r="HA184" s="25" t="s">
        <v>1588</v>
      </c>
      <c r="HB184" s="25" t="s">
        <v>1588</v>
      </c>
      <c r="HC184" s="25" t="s">
        <v>1588</v>
      </c>
      <c r="HD184" s="25" t="s">
        <v>1588</v>
      </c>
      <c r="HE184" s="25" t="s">
        <v>1588</v>
      </c>
      <c r="HF184" s="25" t="s">
        <v>1588</v>
      </c>
      <c r="HG184" s="25" t="s">
        <v>1588</v>
      </c>
      <c r="HH184" s="25" t="s">
        <v>1588</v>
      </c>
      <c r="HI184" s="25" t="s">
        <v>1646</v>
      </c>
      <c r="HJ184" s="25"/>
      <c r="HK184" s="25"/>
      <c r="HL184" s="25"/>
      <c r="HM184" s="84" t="s">
        <v>1766</v>
      </c>
      <c r="HN184" s="84"/>
      <c r="HO184" s="84" t="s">
        <v>1854</v>
      </c>
      <c r="HP184" s="84"/>
      <c r="HQ184" s="84"/>
      <c r="HR184" s="84"/>
      <c r="HS184" s="84"/>
      <c r="HT184" s="84"/>
      <c r="HU184" s="13"/>
      <c r="HV184" s="13"/>
      <c r="HW184" s="32"/>
      <c r="HX184" s="55"/>
      <c r="HY184" s="55"/>
      <c r="HZ184" s="55"/>
      <c r="IA184" s="55"/>
      <c r="IB184" s="55"/>
      <c r="IC184" s="55"/>
      <c r="ID184" s="55"/>
      <c r="IE184" s="55"/>
      <c r="IF184" s="107">
        <v>1269070</v>
      </c>
      <c r="IG184" s="107"/>
      <c r="IH184" s="250">
        <f t="shared" si="85"/>
        <v>0</v>
      </c>
      <c r="II184" s="55"/>
      <c r="IJ184" s="55"/>
      <c r="IK184" s="55"/>
      <c r="IL184" s="55"/>
      <c r="IM184" s="55"/>
      <c r="IN184" s="55"/>
      <c r="IO184" s="55"/>
      <c r="IP184" s="55"/>
      <c r="IQ184" s="55"/>
      <c r="IR184" s="55"/>
      <c r="IS184" s="55"/>
      <c r="IT184" s="55"/>
      <c r="IU184" s="55"/>
      <c r="IV184" s="55"/>
      <c r="IW184" s="55"/>
      <c r="IX184" s="55"/>
      <c r="IY184" s="55"/>
      <c r="IZ184" s="55"/>
      <c r="JA184" s="55"/>
      <c r="JB184" s="55"/>
      <c r="JC184" s="55"/>
      <c r="JD184" s="55">
        <v>2018</v>
      </c>
    </row>
    <row r="185" spans="1:265" s="10" customFormat="1" ht="51" hidden="1" customHeight="1">
      <c r="A185" s="26" t="s">
        <v>23</v>
      </c>
      <c r="B185" s="26" t="s">
        <v>27</v>
      </c>
      <c r="C185" s="13" t="s">
        <v>352</v>
      </c>
      <c r="D185" s="13" t="s">
        <v>377</v>
      </c>
      <c r="E185" s="16" t="s">
        <v>353</v>
      </c>
      <c r="F185" s="13" t="s">
        <v>353</v>
      </c>
      <c r="G185" s="39" t="s">
        <v>354</v>
      </c>
      <c r="H185" s="28" t="s">
        <v>1550</v>
      </c>
      <c r="I185" s="385"/>
      <c r="J185" s="48">
        <v>4</v>
      </c>
      <c r="K185" s="13" t="s">
        <v>348</v>
      </c>
      <c r="L185" s="314" t="s">
        <v>448</v>
      </c>
      <c r="M185" s="20" t="s">
        <v>165</v>
      </c>
      <c r="N185" s="20"/>
      <c r="O185" s="13" t="s">
        <v>3</v>
      </c>
      <c r="P185" s="13" t="s">
        <v>4</v>
      </c>
      <c r="Q185" s="22" t="s">
        <v>364</v>
      </c>
      <c r="R185" s="22" t="s">
        <v>779</v>
      </c>
      <c r="S185" s="13" t="s">
        <v>597</v>
      </c>
      <c r="T185" s="13" t="s">
        <v>1387</v>
      </c>
      <c r="U185" s="13" t="s">
        <v>477</v>
      </c>
      <c r="V185" s="22" t="s">
        <v>780</v>
      </c>
      <c r="W185" s="13" t="s">
        <v>969</v>
      </c>
      <c r="X185" s="13" t="s">
        <v>969</v>
      </c>
      <c r="Y185" s="13" t="s">
        <v>781</v>
      </c>
      <c r="Z185" s="13" t="s">
        <v>503</v>
      </c>
      <c r="AA185" s="37">
        <v>157212.93</v>
      </c>
      <c r="AB185" s="68">
        <v>157212.93</v>
      </c>
      <c r="AC185" s="37">
        <v>157212.93</v>
      </c>
      <c r="AD185" s="37"/>
      <c r="AE185" s="29">
        <v>0</v>
      </c>
      <c r="AF185" s="29">
        <f t="shared" si="70"/>
        <v>0</v>
      </c>
      <c r="AG185" s="25">
        <v>0.12</v>
      </c>
      <c r="AH185" s="29">
        <f t="shared" si="82"/>
        <v>0</v>
      </c>
      <c r="AI185" s="29">
        <f t="shared" si="76"/>
        <v>0</v>
      </c>
      <c r="AJ185" s="29">
        <f t="shared" si="83"/>
        <v>0</v>
      </c>
      <c r="AK185" s="29">
        <v>152237.4</v>
      </c>
      <c r="AL185" s="29">
        <f>AB185-AK185</f>
        <v>4975.5299999999988</v>
      </c>
      <c r="AM185" s="29"/>
      <c r="AN185" s="37">
        <v>157212.93</v>
      </c>
      <c r="AO185" s="37"/>
      <c r="AP185" s="37"/>
      <c r="AQ185" s="37">
        <v>153452</v>
      </c>
      <c r="AR185" s="25">
        <v>0.14000000000000001</v>
      </c>
      <c r="AS185" s="25"/>
      <c r="AT185" s="37">
        <f>AQ185*1.14</f>
        <v>174935.28</v>
      </c>
      <c r="AU185" s="37"/>
      <c r="AV185" s="37"/>
      <c r="AW185" s="37"/>
      <c r="AX185" s="37"/>
      <c r="AY185" s="37"/>
      <c r="AZ185" s="37"/>
      <c r="BA185" s="37"/>
      <c r="BB185" s="37"/>
      <c r="BC185" s="37"/>
      <c r="BD185" s="37"/>
      <c r="BE185" s="37"/>
      <c r="BF185" s="29">
        <f t="shared" si="89"/>
        <v>3760.929999999993</v>
      </c>
      <c r="BG185" s="29">
        <f t="shared" si="90"/>
        <v>3760.929999999993</v>
      </c>
      <c r="BH185" s="37" t="s">
        <v>594</v>
      </c>
      <c r="BI185" s="29" t="s">
        <v>570</v>
      </c>
      <c r="BJ185" s="29" t="s">
        <v>570</v>
      </c>
      <c r="BK185" s="29" t="s">
        <v>570</v>
      </c>
      <c r="BL185" s="29" t="s">
        <v>570</v>
      </c>
      <c r="BM185" s="29" t="s">
        <v>570</v>
      </c>
      <c r="BN185" s="23">
        <v>42653</v>
      </c>
      <c r="BO185" s="23">
        <v>42671</v>
      </c>
      <c r="BP185" s="23">
        <v>42675</v>
      </c>
      <c r="BQ185" s="23">
        <v>42682</v>
      </c>
      <c r="BR185" s="23" t="s">
        <v>570</v>
      </c>
      <c r="BS185" s="23">
        <v>42688</v>
      </c>
      <c r="BT185" s="23">
        <v>42689</v>
      </c>
      <c r="BU185" s="13" t="s">
        <v>570</v>
      </c>
      <c r="BV185" s="13" t="s">
        <v>570</v>
      </c>
      <c r="BW185" s="224" t="s">
        <v>570</v>
      </c>
      <c r="BX185" s="23">
        <v>42690</v>
      </c>
      <c r="BY185" s="23" t="s">
        <v>570</v>
      </c>
      <c r="BZ185" s="13" t="s">
        <v>503</v>
      </c>
      <c r="CA185" s="23">
        <v>42712</v>
      </c>
      <c r="CB185" s="224" t="s">
        <v>570</v>
      </c>
      <c r="CC185" s="224" t="s">
        <v>570</v>
      </c>
      <c r="CD185" s="224" t="s">
        <v>570</v>
      </c>
      <c r="CE185" s="23"/>
      <c r="CF185" s="127" t="s">
        <v>829</v>
      </c>
      <c r="CG185" s="23"/>
      <c r="CH185" s="23"/>
      <c r="CI185" s="23"/>
      <c r="CJ185" s="23"/>
      <c r="CK185" s="23"/>
      <c r="CL185" s="23"/>
      <c r="CM185" s="23"/>
      <c r="CN185" s="23"/>
      <c r="CO185" s="23"/>
      <c r="CP185" s="23"/>
      <c r="CQ185" s="23"/>
      <c r="CR185" s="127" t="s">
        <v>829</v>
      </c>
      <c r="CS185" s="13" t="s">
        <v>570</v>
      </c>
      <c r="CT185" s="37" t="s">
        <v>570</v>
      </c>
      <c r="CU185" s="37" t="s">
        <v>570</v>
      </c>
      <c r="CV185" s="23">
        <v>42712</v>
      </c>
      <c r="CW185" s="30">
        <f>AQ185*0.5</f>
        <v>76726</v>
      </c>
      <c r="CX185" s="134" t="s">
        <v>1476</v>
      </c>
      <c r="CY185" s="166">
        <v>42859</v>
      </c>
      <c r="CZ185" s="239">
        <v>35320.200000000004</v>
      </c>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31">
        <f t="shared" si="91"/>
        <v>112046.20000000001</v>
      </c>
      <c r="DZ185" s="13"/>
      <c r="EA185" s="13"/>
      <c r="EB185" s="13"/>
      <c r="EC185" s="13"/>
      <c r="ED185" s="13"/>
      <c r="EE185" s="13"/>
      <c r="EF185" s="13"/>
      <c r="EG185" s="13">
        <v>450</v>
      </c>
      <c r="EH185" s="13" t="s">
        <v>588</v>
      </c>
      <c r="EI185" s="23">
        <f>CV185+1</f>
        <v>42713</v>
      </c>
      <c r="EJ185" s="23">
        <f t="shared" si="92"/>
        <v>43163</v>
      </c>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25">
        <v>0.108</v>
      </c>
      <c r="FW185" s="25">
        <v>0.108</v>
      </c>
      <c r="FX185" s="25">
        <v>0.108</v>
      </c>
      <c r="FY185" s="25">
        <v>0.12</v>
      </c>
      <c r="FZ185" s="25">
        <v>0.12</v>
      </c>
      <c r="GA185" s="25">
        <v>0.12</v>
      </c>
      <c r="GB185" s="25">
        <v>0.12</v>
      </c>
      <c r="GC185" s="25">
        <v>0.12</v>
      </c>
      <c r="GD185" s="25">
        <v>0.12</v>
      </c>
      <c r="GE185" s="25">
        <v>0.12</v>
      </c>
      <c r="GF185" s="25">
        <v>0.12</v>
      </c>
      <c r="GG185" s="25">
        <v>0.12</v>
      </c>
      <c r="GH185" s="25">
        <v>0.8</v>
      </c>
      <c r="GI185" s="25">
        <v>1</v>
      </c>
      <c r="GJ185" s="25">
        <v>1</v>
      </c>
      <c r="GK185" s="25">
        <v>1</v>
      </c>
      <c r="GL185" s="25">
        <v>1</v>
      </c>
      <c r="GM185" s="25">
        <v>1</v>
      </c>
      <c r="GN185" s="25">
        <v>1</v>
      </c>
      <c r="GO185" s="25">
        <v>1</v>
      </c>
      <c r="GP185" s="25">
        <v>1</v>
      </c>
      <c r="GQ185" s="25">
        <v>1</v>
      </c>
      <c r="GR185" s="25">
        <v>1</v>
      </c>
      <c r="GS185" s="25">
        <v>1</v>
      </c>
      <c r="GT185" s="25">
        <v>1</v>
      </c>
      <c r="GU185" s="25">
        <v>1</v>
      </c>
      <c r="GV185" s="25" t="s">
        <v>1588</v>
      </c>
      <c r="GW185" s="25" t="s">
        <v>1588</v>
      </c>
      <c r="GX185" s="25" t="s">
        <v>1588</v>
      </c>
      <c r="GY185" s="25" t="s">
        <v>1588</v>
      </c>
      <c r="GZ185" s="25" t="s">
        <v>1588</v>
      </c>
      <c r="HA185" s="25" t="s">
        <v>1588</v>
      </c>
      <c r="HB185" s="25" t="s">
        <v>1588</v>
      </c>
      <c r="HC185" s="25" t="s">
        <v>1588</v>
      </c>
      <c r="HD185" s="25" t="s">
        <v>1588</v>
      </c>
      <c r="HE185" s="25" t="s">
        <v>1588</v>
      </c>
      <c r="HF185" s="25" t="s">
        <v>1588</v>
      </c>
      <c r="HG185" s="25" t="s">
        <v>455</v>
      </c>
      <c r="HH185" s="25" t="s">
        <v>455</v>
      </c>
      <c r="HI185" s="25"/>
      <c r="HJ185" s="25"/>
      <c r="HK185" s="25"/>
      <c r="HL185" s="25"/>
      <c r="HM185" s="84" t="s">
        <v>1744</v>
      </c>
      <c r="HN185" s="84"/>
      <c r="HO185" s="84" t="s">
        <v>1853</v>
      </c>
      <c r="HP185" s="84"/>
      <c r="HQ185" s="84"/>
      <c r="HR185" s="84"/>
      <c r="HS185" s="84"/>
      <c r="HT185" s="84"/>
      <c r="HU185" s="13"/>
      <c r="HV185" s="13"/>
      <c r="HW185" s="32"/>
      <c r="HX185" s="55"/>
      <c r="HY185" s="55"/>
      <c r="HZ185" s="55"/>
      <c r="IA185" s="251"/>
      <c r="IB185" s="251"/>
      <c r="IC185" s="251"/>
      <c r="ID185" s="251"/>
      <c r="IE185" s="251"/>
      <c r="IF185" s="107">
        <v>0</v>
      </c>
      <c r="IG185" s="107"/>
      <c r="IH185" s="250">
        <f t="shared" si="85"/>
        <v>152237.4</v>
      </c>
      <c r="II185" s="251"/>
      <c r="IJ185" s="251"/>
      <c r="IK185" s="251"/>
      <c r="IL185" s="251"/>
      <c r="IM185" s="251"/>
      <c r="IN185" s="251"/>
      <c r="IO185" s="251"/>
      <c r="IP185" s="251"/>
      <c r="IQ185" s="251"/>
      <c r="IR185" s="251"/>
      <c r="IS185" s="251"/>
      <c r="IT185" s="251"/>
      <c r="IU185" s="251"/>
      <c r="IV185" s="251"/>
      <c r="IW185" s="251"/>
      <c r="IX185" s="251"/>
      <c r="IY185" s="251"/>
      <c r="IZ185" s="251"/>
      <c r="JA185" s="251"/>
      <c r="JB185" s="251"/>
      <c r="JC185" s="251"/>
      <c r="JD185" s="251">
        <v>2018</v>
      </c>
    </row>
    <row r="186" spans="1:265" s="5" customFormat="1" ht="48" hidden="1" customHeight="1">
      <c r="A186" s="26" t="s">
        <v>5</v>
      </c>
      <c r="B186" s="26" t="s">
        <v>27</v>
      </c>
      <c r="C186" s="13" t="s">
        <v>352</v>
      </c>
      <c r="D186" s="13" t="s">
        <v>377</v>
      </c>
      <c r="E186" s="16" t="s">
        <v>353</v>
      </c>
      <c r="F186" s="13" t="s">
        <v>353</v>
      </c>
      <c r="G186" s="39" t="s">
        <v>354</v>
      </c>
      <c r="H186" s="28" t="s">
        <v>1546</v>
      </c>
      <c r="I186" s="103" t="s">
        <v>978</v>
      </c>
      <c r="J186" s="40">
        <v>6</v>
      </c>
      <c r="K186" s="13" t="s">
        <v>348</v>
      </c>
      <c r="L186" s="314" t="s">
        <v>448</v>
      </c>
      <c r="M186" s="20" t="s">
        <v>165</v>
      </c>
      <c r="N186" s="20"/>
      <c r="O186" s="13" t="s">
        <v>3</v>
      </c>
      <c r="P186" s="13" t="s">
        <v>4</v>
      </c>
      <c r="Q186" s="22" t="s">
        <v>1118</v>
      </c>
      <c r="R186" s="314" t="s">
        <v>448</v>
      </c>
      <c r="S186" s="13" t="s">
        <v>1561</v>
      </c>
      <c r="T186" s="13" t="s">
        <v>1387</v>
      </c>
      <c r="U186" s="13" t="s">
        <v>479</v>
      </c>
      <c r="V186" s="24" t="s">
        <v>647</v>
      </c>
      <c r="W186" s="13" t="s">
        <v>969</v>
      </c>
      <c r="X186" s="13" t="s">
        <v>969</v>
      </c>
      <c r="Y186" s="13" t="s">
        <v>969</v>
      </c>
      <c r="Z186" s="13" t="s">
        <v>969</v>
      </c>
      <c r="AA186" s="37"/>
      <c r="AB186" s="68">
        <v>859114.77</v>
      </c>
      <c r="AC186" s="29">
        <v>0</v>
      </c>
      <c r="AD186" s="37">
        <v>799400</v>
      </c>
      <c r="AE186" s="29">
        <v>0</v>
      </c>
      <c r="AF186" s="29">
        <f t="shared" si="70"/>
        <v>799400</v>
      </c>
      <c r="AG186" s="25">
        <v>0.12</v>
      </c>
      <c r="AH186" s="29">
        <f t="shared" si="82"/>
        <v>95928</v>
      </c>
      <c r="AI186" s="29">
        <f t="shared" si="76"/>
        <v>0</v>
      </c>
      <c r="AJ186" s="29">
        <f t="shared" si="83"/>
        <v>895328.00000000012</v>
      </c>
      <c r="AK186" s="29">
        <v>768167.49</v>
      </c>
      <c r="AL186" s="29">
        <f>AB186-AK186</f>
        <v>90947.280000000028</v>
      </c>
      <c r="AM186" s="126"/>
      <c r="AN186" s="37"/>
      <c r="AO186" s="37">
        <v>799400</v>
      </c>
      <c r="AP186" s="37"/>
      <c r="AQ186" s="37">
        <v>770879.49</v>
      </c>
      <c r="AR186" s="25">
        <v>0.14000000000000001</v>
      </c>
      <c r="AS186" s="25"/>
      <c r="AT186" s="37">
        <f>+AQ186*1.14</f>
        <v>878802.61859999993</v>
      </c>
      <c r="AU186" s="37"/>
      <c r="AV186" s="37"/>
      <c r="AW186" s="37"/>
      <c r="AX186" s="37"/>
      <c r="AY186" s="37"/>
      <c r="AZ186" s="37"/>
      <c r="BA186" s="37"/>
      <c r="BB186" s="37"/>
      <c r="BC186" s="37"/>
      <c r="BD186" s="37"/>
      <c r="BE186" s="37"/>
      <c r="BF186" s="29">
        <f t="shared" si="89"/>
        <v>88235.280000000028</v>
      </c>
      <c r="BG186" s="29">
        <f t="shared" si="90"/>
        <v>88235.280000000028</v>
      </c>
      <c r="BH186" s="37" t="s">
        <v>594</v>
      </c>
      <c r="BI186" s="29" t="s">
        <v>570</v>
      </c>
      <c r="BJ186" s="29" t="s">
        <v>570</v>
      </c>
      <c r="BK186" s="29" t="s">
        <v>570</v>
      </c>
      <c r="BL186" s="29" t="s">
        <v>570</v>
      </c>
      <c r="BM186" s="29" t="s">
        <v>570</v>
      </c>
      <c r="BN186" s="23">
        <v>42653</v>
      </c>
      <c r="BO186" s="23">
        <v>42671</v>
      </c>
      <c r="BP186" s="23">
        <v>42675</v>
      </c>
      <c r="BQ186" s="23">
        <v>42682</v>
      </c>
      <c r="BR186" s="23"/>
      <c r="BS186" s="23">
        <v>42688</v>
      </c>
      <c r="BT186" s="23">
        <v>42689</v>
      </c>
      <c r="BU186" s="13" t="s">
        <v>570</v>
      </c>
      <c r="BV186" s="13" t="s">
        <v>570</v>
      </c>
      <c r="BW186" s="224" t="s">
        <v>570</v>
      </c>
      <c r="BX186" s="23">
        <v>42690</v>
      </c>
      <c r="BY186" s="13"/>
      <c r="BZ186" s="13" t="s">
        <v>503</v>
      </c>
      <c r="CA186" s="23">
        <v>42718</v>
      </c>
      <c r="CB186" s="224" t="s">
        <v>570</v>
      </c>
      <c r="CC186" s="224" t="s">
        <v>570</v>
      </c>
      <c r="CD186" s="224" t="s">
        <v>570</v>
      </c>
      <c r="CE186" s="13"/>
      <c r="CF186" s="127" t="s">
        <v>829</v>
      </c>
      <c r="CG186" s="13"/>
      <c r="CH186" s="13"/>
      <c r="CI186" s="13"/>
      <c r="CJ186" s="13"/>
      <c r="CK186" s="13"/>
      <c r="CL186" s="13"/>
      <c r="CM186" s="13"/>
      <c r="CN186" s="13"/>
      <c r="CO186" s="13"/>
      <c r="CP186" s="13"/>
      <c r="CQ186" s="13"/>
      <c r="CR186" s="127" t="s">
        <v>829</v>
      </c>
      <c r="CS186" s="13" t="s">
        <v>570</v>
      </c>
      <c r="CT186" s="37"/>
      <c r="CU186" s="37"/>
      <c r="CV186" s="23">
        <v>42719</v>
      </c>
      <c r="CW186" s="30">
        <v>385439.75</v>
      </c>
      <c r="CX186" s="30"/>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31">
        <f t="shared" si="91"/>
        <v>385439.75</v>
      </c>
      <c r="DZ186" s="13"/>
      <c r="EA186" s="13"/>
      <c r="EB186" s="37">
        <v>385439.745</v>
      </c>
      <c r="EC186" s="13"/>
      <c r="ED186" s="13"/>
      <c r="EE186" s="30">
        <f>DY186+DZ186+EA186+EB186+EC186+ED186</f>
        <v>770879.495</v>
      </c>
      <c r="EF186" s="30"/>
      <c r="EG186" s="13">
        <v>360</v>
      </c>
      <c r="EH186" s="13" t="s">
        <v>588</v>
      </c>
      <c r="EI186" s="23">
        <f>CV186+1</f>
        <v>42720</v>
      </c>
      <c r="EJ186" s="23">
        <f t="shared" si="92"/>
        <v>43080</v>
      </c>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25">
        <v>0.25</v>
      </c>
      <c r="FV186" s="25">
        <v>0.25</v>
      </c>
      <c r="FW186" s="25">
        <v>0.25</v>
      </c>
      <c r="FX186" s="25">
        <v>0.25</v>
      </c>
      <c r="FY186" s="25">
        <v>0.4</v>
      </c>
      <c r="FZ186" s="25">
        <v>0.4</v>
      </c>
      <c r="GA186" s="25">
        <v>0.4</v>
      </c>
      <c r="GB186" s="25">
        <v>0.6</v>
      </c>
      <c r="GC186" s="25">
        <v>0.6</v>
      </c>
      <c r="GD186" s="25">
        <v>0.6</v>
      </c>
      <c r="GE186" s="25">
        <v>0.6</v>
      </c>
      <c r="GF186" s="25">
        <v>0.6</v>
      </c>
      <c r="GG186" s="25">
        <v>0.6</v>
      </c>
      <c r="GH186" s="25">
        <v>1</v>
      </c>
      <c r="GI186" s="25">
        <v>1</v>
      </c>
      <c r="GJ186" s="25">
        <v>1</v>
      </c>
      <c r="GK186" s="25">
        <v>1</v>
      </c>
      <c r="GL186" s="25">
        <v>1</v>
      </c>
      <c r="GM186" s="25">
        <v>1</v>
      </c>
      <c r="GN186" s="25">
        <v>1</v>
      </c>
      <c r="GO186" s="25">
        <v>1</v>
      </c>
      <c r="GP186" s="25">
        <v>1</v>
      </c>
      <c r="GQ186" s="25">
        <v>1</v>
      </c>
      <c r="GR186" s="25">
        <v>1</v>
      </c>
      <c r="GS186" s="25">
        <v>1</v>
      </c>
      <c r="GT186" s="25">
        <v>1</v>
      </c>
      <c r="GU186" s="25">
        <v>1</v>
      </c>
      <c r="GV186" s="25" t="s">
        <v>1588</v>
      </c>
      <c r="GW186" s="25" t="s">
        <v>1588</v>
      </c>
      <c r="GX186" s="25" t="s">
        <v>1588</v>
      </c>
      <c r="GY186" s="25" t="s">
        <v>455</v>
      </c>
      <c r="GZ186" s="25" t="s">
        <v>455</v>
      </c>
      <c r="HA186" s="25" t="s">
        <v>455</v>
      </c>
      <c r="HB186" s="25" t="s">
        <v>455</v>
      </c>
      <c r="HC186" s="25" t="s">
        <v>455</v>
      </c>
      <c r="HD186" s="25" t="s">
        <v>455</v>
      </c>
      <c r="HE186" s="25" t="s">
        <v>455</v>
      </c>
      <c r="HF186" s="25" t="s">
        <v>455</v>
      </c>
      <c r="HG186" s="25" t="s">
        <v>455</v>
      </c>
      <c r="HH186" s="25" t="s">
        <v>455</v>
      </c>
      <c r="HI186" s="25"/>
      <c r="HJ186" s="25"/>
      <c r="HK186" s="25"/>
      <c r="HL186" s="25" t="s">
        <v>1711</v>
      </c>
      <c r="HM186" s="84" t="s">
        <v>1711</v>
      </c>
      <c r="HN186" s="84"/>
      <c r="HO186" s="84"/>
      <c r="HP186" s="84"/>
      <c r="HQ186" s="84"/>
      <c r="HR186" s="84"/>
      <c r="HS186" s="84"/>
      <c r="HT186" s="84"/>
      <c r="HU186" s="13"/>
      <c r="HV186" s="13"/>
      <c r="HW186" s="32"/>
      <c r="HX186" s="55"/>
      <c r="HY186" s="55"/>
      <c r="HZ186" s="55"/>
      <c r="IA186" s="55"/>
      <c r="IB186" s="55"/>
      <c r="IC186" s="55"/>
      <c r="ID186" s="55"/>
      <c r="IE186" s="55"/>
      <c r="IF186" s="107">
        <v>859114.77</v>
      </c>
      <c r="IG186" s="107">
        <v>768167.49</v>
      </c>
      <c r="IH186" s="250">
        <f t="shared" si="85"/>
        <v>0</v>
      </c>
      <c r="II186" s="55"/>
      <c r="IJ186" s="55"/>
      <c r="IK186" s="55"/>
      <c r="IL186" s="55"/>
      <c r="IM186" s="55"/>
      <c r="IN186" s="55"/>
      <c r="IO186" s="55"/>
      <c r="IP186" s="55"/>
      <c r="IQ186" s="55"/>
      <c r="IR186" s="55"/>
      <c r="IS186" s="55"/>
      <c r="IT186" s="55"/>
      <c r="IU186" s="55"/>
      <c r="IV186" s="55"/>
      <c r="IW186" s="55"/>
      <c r="IX186" s="55"/>
      <c r="IY186" s="55"/>
      <c r="IZ186" s="55"/>
      <c r="JA186" s="55"/>
      <c r="JB186" s="55"/>
      <c r="JC186" s="55"/>
      <c r="JD186" s="55">
        <v>2018</v>
      </c>
    </row>
    <row r="187" spans="1:265" s="5" customFormat="1" ht="24.95" hidden="1" customHeight="1">
      <c r="A187" s="26" t="s">
        <v>19</v>
      </c>
      <c r="B187" s="26" t="s">
        <v>27</v>
      </c>
      <c r="C187" s="13" t="s">
        <v>352</v>
      </c>
      <c r="D187" s="13" t="s">
        <v>377</v>
      </c>
      <c r="E187" s="16" t="s">
        <v>353</v>
      </c>
      <c r="F187" s="13" t="s">
        <v>353</v>
      </c>
      <c r="G187" s="39" t="s">
        <v>354</v>
      </c>
      <c r="H187" s="39" t="s">
        <v>1580</v>
      </c>
      <c r="I187" s="82" t="s">
        <v>983</v>
      </c>
      <c r="J187" s="40">
        <v>5</v>
      </c>
      <c r="K187" s="13" t="s">
        <v>348</v>
      </c>
      <c r="L187" s="314" t="s">
        <v>448</v>
      </c>
      <c r="M187" s="20" t="s">
        <v>165</v>
      </c>
      <c r="N187" s="20"/>
      <c r="O187" s="13" t="s">
        <v>3</v>
      </c>
      <c r="P187" s="13" t="s">
        <v>4</v>
      </c>
      <c r="Q187" s="22" t="s">
        <v>1118</v>
      </c>
      <c r="R187" s="22" t="s">
        <v>1347</v>
      </c>
      <c r="S187" s="13" t="s">
        <v>1561</v>
      </c>
      <c r="T187" s="13" t="s">
        <v>1387</v>
      </c>
      <c r="U187" s="13" t="s">
        <v>479</v>
      </c>
      <c r="V187" s="24" t="s">
        <v>647</v>
      </c>
      <c r="W187" s="13"/>
      <c r="X187" s="13"/>
      <c r="Y187" s="13"/>
      <c r="Z187" s="13" t="s">
        <v>969</v>
      </c>
      <c r="AA187" s="37"/>
      <c r="AB187" s="68">
        <f>401507.55-50049.35</f>
        <v>351458.2</v>
      </c>
      <c r="AC187" s="29">
        <v>0</v>
      </c>
      <c r="AD187" s="37">
        <v>401507.55000000005</v>
      </c>
      <c r="AE187" s="29">
        <v>0</v>
      </c>
      <c r="AF187" s="29">
        <f t="shared" si="70"/>
        <v>401507.55000000005</v>
      </c>
      <c r="AG187" s="25">
        <v>0.12</v>
      </c>
      <c r="AH187" s="29">
        <f t="shared" si="82"/>
        <v>48180.906000000003</v>
      </c>
      <c r="AI187" s="29">
        <f t="shared" ref="AI187:AI213" si="93">AE187*0.12</f>
        <v>0</v>
      </c>
      <c r="AJ187" s="29">
        <f t="shared" si="83"/>
        <v>449688.45600000012</v>
      </c>
      <c r="AK187" s="29">
        <v>351458.2</v>
      </c>
      <c r="AL187" s="29">
        <f>AB187-AK187</f>
        <v>0</v>
      </c>
      <c r="AM187" s="126"/>
      <c r="AN187" s="37"/>
      <c r="AO187" s="37">
        <v>401507.55000000005</v>
      </c>
      <c r="AP187" s="37"/>
      <c r="AQ187" s="37">
        <v>378722.36</v>
      </c>
      <c r="AR187" s="25">
        <v>0.14000000000000001</v>
      </c>
      <c r="AS187" s="37">
        <f>AQ187*0.14</f>
        <v>53021.130400000002</v>
      </c>
      <c r="AT187" s="37">
        <f>+AQ187*1.14</f>
        <v>431743.49039999995</v>
      </c>
      <c r="AU187" s="37"/>
      <c r="AV187" s="37"/>
      <c r="AW187" s="37"/>
      <c r="AX187" s="37"/>
      <c r="AY187" s="37"/>
      <c r="AZ187" s="37"/>
      <c r="BA187" s="37"/>
      <c r="BB187" s="37"/>
      <c r="BC187" s="37"/>
      <c r="BD187" s="37"/>
      <c r="BE187" s="37"/>
      <c r="BF187" s="29">
        <f t="shared" si="89"/>
        <v>-27264.159999999974</v>
      </c>
      <c r="BG187" s="29">
        <f t="shared" si="90"/>
        <v>-27264.159999999974</v>
      </c>
      <c r="BH187" s="37" t="s">
        <v>594</v>
      </c>
      <c r="BI187" s="29" t="s">
        <v>570</v>
      </c>
      <c r="BJ187" s="29" t="s">
        <v>570</v>
      </c>
      <c r="BK187" s="29" t="s">
        <v>570</v>
      </c>
      <c r="BL187" s="29" t="s">
        <v>570</v>
      </c>
      <c r="BM187" s="29" t="s">
        <v>570</v>
      </c>
      <c r="BN187" s="23">
        <v>42653</v>
      </c>
      <c r="BO187" s="23">
        <v>42671</v>
      </c>
      <c r="BP187" s="23">
        <v>42675</v>
      </c>
      <c r="BQ187" s="23">
        <v>42682</v>
      </c>
      <c r="BR187" s="23" t="s">
        <v>570</v>
      </c>
      <c r="BS187" s="23">
        <v>42688</v>
      </c>
      <c r="BT187" s="23">
        <v>42689</v>
      </c>
      <c r="BU187" s="13" t="s">
        <v>570</v>
      </c>
      <c r="BV187" s="13" t="s">
        <v>570</v>
      </c>
      <c r="BW187" s="224" t="s">
        <v>570</v>
      </c>
      <c r="BX187" s="23">
        <v>42690</v>
      </c>
      <c r="BY187" s="13" t="s">
        <v>570</v>
      </c>
      <c r="BZ187" s="23">
        <v>42702</v>
      </c>
      <c r="CA187" s="23">
        <v>42710</v>
      </c>
      <c r="CB187" s="224" t="s">
        <v>570</v>
      </c>
      <c r="CC187" s="224" t="s">
        <v>570</v>
      </c>
      <c r="CD187" s="224" t="s">
        <v>570</v>
      </c>
      <c r="CE187" s="13" t="s">
        <v>834</v>
      </c>
      <c r="CF187" s="13" t="s">
        <v>834</v>
      </c>
      <c r="CG187" s="13" t="s">
        <v>834</v>
      </c>
      <c r="CH187" s="13" t="s">
        <v>834</v>
      </c>
      <c r="CI187" s="13" t="s">
        <v>834</v>
      </c>
      <c r="CJ187" s="13" t="s">
        <v>834</v>
      </c>
      <c r="CK187" s="13" t="s">
        <v>834</v>
      </c>
      <c r="CL187" s="13" t="s">
        <v>834</v>
      </c>
      <c r="CM187" s="13" t="s">
        <v>834</v>
      </c>
      <c r="CN187" s="13" t="s">
        <v>834</v>
      </c>
      <c r="CO187" s="23" t="s">
        <v>830</v>
      </c>
      <c r="CP187" s="23"/>
      <c r="CQ187" s="23" t="s">
        <v>830</v>
      </c>
      <c r="CR187" s="23" t="s">
        <v>830</v>
      </c>
      <c r="CS187" s="13" t="s">
        <v>570</v>
      </c>
      <c r="CT187" s="37"/>
      <c r="CU187" s="37"/>
      <c r="CV187" s="23">
        <v>42717</v>
      </c>
      <c r="CW187" s="30">
        <v>189361.18</v>
      </c>
      <c r="CX187" s="30"/>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31">
        <f t="shared" si="91"/>
        <v>189361.18</v>
      </c>
      <c r="DZ187" s="13"/>
      <c r="EA187" s="13"/>
      <c r="EB187" s="13"/>
      <c r="EC187" s="13"/>
      <c r="ED187" s="13"/>
      <c r="EE187" s="13"/>
      <c r="EF187" s="13"/>
      <c r="EG187" s="13">
        <v>360</v>
      </c>
      <c r="EH187" s="13" t="s">
        <v>588</v>
      </c>
      <c r="EI187" s="23">
        <f>CA187+1</f>
        <v>42711</v>
      </c>
      <c r="EJ187" s="23">
        <f t="shared" si="92"/>
        <v>43071</v>
      </c>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25">
        <v>0.25</v>
      </c>
      <c r="FV187" s="25">
        <v>0.25</v>
      </c>
      <c r="FW187" s="25">
        <v>0.25</v>
      </c>
      <c r="FX187" s="25">
        <v>0.25</v>
      </c>
      <c r="FY187" s="25">
        <v>0.25</v>
      </c>
      <c r="FZ187" s="25">
        <v>0.65</v>
      </c>
      <c r="GA187" s="25">
        <v>0.65</v>
      </c>
      <c r="GB187" s="25">
        <v>0.9</v>
      </c>
      <c r="GC187" s="25">
        <v>0.9</v>
      </c>
      <c r="GD187" s="25">
        <v>0.95</v>
      </c>
      <c r="GE187" s="25">
        <v>0.95</v>
      </c>
      <c r="GF187" s="25">
        <v>0.95</v>
      </c>
      <c r="GG187" s="25">
        <v>0.95</v>
      </c>
      <c r="GH187" s="25">
        <v>0.95</v>
      </c>
      <c r="GI187" s="25">
        <v>1</v>
      </c>
      <c r="GJ187" s="25">
        <v>1</v>
      </c>
      <c r="GK187" s="25">
        <v>1</v>
      </c>
      <c r="GL187" s="25">
        <v>1</v>
      </c>
      <c r="GM187" s="25">
        <v>1</v>
      </c>
      <c r="GN187" s="25">
        <v>1</v>
      </c>
      <c r="GO187" s="25">
        <v>1</v>
      </c>
      <c r="GP187" s="25">
        <v>1</v>
      </c>
      <c r="GQ187" s="25">
        <v>1</v>
      </c>
      <c r="GR187" s="25">
        <v>1</v>
      </c>
      <c r="GS187" s="25">
        <v>1</v>
      </c>
      <c r="GT187" s="25">
        <v>1</v>
      </c>
      <c r="GU187" s="25">
        <v>1</v>
      </c>
      <c r="GV187" s="25" t="s">
        <v>1588</v>
      </c>
      <c r="GW187" s="25" t="s">
        <v>1588</v>
      </c>
      <c r="GX187" s="25" t="s">
        <v>1588</v>
      </c>
      <c r="GY187" s="25" t="s">
        <v>1588</v>
      </c>
      <c r="GZ187" s="25" t="s">
        <v>455</v>
      </c>
      <c r="HA187" s="25" t="s">
        <v>455</v>
      </c>
      <c r="HB187" s="25" t="s">
        <v>455</v>
      </c>
      <c r="HC187" s="25" t="s">
        <v>455</v>
      </c>
      <c r="HD187" s="25" t="s">
        <v>455</v>
      </c>
      <c r="HE187" s="25" t="s">
        <v>455</v>
      </c>
      <c r="HF187" s="25" t="s">
        <v>455</v>
      </c>
      <c r="HG187" s="25" t="s">
        <v>455</v>
      </c>
      <c r="HH187" s="25" t="s">
        <v>455</v>
      </c>
      <c r="HI187" s="25" t="s">
        <v>1644</v>
      </c>
      <c r="HJ187" s="25"/>
      <c r="HK187" s="25"/>
      <c r="HL187" s="25" t="s">
        <v>1696</v>
      </c>
      <c r="HM187" s="84" t="s">
        <v>1749</v>
      </c>
      <c r="HN187" s="84"/>
      <c r="HO187" s="84"/>
      <c r="HP187" s="84"/>
      <c r="HQ187" s="84"/>
      <c r="HR187" s="84"/>
      <c r="HS187" s="84"/>
      <c r="HT187" s="84"/>
      <c r="HU187" s="13"/>
      <c r="HV187" s="13"/>
      <c r="HW187" s="32"/>
      <c r="HX187" s="55"/>
      <c r="HY187" s="55"/>
      <c r="HZ187" s="55"/>
      <c r="IA187" s="55"/>
      <c r="IB187" s="55"/>
      <c r="IC187" s="55"/>
      <c r="ID187" s="55"/>
      <c r="IE187" s="55"/>
      <c r="IF187" s="107">
        <v>401507.55</v>
      </c>
      <c r="IG187" s="107">
        <v>351458.2</v>
      </c>
      <c r="IH187" s="250">
        <f t="shared" si="85"/>
        <v>0</v>
      </c>
      <c r="II187" s="55"/>
      <c r="IJ187" s="55"/>
      <c r="IK187" s="55"/>
      <c r="IL187" s="55"/>
      <c r="IM187" s="55"/>
      <c r="IN187" s="55"/>
      <c r="IO187" s="55"/>
      <c r="IP187" s="55"/>
      <c r="IQ187" s="55"/>
      <c r="IR187" s="55"/>
      <c r="IS187" s="55"/>
      <c r="IT187" s="55"/>
      <c r="IU187" s="55"/>
      <c r="IV187" s="55"/>
      <c r="IW187" s="55"/>
      <c r="IX187" s="55"/>
      <c r="IY187" s="55"/>
      <c r="IZ187" s="55"/>
      <c r="JA187" s="55"/>
      <c r="JB187" s="55"/>
      <c r="JC187" s="55"/>
      <c r="JD187" s="55">
        <v>2018</v>
      </c>
    </row>
    <row r="188" spans="1:265" s="17" customFormat="1" ht="35.25" hidden="1" customHeight="1">
      <c r="A188" s="26" t="s">
        <v>19</v>
      </c>
      <c r="B188" s="26" t="s">
        <v>27</v>
      </c>
      <c r="C188" s="13" t="s">
        <v>349</v>
      </c>
      <c r="D188" s="13" t="s">
        <v>380</v>
      </c>
      <c r="E188" s="13" t="s">
        <v>350</v>
      </c>
      <c r="F188" s="13" t="s">
        <v>350</v>
      </c>
      <c r="G188" s="39" t="s">
        <v>354</v>
      </c>
      <c r="H188" s="39" t="s">
        <v>1580</v>
      </c>
      <c r="I188" s="135" t="s">
        <v>1507</v>
      </c>
      <c r="J188" s="40">
        <v>18</v>
      </c>
      <c r="K188" s="49" t="s">
        <v>375</v>
      </c>
      <c r="L188" s="26" t="s">
        <v>1881</v>
      </c>
      <c r="M188" s="130" t="s">
        <v>1751</v>
      </c>
      <c r="N188" s="130" t="s">
        <v>1753</v>
      </c>
      <c r="O188" s="13" t="s">
        <v>3</v>
      </c>
      <c r="P188" s="13" t="s">
        <v>4</v>
      </c>
      <c r="Q188" s="22" t="s">
        <v>364</v>
      </c>
      <c r="R188" s="22" t="s">
        <v>2078</v>
      </c>
      <c r="S188" s="13" t="s">
        <v>2079</v>
      </c>
      <c r="T188" s="13"/>
      <c r="U188" s="13"/>
      <c r="V188" s="24"/>
      <c r="W188" s="13"/>
      <c r="X188" s="13"/>
      <c r="Y188" s="13"/>
      <c r="Z188" s="13"/>
      <c r="AA188" s="37"/>
      <c r="AB188" s="68">
        <f>283950.71+31525.9</f>
        <v>315476.61000000004</v>
      </c>
      <c r="AC188" s="29">
        <f>183918.6*2</f>
        <v>367837.2</v>
      </c>
      <c r="AD188" s="68">
        <f>283950.71+31525.9</f>
        <v>315476.61000000004</v>
      </c>
      <c r="AE188" s="29">
        <v>83250.16</v>
      </c>
      <c r="AF188" s="29">
        <v>398726.77</v>
      </c>
      <c r="AG188" s="25">
        <v>0.12</v>
      </c>
      <c r="AH188" s="29">
        <f t="shared" si="82"/>
        <v>37857.193200000002</v>
      </c>
      <c r="AI188" s="29">
        <f t="shared" si="93"/>
        <v>9990.0192000000006</v>
      </c>
      <c r="AJ188" s="29">
        <f t="shared" si="83"/>
        <v>446573.98240000004</v>
      </c>
      <c r="AK188" s="29"/>
      <c r="AL188" s="29"/>
      <c r="AM188" s="29"/>
      <c r="AN188" s="37"/>
      <c r="AO188" s="37">
        <v>398726.77</v>
      </c>
      <c r="AP188" s="29">
        <f>183918.6*2</f>
        <v>367837.2</v>
      </c>
      <c r="AQ188" s="37"/>
      <c r="AR188" s="302">
        <v>0.12</v>
      </c>
      <c r="AS188" s="37">
        <f>AP188*0.12</f>
        <v>44140.464</v>
      </c>
      <c r="AT188" s="37">
        <f>ROUND(AS188+AP188,2)</f>
        <v>411977.66</v>
      </c>
      <c r="AU188" s="37"/>
      <c r="AV188" s="37"/>
      <c r="AW188" s="37"/>
      <c r="AX188" s="37"/>
      <c r="AY188" s="37"/>
      <c r="AZ188" s="37"/>
      <c r="BA188" s="37"/>
      <c r="BB188" s="37"/>
      <c r="BC188" s="37"/>
      <c r="BD188" s="37"/>
      <c r="BE188" s="37"/>
      <c r="BF188" s="29"/>
      <c r="BG188" s="29"/>
      <c r="BH188" s="37"/>
      <c r="BI188" s="29" t="s">
        <v>570</v>
      </c>
      <c r="BJ188" s="26" t="s">
        <v>570</v>
      </c>
      <c r="BK188" s="29" t="s">
        <v>570</v>
      </c>
      <c r="BL188" s="29" t="s">
        <v>570</v>
      </c>
      <c r="BM188" s="29" t="s">
        <v>570</v>
      </c>
      <c r="BN188" s="23">
        <v>43657</v>
      </c>
      <c r="BO188" s="23"/>
      <c r="BP188" s="23"/>
      <c r="BQ188" s="23"/>
      <c r="BR188" s="13"/>
      <c r="BS188" s="23"/>
      <c r="BT188" s="23"/>
      <c r="BU188" s="13"/>
      <c r="BV188" s="13"/>
      <c r="BW188" s="224"/>
      <c r="BX188" s="23">
        <v>43789</v>
      </c>
      <c r="BY188" s="13"/>
      <c r="BZ188" s="23"/>
      <c r="CA188" s="23"/>
      <c r="CB188" s="224" t="s">
        <v>570</v>
      </c>
      <c r="CC188" s="224" t="s">
        <v>570</v>
      </c>
      <c r="CD188" s="224" t="s">
        <v>570</v>
      </c>
      <c r="CE188" s="13"/>
      <c r="CF188" s="13"/>
      <c r="CG188" s="13"/>
      <c r="CH188" s="13"/>
      <c r="CI188" s="13"/>
      <c r="CJ188" s="13"/>
      <c r="CK188" s="13"/>
      <c r="CL188" s="13"/>
      <c r="CM188" s="13"/>
      <c r="CN188" s="13"/>
      <c r="CO188" s="23"/>
      <c r="CP188" s="23"/>
      <c r="CQ188" s="23"/>
      <c r="CR188" s="23"/>
      <c r="CS188" s="13"/>
      <c r="CT188" s="37"/>
      <c r="CU188" s="37"/>
      <c r="CV188" s="23">
        <v>43789</v>
      </c>
      <c r="CW188" s="30">
        <v>183918.61</v>
      </c>
      <c r="CX188" s="30"/>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31"/>
      <c r="DZ188" s="13"/>
      <c r="EA188" s="13"/>
      <c r="EB188" s="13"/>
      <c r="EC188" s="13"/>
      <c r="ED188" s="13"/>
      <c r="EE188" s="13"/>
      <c r="EF188" s="13"/>
      <c r="EG188" s="13">
        <v>180</v>
      </c>
      <c r="EH188" s="13" t="s">
        <v>588</v>
      </c>
      <c r="EI188" s="23">
        <v>43789</v>
      </c>
      <c r="EJ188" s="23">
        <f>EI188+EG188</f>
        <v>43969</v>
      </c>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25"/>
      <c r="FV188" s="25"/>
      <c r="FW188" s="25"/>
      <c r="FX188" s="25"/>
      <c r="FY188" s="25"/>
      <c r="FZ188" s="25"/>
      <c r="GA188" s="25">
        <v>0</v>
      </c>
      <c r="GB188" s="25">
        <v>0</v>
      </c>
      <c r="GC188" s="25">
        <v>0</v>
      </c>
      <c r="GD188" s="25">
        <v>0</v>
      </c>
      <c r="GE188" s="25">
        <v>0</v>
      </c>
      <c r="GF188" s="25">
        <v>0</v>
      </c>
      <c r="GG188" s="25">
        <v>0</v>
      </c>
      <c r="GH188" s="25">
        <v>0</v>
      </c>
      <c r="GI188" s="25">
        <v>0</v>
      </c>
      <c r="GJ188" s="25">
        <v>0</v>
      </c>
      <c r="GK188" s="25">
        <v>0</v>
      </c>
      <c r="GL188" s="25">
        <v>0</v>
      </c>
      <c r="GM188" s="25">
        <v>0</v>
      </c>
      <c r="GN188" s="25">
        <v>0</v>
      </c>
      <c r="GO188" s="25">
        <v>0</v>
      </c>
      <c r="GP188" s="25">
        <v>0</v>
      </c>
      <c r="GQ188" s="25">
        <v>0</v>
      </c>
      <c r="GR188" s="25">
        <v>0</v>
      </c>
      <c r="GS188" s="25">
        <v>0</v>
      </c>
      <c r="GT188" s="25">
        <v>9.0899999999999995E-2</v>
      </c>
      <c r="GU188" s="25">
        <v>9.0899999999999995E-2</v>
      </c>
      <c r="GV188" s="25" t="s">
        <v>1588</v>
      </c>
      <c r="GW188" s="25" t="s">
        <v>1588</v>
      </c>
      <c r="GX188" s="25" t="s">
        <v>1588</v>
      </c>
      <c r="GY188" s="25" t="s">
        <v>1588</v>
      </c>
      <c r="GZ188" s="25" t="s">
        <v>1588</v>
      </c>
      <c r="HA188" s="25" t="s">
        <v>1588</v>
      </c>
      <c r="HB188" s="25" t="s">
        <v>1588</v>
      </c>
      <c r="HC188" s="25" t="s">
        <v>1588</v>
      </c>
      <c r="HD188" s="25" t="s">
        <v>1588</v>
      </c>
      <c r="HE188" s="25" t="s">
        <v>1588</v>
      </c>
      <c r="HF188" s="25" t="s">
        <v>1588</v>
      </c>
      <c r="HG188" s="25" t="s">
        <v>1588</v>
      </c>
      <c r="HH188" s="25" t="s">
        <v>1588</v>
      </c>
      <c r="HI188" s="25" t="s">
        <v>1652</v>
      </c>
      <c r="HJ188" s="25"/>
      <c r="HK188" s="25"/>
      <c r="HL188" s="25"/>
      <c r="HM188" s="84"/>
      <c r="HN188" s="84"/>
      <c r="HO188" s="84"/>
      <c r="HP188" s="84"/>
      <c r="HQ188" s="84"/>
      <c r="HR188" s="84"/>
      <c r="HS188" s="84" t="s">
        <v>2069</v>
      </c>
      <c r="HT188" s="84" t="s">
        <v>2069</v>
      </c>
      <c r="HU188" s="13" t="s">
        <v>1760</v>
      </c>
      <c r="HV188" s="13"/>
      <c r="HW188" s="32"/>
      <c r="HX188" s="55"/>
      <c r="HY188" s="55"/>
      <c r="HZ188" s="55"/>
      <c r="IA188" s="55"/>
      <c r="IB188" s="55"/>
      <c r="IC188" s="55"/>
      <c r="ID188" s="55"/>
      <c r="IE188" s="55"/>
      <c r="IF188" s="107">
        <v>0</v>
      </c>
      <c r="IG188" s="107"/>
      <c r="IH188" s="250">
        <f t="shared" si="85"/>
        <v>0</v>
      </c>
      <c r="II188" s="55"/>
      <c r="IJ188" s="55"/>
      <c r="IK188" s="55"/>
      <c r="IL188" s="55"/>
      <c r="IM188" s="55"/>
      <c r="IN188" s="55"/>
      <c r="IO188" s="55"/>
      <c r="IP188" s="55"/>
      <c r="IQ188" s="55"/>
      <c r="IR188" s="55"/>
      <c r="IS188" s="55"/>
      <c r="IT188" s="55"/>
      <c r="IU188" s="55"/>
      <c r="IV188" s="55"/>
      <c r="IW188" s="55"/>
      <c r="IX188" s="55"/>
      <c r="IY188" s="55"/>
      <c r="IZ188" s="55"/>
      <c r="JA188" s="55"/>
      <c r="JB188" s="55"/>
      <c r="JC188" s="55"/>
      <c r="JD188" s="55">
        <v>2020</v>
      </c>
      <c r="JE188" s="17" t="s">
        <v>2009</v>
      </c>
    </row>
    <row r="189" spans="1:265" s="5" customFormat="1" ht="24.95" hidden="1" customHeight="1">
      <c r="A189" s="26" t="s">
        <v>23</v>
      </c>
      <c r="B189" s="26" t="s">
        <v>27</v>
      </c>
      <c r="C189" s="13" t="s">
        <v>349</v>
      </c>
      <c r="D189" s="13" t="s">
        <v>380</v>
      </c>
      <c r="E189" s="16" t="s">
        <v>360</v>
      </c>
      <c r="F189" s="13" t="s">
        <v>360</v>
      </c>
      <c r="G189" s="39" t="s">
        <v>354</v>
      </c>
      <c r="H189" s="13" t="s">
        <v>1518</v>
      </c>
      <c r="I189" s="313" t="s">
        <v>980</v>
      </c>
      <c r="J189" s="48">
        <v>6</v>
      </c>
      <c r="K189" s="49" t="s">
        <v>375</v>
      </c>
      <c r="L189" s="314" t="s">
        <v>166</v>
      </c>
      <c r="M189" s="20" t="s">
        <v>167</v>
      </c>
      <c r="N189" s="20" t="s">
        <v>1916</v>
      </c>
      <c r="O189" s="13" t="s">
        <v>3</v>
      </c>
      <c r="P189" s="13" t="s">
        <v>4</v>
      </c>
      <c r="Q189" s="22" t="s">
        <v>1118</v>
      </c>
      <c r="R189" s="22" t="s">
        <v>662</v>
      </c>
      <c r="S189" s="13" t="s">
        <v>668</v>
      </c>
      <c r="T189" s="13" t="s">
        <v>1387</v>
      </c>
      <c r="U189" s="13" t="s">
        <v>477</v>
      </c>
      <c r="V189" s="24">
        <v>101942399001</v>
      </c>
      <c r="W189" s="13" t="s">
        <v>969</v>
      </c>
      <c r="X189" s="13" t="s">
        <v>969</v>
      </c>
      <c r="Y189" s="13" t="s">
        <v>663</v>
      </c>
      <c r="Z189" s="13" t="s">
        <v>969</v>
      </c>
      <c r="AA189" s="29">
        <f>174630+8683.04</f>
        <v>183313.04</v>
      </c>
      <c r="AB189" s="29">
        <v>298117.8</v>
      </c>
      <c r="AC189" s="29">
        <f>174630+8683.04</f>
        <v>183313.04</v>
      </c>
      <c r="AD189" s="29">
        <f>AA189+AA190+AA191</f>
        <v>298117.8</v>
      </c>
      <c r="AE189" s="29">
        <v>0</v>
      </c>
      <c r="AF189" s="29">
        <f t="shared" si="70"/>
        <v>298117.8</v>
      </c>
      <c r="AG189" s="25">
        <v>0.12</v>
      </c>
      <c r="AH189" s="29">
        <f t="shared" si="82"/>
        <v>35774.135999999999</v>
      </c>
      <c r="AI189" s="29">
        <f t="shared" si="93"/>
        <v>0</v>
      </c>
      <c r="AJ189" s="29">
        <f t="shared" si="83"/>
        <v>333891.93600000005</v>
      </c>
      <c r="AK189" s="29">
        <v>292853.19</v>
      </c>
      <c r="AL189" s="29">
        <f>AB189-AK189</f>
        <v>5264.609999999986</v>
      </c>
      <c r="AM189" s="126"/>
      <c r="AN189" s="29">
        <v>174630</v>
      </c>
      <c r="AO189" s="29">
        <f>AN189+AN190+AN191</f>
        <v>289434.76</v>
      </c>
      <c r="AP189" s="29"/>
      <c r="AQ189" s="29">
        <v>252646.43</v>
      </c>
      <c r="AR189" s="25">
        <v>0.14000000000000001</v>
      </c>
      <c r="AS189" s="25"/>
      <c r="AT189" s="37">
        <f>+AQ189*1.14</f>
        <v>288016.93019999994</v>
      </c>
      <c r="AU189" s="42">
        <v>42661</v>
      </c>
      <c r="AV189" s="85">
        <v>3.4299999999999997E-2</v>
      </c>
      <c r="AW189" s="29">
        <v>8683.0399999999991</v>
      </c>
      <c r="AX189" s="29"/>
      <c r="AY189" s="29"/>
      <c r="AZ189" s="29"/>
      <c r="BA189" s="29"/>
      <c r="BB189" s="29"/>
      <c r="BC189" s="29"/>
      <c r="BD189" s="29"/>
      <c r="BE189" s="29"/>
      <c r="BF189" s="29">
        <f>AB189-AQ189</f>
        <v>45471.369999999995</v>
      </c>
      <c r="BG189" s="29">
        <f t="shared" ref="BG189:BG213" si="94">BF189-AW189-AZ189-BC189-BE189</f>
        <v>36788.329999999994</v>
      </c>
      <c r="BH189" s="37" t="s">
        <v>594</v>
      </c>
      <c r="BI189" s="29" t="s">
        <v>570</v>
      </c>
      <c r="BJ189" s="29" t="s">
        <v>570</v>
      </c>
      <c r="BK189" s="29" t="s">
        <v>570</v>
      </c>
      <c r="BL189" s="29" t="s">
        <v>570</v>
      </c>
      <c r="BM189" s="29" t="s">
        <v>570</v>
      </c>
      <c r="BN189" s="23">
        <v>42285</v>
      </c>
      <c r="BO189" s="23">
        <v>42307</v>
      </c>
      <c r="BP189" s="23">
        <v>42317</v>
      </c>
      <c r="BQ189" s="23">
        <v>42322</v>
      </c>
      <c r="BR189" s="13" t="s">
        <v>570</v>
      </c>
      <c r="BS189" s="23">
        <v>42331</v>
      </c>
      <c r="BT189" s="23">
        <v>42345</v>
      </c>
      <c r="BU189" s="13" t="s">
        <v>570</v>
      </c>
      <c r="BV189" s="13" t="s">
        <v>570</v>
      </c>
      <c r="BW189" s="224" t="s">
        <v>570</v>
      </c>
      <c r="BX189" s="13" t="s">
        <v>503</v>
      </c>
      <c r="BY189" s="13" t="s">
        <v>570</v>
      </c>
      <c r="BZ189" s="23">
        <v>42555</v>
      </c>
      <c r="CA189" s="23">
        <v>42573</v>
      </c>
      <c r="CB189" s="224" t="s">
        <v>570</v>
      </c>
      <c r="CC189" s="224" t="s">
        <v>570</v>
      </c>
      <c r="CD189" s="224" t="s">
        <v>570</v>
      </c>
      <c r="CE189" s="23"/>
      <c r="CF189" s="127" t="s">
        <v>829</v>
      </c>
      <c r="CG189" s="23"/>
      <c r="CH189" s="23"/>
      <c r="CI189" s="23"/>
      <c r="CJ189" s="23"/>
      <c r="CK189" s="23"/>
      <c r="CL189" s="23"/>
      <c r="CM189" s="23"/>
      <c r="CN189" s="23"/>
      <c r="CO189" s="23"/>
      <c r="CP189" s="23"/>
      <c r="CQ189" s="23"/>
      <c r="CR189" s="127" t="s">
        <v>829</v>
      </c>
      <c r="CS189" s="13" t="s">
        <v>570</v>
      </c>
      <c r="CT189" s="29" t="s">
        <v>452</v>
      </c>
      <c r="CU189" s="35">
        <v>0.05</v>
      </c>
      <c r="CV189" s="23">
        <v>42583</v>
      </c>
      <c r="CW189" s="30">
        <f>AQ189*0.5</f>
        <v>126323.215</v>
      </c>
      <c r="CX189" s="171" t="s">
        <v>1002</v>
      </c>
      <c r="CY189" s="23">
        <v>42698</v>
      </c>
      <c r="CZ189" s="37">
        <v>38816.5</v>
      </c>
      <c r="DA189" s="171" t="s">
        <v>1003</v>
      </c>
      <c r="DB189" s="23">
        <v>42726</v>
      </c>
      <c r="DC189" s="37">
        <f>120858.06-60635.15</f>
        <v>60222.909999999996</v>
      </c>
      <c r="DD189" s="171" t="s">
        <v>1276</v>
      </c>
      <c r="DE189" s="23">
        <v>42767</v>
      </c>
      <c r="DF189" s="37">
        <f>41060.72-26871.57</f>
        <v>14189.150000000001</v>
      </c>
      <c r="DG189" s="13"/>
      <c r="DH189" s="13"/>
      <c r="DI189" s="13"/>
      <c r="DJ189" s="13"/>
      <c r="DK189" s="13"/>
      <c r="DL189" s="13"/>
      <c r="DM189" s="13"/>
      <c r="DN189" s="13"/>
      <c r="DO189" s="13"/>
      <c r="DP189" s="13"/>
      <c r="DQ189" s="13"/>
      <c r="DR189" s="13"/>
      <c r="DS189" s="13"/>
      <c r="DT189" s="13"/>
      <c r="DU189" s="13"/>
      <c r="DV189" s="13"/>
      <c r="DW189" s="13"/>
      <c r="DX189" s="13"/>
      <c r="DY189" s="31">
        <f>CW189+CZ189+DC189+DF189+DI189+DL189+DO189+DR189+DU189+DX189</f>
        <v>239551.77499999999</v>
      </c>
      <c r="DZ189" s="13"/>
      <c r="EA189" s="13"/>
      <c r="EB189" s="13"/>
      <c r="EC189" s="13"/>
      <c r="ED189" s="13"/>
      <c r="EE189" s="13"/>
      <c r="EF189" s="13"/>
      <c r="EG189" s="13">
        <v>240</v>
      </c>
      <c r="EH189" s="13" t="s">
        <v>588</v>
      </c>
      <c r="EI189" s="23">
        <f>CV189+1</f>
        <v>42584</v>
      </c>
      <c r="EJ189" s="23">
        <f>EI189+EG189</f>
        <v>42824</v>
      </c>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25">
        <v>0.5</v>
      </c>
      <c r="FV189" s="25">
        <v>1</v>
      </c>
      <c r="FW189" s="25">
        <v>1</v>
      </c>
      <c r="FX189" s="25">
        <v>1</v>
      </c>
      <c r="FY189" s="25">
        <v>1</v>
      </c>
      <c r="FZ189" s="25">
        <v>1</v>
      </c>
      <c r="GA189" s="25">
        <v>1</v>
      </c>
      <c r="GB189" s="25">
        <v>1</v>
      </c>
      <c r="GC189" s="25">
        <v>1</v>
      </c>
      <c r="GD189" s="25">
        <v>1</v>
      </c>
      <c r="GE189" s="25">
        <v>1</v>
      </c>
      <c r="GF189" s="25">
        <v>1</v>
      </c>
      <c r="GG189" s="25">
        <v>1</v>
      </c>
      <c r="GH189" s="25">
        <v>1</v>
      </c>
      <c r="GI189" s="25">
        <v>1</v>
      </c>
      <c r="GJ189" s="25">
        <v>1</v>
      </c>
      <c r="GK189" s="25">
        <v>1</v>
      </c>
      <c r="GL189" s="25">
        <v>1</v>
      </c>
      <c r="GM189" s="25">
        <v>1</v>
      </c>
      <c r="GN189" s="25">
        <v>1</v>
      </c>
      <c r="GO189" s="25">
        <v>1</v>
      </c>
      <c r="GP189" s="25">
        <v>1</v>
      </c>
      <c r="GQ189" s="25">
        <v>1</v>
      </c>
      <c r="GR189" s="25">
        <v>1</v>
      </c>
      <c r="GS189" s="25">
        <v>1</v>
      </c>
      <c r="GT189" s="25">
        <v>1</v>
      </c>
      <c r="GU189" s="25">
        <v>1</v>
      </c>
      <c r="GV189" s="25" t="s">
        <v>455</v>
      </c>
      <c r="GW189" s="25" t="s">
        <v>455</v>
      </c>
      <c r="GX189" s="25" t="s">
        <v>455</v>
      </c>
      <c r="GY189" s="25" t="s">
        <v>455</v>
      </c>
      <c r="GZ189" s="25" t="s">
        <v>455</v>
      </c>
      <c r="HA189" s="25" t="s">
        <v>455</v>
      </c>
      <c r="HB189" s="25" t="s">
        <v>455</v>
      </c>
      <c r="HC189" s="25" t="s">
        <v>455</v>
      </c>
      <c r="HD189" s="25" t="s">
        <v>455</v>
      </c>
      <c r="HE189" s="25" t="s">
        <v>455</v>
      </c>
      <c r="HF189" s="25" t="s">
        <v>455</v>
      </c>
      <c r="HG189" s="25" t="s">
        <v>455</v>
      </c>
      <c r="HH189" s="25" t="s">
        <v>455</v>
      </c>
      <c r="HI189" s="25"/>
      <c r="HJ189" s="25"/>
      <c r="HK189" s="25"/>
      <c r="HL189" s="25"/>
      <c r="HM189" s="84"/>
      <c r="HN189" s="84"/>
      <c r="HO189" s="84"/>
      <c r="HP189" s="84"/>
      <c r="HQ189" s="84"/>
      <c r="HR189" s="84"/>
      <c r="HS189" s="84"/>
      <c r="HT189" s="84"/>
      <c r="HU189" s="13" t="s">
        <v>770</v>
      </c>
      <c r="HV189" s="13"/>
      <c r="HW189" s="32"/>
      <c r="HX189" s="55"/>
      <c r="HY189" s="55"/>
      <c r="HZ189" s="55"/>
      <c r="IA189" s="55"/>
      <c r="IB189" s="55"/>
      <c r="IC189" s="55"/>
      <c r="ID189" s="55"/>
      <c r="IE189" s="55"/>
      <c r="IF189" s="107">
        <v>0</v>
      </c>
      <c r="IG189" s="107"/>
      <c r="IH189" s="250" t="e">
        <f>#REF!-IG189</f>
        <v>#REF!</v>
      </c>
      <c r="II189" s="55"/>
      <c r="IJ189" s="55"/>
      <c r="IK189" s="55"/>
      <c r="IL189" s="55"/>
      <c r="IM189" s="55"/>
      <c r="IN189" s="55"/>
      <c r="IO189" s="55"/>
      <c r="IP189" s="55"/>
      <c r="IQ189" s="55"/>
      <c r="IR189" s="55"/>
      <c r="IS189" s="55"/>
      <c r="IT189" s="55"/>
      <c r="IU189" s="55"/>
      <c r="IV189" s="55"/>
      <c r="IW189" s="55"/>
      <c r="IX189" s="55"/>
      <c r="IY189" s="55"/>
      <c r="IZ189" s="55"/>
      <c r="JA189" s="55"/>
      <c r="JB189" s="55"/>
      <c r="JC189" s="55"/>
      <c r="JD189" s="55">
        <v>2017</v>
      </c>
    </row>
    <row r="190" spans="1:265" s="10" customFormat="1" ht="24.95" hidden="1" customHeight="1">
      <c r="A190" s="26" t="s">
        <v>23</v>
      </c>
      <c r="B190" s="26" t="s">
        <v>27</v>
      </c>
      <c r="C190" s="13" t="s">
        <v>349</v>
      </c>
      <c r="D190" s="13" t="s">
        <v>380</v>
      </c>
      <c r="E190" s="16" t="s">
        <v>360</v>
      </c>
      <c r="F190" s="13" t="s">
        <v>360</v>
      </c>
      <c r="G190" s="39" t="s">
        <v>354</v>
      </c>
      <c r="H190" s="13" t="s">
        <v>1518</v>
      </c>
      <c r="I190" s="313" t="s">
        <v>981</v>
      </c>
      <c r="J190" s="48">
        <v>7</v>
      </c>
      <c r="K190" s="49" t="s">
        <v>375</v>
      </c>
      <c r="L190" s="314" t="s">
        <v>166</v>
      </c>
      <c r="M190" s="20" t="s">
        <v>167</v>
      </c>
      <c r="N190" s="20" t="s">
        <v>1917</v>
      </c>
      <c r="O190" s="13" t="s">
        <v>3</v>
      </c>
      <c r="P190" s="13" t="s">
        <v>4</v>
      </c>
      <c r="Q190" s="22" t="s">
        <v>1118</v>
      </c>
      <c r="R190" s="22" t="s">
        <v>662</v>
      </c>
      <c r="S190" s="13" t="s">
        <v>668</v>
      </c>
      <c r="T190" s="13" t="s">
        <v>1387</v>
      </c>
      <c r="U190" s="13" t="s">
        <v>477</v>
      </c>
      <c r="V190" s="24">
        <v>101942399001</v>
      </c>
      <c r="W190" s="13" t="s">
        <v>969</v>
      </c>
      <c r="X190" s="13" t="s">
        <v>969</v>
      </c>
      <c r="Y190" s="13" t="s">
        <v>663</v>
      </c>
      <c r="Z190" s="13" t="s">
        <v>969</v>
      </c>
      <c r="AA190" s="29">
        <v>66679.009999999995</v>
      </c>
      <c r="AB190" s="29">
        <v>0</v>
      </c>
      <c r="AC190" s="29">
        <v>66679.009999999995</v>
      </c>
      <c r="AD190" s="29"/>
      <c r="AE190" s="29">
        <v>0</v>
      </c>
      <c r="AF190" s="29">
        <f t="shared" si="70"/>
        <v>0</v>
      </c>
      <c r="AG190" s="25">
        <v>0.12</v>
      </c>
      <c r="AH190" s="29">
        <f t="shared" si="82"/>
        <v>0</v>
      </c>
      <c r="AI190" s="29">
        <f t="shared" si="93"/>
        <v>0</v>
      </c>
      <c r="AJ190" s="29">
        <f t="shared" si="83"/>
        <v>0</v>
      </c>
      <c r="AK190" s="29"/>
      <c r="AL190" s="29"/>
      <c r="AM190" s="29"/>
      <c r="AN190" s="29">
        <v>66679.009999999995</v>
      </c>
      <c r="AO190" s="29"/>
      <c r="AP190" s="29"/>
      <c r="AQ190" s="29"/>
      <c r="AR190" s="25"/>
      <c r="AS190" s="25"/>
      <c r="AT190" s="37">
        <f>+AQ190*1.14</f>
        <v>0</v>
      </c>
      <c r="AU190" s="29"/>
      <c r="AV190" s="29"/>
      <c r="AW190" s="29"/>
      <c r="AX190" s="29"/>
      <c r="AY190" s="29"/>
      <c r="AZ190" s="29"/>
      <c r="BA190" s="29"/>
      <c r="BB190" s="29"/>
      <c r="BC190" s="29"/>
      <c r="BD190" s="29"/>
      <c r="BE190" s="29"/>
      <c r="BF190" s="29">
        <f>AB190-AQ190</f>
        <v>0</v>
      </c>
      <c r="BG190" s="29">
        <f t="shared" si="94"/>
        <v>0</v>
      </c>
      <c r="BH190" s="37" t="s">
        <v>594</v>
      </c>
      <c r="BI190" s="29" t="s">
        <v>570</v>
      </c>
      <c r="BJ190" s="29" t="s">
        <v>570</v>
      </c>
      <c r="BK190" s="29" t="s">
        <v>570</v>
      </c>
      <c r="BL190" s="29" t="s">
        <v>570</v>
      </c>
      <c r="BM190" s="29" t="s">
        <v>570</v>
      </c>
      <c r="BN190" s="23">
        <v>42285</v>
      </c>
      <c r="BO190" s="23">
        <v>42307</v>
      </c>
      <c r="BP190" s="23">
        <v>42317</v>
      </c>
      <c r="BQ190" s="23">
        <v>42322</v>
      </c>
      <c r="BR190" s="13" t="s">
        <v>570</v>
      </c>
      <c r="BS190" s="23">
        <v>42331</v>
      </c>
      <c r="BT190" s="23">
        <v>42345</v>
      </c>
      <c r="BU190" s="13" t="s">
        <v>570</v>
      </c>
      <c r="BV190" s="13" t="s">
        <v>570</v>
      </c>
      <c r="BW190" s="224" t="s">
        <v>570</v>
      </c>
      <c r="BX190" s="13" t="s">
        <v>503</v>
      </c>
      <c r="BY190" s="13" t="s">
        <v>570</v>
      </c>
      <c r="BZ190" s="23">
        <v>42555</v>
      </c>
      <c r="CA190" s="23">
        <v>42573</v>
      </c>
      <c r="CB190" s="224" t="s">
        <v>570</v>
      </c>
      <c r="CC190" s="224" t="s">
        <v>570</v>
      </c>
      <c r="CD190" s="224" t="s">
        <v>570</v>
      </c>
      <c r="CE190" s="23"/>
      <c r="CF190" s="127" t="s">
        <v>829</v>
      </c>
      <c r="CG190" s="23"/>
      <c r="CH190" s="23"/>
      <c r="CI190" s="23"/>
      <c r="CJ190" s="23"/>
      <c r="CK190" s="23"/>
      <c r="CL190" s="23"/>
      <c r="CM190" s="23"/>
      <c r="CN190" s="23"/>
      <c r="CO190" s="23"/>
      <c r="CP190" s="23"/>
      <c r="CQ190" s="23"/>
      <c r="CR190" s="127" t="s">
        <v>829</v>
      </c>
      <c r="CS190" s="13" t="s">
        <v>570</v>
      </c>
      <c r="CT190" s="29" t="s">
        <v>452</v>
      </c>
      <c r="CU190" s="35">
        <v>0.05</v>
      </c>
      <c r="CV190" s="23">
        <v>42583</v>
      </c>
      <c r="CW190" s="30">
        <f>AQ190*0.5</f>
        <v>0</v>
      </c>
      <c r="CX190" s="30"/>
      <c r="CY190" s="23">
        <v>42698</v>
      </c>
      <c r="CZ190" s="37">
        <v>38816.5</v>
      </c>
      <c r="DA190" s="37"/>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31"/>
      <c r="DZ190" s="13"/>
      <c r="EA190" s="13"/>
      <c r="EB190" s="13"/>
      <c r="EC190" s="13"/>
      <c r="ED190" s="13"/>
      <c r="EE190" s="13"/>
      <c r="EF190" s="13"/>
      <c r="EG190" s="13">
        <v>240</v>
      </c>
      <c r="EH190" s="13" t="s">
        <v>588</v>
      </c>
      <c r="EI190" s="23">
        <f>CV190+1</f>
        <v>42584</v>
      </c>
      <c r="EJ190" s="23">
        <f>EI190+EG190</f>
        <v>42824</v>
      </c>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25">
        <v>0.5</v>
      </c>
      <c r="FV190" s="25">
        <v>1</v>
      </c>
      <c r="FW190" s="25">
        <v>1</v>
      </c>
      <c r="FX190" s="25">
        <v>1</v>
      </c>
      <c r="FY190" s="25">
        <v>1</v>
      </c>
      <c r="FZ190" s="25">
        <v>1</v>
      </c>
      <c r="GA190" s="25">
        <v>1</v>
      </c>
      <c r="GB190" s="25">
        <v>1</v>
      </c>
      <c r="GC190" s="25">
        <v>1</v>
      </c>
      <c r="GD190" s="25">
        <v>1</v>
      </c>
      <c r="GE190" s="25">
        <v>1</v>
      </c>
      <c r="GF190" s="25">
        <v>1</v>
      </c>
      <c r="GG190" s="25">
        <v>1</v>
      </c>
      <c r="GH190" s="25">
        <v>1</v>
      </c>
      <c r="GI190" s="25">
        <v>1</v>
      </c>
      <c r="GJ190" s="25">
        <v>1</v>
      </c>
      <c r="GK190" s="25">
        <v>1</v>
      </c>
      <c r="GL190" s="25">
        <v>1</v>
      </c>
      <c r="GM190" s="25">
        <v>1</v>
      </c>
      <c r="GN190" s="25">
        <v>1</v>
      </c>
      <c r="GO190" s="25">
        <v>1</v>
      </c>
      <c r="GP190" s="25">
        <v>1</v>
      </c>
      <c r="GQ190" s="25">
        <v>1</v>
      </c>
      <c r="GR190" s="25">
        <v>1</v>
      </c>
      <c r="GS190" s="25">
        <v>1</v>
      </c>
      <c r="GT190" s="25">
        <v>1</v>
      </c>
      <c r="GU190" s="25">
        <v>1</v>
      </c>
      <c r="GV190" s="25" t="s">
        <v>455</v>
      </c>
      <c r="GW190" s="25" t="s">
        <v>455</v>
      </c>
      <c r="GX190" s="25" t="s">
        <v>455</v>
      </c>
      <c r="GY190" s="25" t="s">
        <v>455</v>
      </c>
      <c r="GZ190" s="25" t="s">
        <v>455</v>
      </c>
      <c r="HA190" s="25" t="s">
        <v>455</v>
      </c>
      <c r="HB190" s="25" t="s">
        <v>455</v>
      </c>
      <c r="HC190" s="25" t="s">
        <v>455</v>
      </c>
      <c r="HD190" s="25" t="s">
        <v>455</v>
      </c>
      <c r="HE190" s="25" t="s">
        <v>455</v>
      </c>
      <c r="HF190" s="25" t="s">
        <v>455</v>
      </c>
      <c r="HG190" s="25" t="s">
        <v>455</v>
      </c>
      <c r="HH190" s="25" t="s">
        <v>455</v>
      </c>
      <c r="HI190" s="25"/>
      <c r="HJ190" s="25"/>
      <c r="HK190" s="25"/>
      <c r="HL190" s="25"/>
      <c r="HM190" s="84"/>
      <c r="HN190" s="84"/>
      <c r="HO190" s="84"/>
      <c r="HP190" s="84"/>
      <c r="HQ190" s="84"/>
      <c r="HR190" s="84"/>
      <c r="HS190" s="84"/>
      <c r="HT190" s="84"/>
      <c r="HU190" s="13" t="s">
        <v>770</v>
      </c>
      <c r="HV190" s="13"/>
      <c r="HW190" s="32"/>
      <c r="HX190" s="55"/>
      <c r="HY190" s="55"/>
      <c r="HZ190" s="55"/>
      <c r="IA190" s="251"/>
      <c r="IB190" s="251"/>
      <c r="IC190" s="251"/>
      <c r="ID190" s="251"/>
      <c r="IE190" s="251"/>
      <c r="IF190" s="107">
        <v>0</v>
      </c>
      <c r="IG190" s="107"/>
      <c r="IH190" s="250">
        <f t="shared" ref="IH190:IH213" si="95">AK190-IG190</f>
        <v>0</v>
      </c>
      <c r="II190" s="251"/>
      <c r="IJ190" s="251"/>
      <c r="IK190" s="251"/>
      <c r="IL190" s="251"/>
      <c r="IM190" s="251"/>
      <c r="IN190" s="251"/>
      <c r="IO190" s="251"/>
      <c r="IP190" s="251"/>
      <c r="IQ190" s="251"/>
      <c r="IR190" s="251"/>
      <c r="IS190" s="251"/>
      <c r="IT190" s="251"/>
      <c r="IU190" s="251"/>
      <c r="IV190" s="251"/>
      <c r="IW190" s="251"/>
      <c r="IX190" s="251"/>
      <c r="IY190" s="251"/>
      <c r="IZ190" s="251"/>
      <c r="JA190" s="251"/>
      <c r="JB190" s="251"/>
      <c r="JC190" s="251"/>
      <c r="JD190" s="251">
        <v>2017</v>
      </c>
    </row>
    <row r="191" spans="1:265" s="10" customFormat="1" ht="24.95" hidden="1" customHeight="1">
      <c r="A191" s="26" t="s">
        <v>23</v>
      </c>
      <c r="B191" s="26" t="s">
        <v>27</v>
      </c>
      <c r="C191" s="13" t="s">
        <v>349</v>
      </c>
      <c r="D191" s="13" t="s">
        <v>380</v>
      </c>
      <c r="E191" s="16" t="s">
        <v>360</v>
      </c>
      <c r="F191" s="13" t="s">
        <v>360</v>
      </c>
      <c r="G191" s="39" t="s">
        <v>354</v>
      </c>
      <c r="H191" s="13" t="s">
        <v>1518</v>
      </c>
      <c r="I191" s="313" t="s">
        <v>771</v>
      </c>
      <c r="J191" s="48">
        <v>8</v>
      </c>
      <c r="K191" s="49" t="s">
        <v>375</v>
      </c>
      <c r="L191" s="314" t="s">
        <v>166</v>
      </c>
      <c r="M191" s="20" t="s">
        <v>167</v>
      </c>
      <c r="N191" s="20" t="s">
        <v>1918</v>
      </c>
      <c r="O191" s="13" t="s">
        <v>3</v>
      </c>
      <c r="P191" s="13" t="s">
        <v>4</v>
      </c>
      <c r="Q191" s="22" t="s">
        <v>1118</v>
      </c>
      <c r="R191" s="22" t="s">
        <v>662</v>
      </c>
      <c r="S191" s="13" t="s">
        <v>668</v>
      </c>
      <c r="T191" s="13" t="s">
        <v>1387</v>
      </c>
      <c r="U191" s="13" t="s">
        <v>477</v>
      </c>
      <c r="V191" s="24">
        <v>101942399001</v>
      </c>
      <c r="W191" s="13" t="s">
        <v>969</v>
      </c>
      <c r="X191" s="13" t="s">
        <v>969</v>
      </c>
      <c r="Y191" s="13" t="s">
        <v>663</v>
      </c>
      <c r="Z191" s="13"/>
      <c r="AA191" s="29">
        <v>48125.75</v>
      </c>
      <c r="AB191" s="29">
        <v>0</v>
      </c>
      <c r="AC191" s="29">
        <v>48125.75</v>
      </c>
      <c r="AD191" s="29"/>
      <c r="AE191" s="29">
        <v>0</v>
      </c>
      <c r="AF191" s="29">
        <f t="shared" si="70"/>
        <v>0</v>
      </c>
      <c r="AG191" s="25">
        <v>0.12</v>
      </c>
      <c r="AH191" s="29">
        <f t="shared" si="82"/>
        <v>0</v>
      </c>
      <c r="AI191" s="29">
        <f t="shared" si="93"/>
        <v>0</v>
      </c>
      <c r="AJ191" s="29">
        <f t="shared" si="83"/>
        <v>0</v>
      </c>
      <c r="AK191" s="29"/>
      <c r="AL191" s="29"/>
      <c r="AM191" s="29"/>
      <c r="AN191" s="29">
        <v>48125.75</v>
      </c>
      <c r="AO191" s="29"/>
      <c r="AP191" s="29"/>
      <c r="AQ191" s="29"/>
      <c r="AR191" s="25"/>
      <c r="AS191" s="25"/>
      <c r="AT191" s="37">
        <f>+AQ191*1.14</f>
        <v>0</v>
      </c>
      <c r="AU191" s="29"/>
      <c r="AV191" s="29"/>
      <c r="AW191" s="29"/>
      <c r="AX191" s="29"/>
      <c r="AY191" s="29"/>
      <c r="AZ191" s="29"/>
      <c r="BA191" s="29"/>
      <c r="BB191" s="29"/>
      <c r="BC191" s="29"/>
      <c r="BD191" s="29"/>
      <c r="BE191" s="29"/>
      <c r="BF191" s="29">
        <f>AB191-AQ191</f>
        <v>0</v>
      </c>
      <c r="BG191" s="29">
        <f t="shared" si="94"/>
        <v>0</v>
      </c>
      <c r="BH191" s="37" t="s">
        <v>594</v>
      </c>
      <c r="BI191" s="29" t="s">
        <v>570</v>
      </c>
      <c r="BJ191" s="29" t="s">
        <v>570</v>
      </c>
      <c r="BK191" s="29" t="s">
        <v>570</v>
      </c>
      <c r="BL191" s="29" t="s">
        <v>570</v>
      </c>
      <c r="BM191" s="29" t="s">
        <v>570</v>
      </c>
      <c r="BN191" s="23">
        <v>42285</v>
      </c>
      <c r="BO191" s="23">
        <v>42307</v>
      </c>
      <c r="BP191" s="23">
        <v>42317</v>
      </c>
      <c r="BQ191" s="23">
        <v>42322</v>
      </c>
      <c r="BR191" s="13" t="s">
        <v>570</v>
      </c>
      <c r="BS191" s="23">
        <v>42331</v>
      </c>
      <c r="BT191" s="23">
        <v>42345</v>
      </c>
      <c r="BU191" s="13" t="s">
        <v>570</v>
      </c>
      <c r="BV191" s="13" t="s">
        <v>570</v>
      </c>
      <c r="BW191" s="224" t="s">
        <v>570</v>
      </c>
      <c r="BX191" s="13" t="s">
        <v>503</v>
      </c>
      <c r="BY191" s="13" t="s">
        <v>570</v>
      </c>
      <c r="BZ191" s="23">
        <v>42555</v>
      </c>
      <c r="CA191" s="23">
        <v>42573</v>
      </c>
      <c r="CB191" s="224" t="s">
        <v>570</v>
      </c>
      <c r="CC191" s="224" t="s">
        <v>570</v>
      </c>
      <c r="CD191" s="224" t="s">
        <v>570</v>
      </c>
      <c r="CE191" s="23"/>
      <c r="CF191" s="127" t="s">
        <v>829</v>
      </c>
      <c r="CG191" s="23"/>
      <c r="CH191" s="23"/>
      <c r="CI191" s="23"/>
      <c r="CJ191" s="23"/>
      <c r="CK191" s="23"/>
      <c r="CL191" s="23"/>
      <c r="CM191" s="23"/>
      <c r="CN191" s="23"/>
      <c r="CO191" s="23"/>
      <c r="CP191" s="23"/>
      <c r="CQ191" s="23"/>
      <c r="CR191" s="127" t="s">
        <v>829</v>
      </c>
      <c r="CS191" s="13" t="s">
        <v>570</v>
      </c>
      <c r="CT191" s="29" t="s">
        <v>452</v>
      </c>
      <c r="CU191" s="35">
        <v>0.05</v>
      </c>
      <c r="CV191" s="23">
        <v>42583</v>
      </c>
      <c r="CW191" s="30">
        <f>AQ191*0.5</f>
        <v>0</v>
      </c>
      <c r="CX191" s="30"/>
      <c r="CY191" s="23">
        <v>42698</v>
      </c>
      <c r="CZ191" s="37">
        <v>38816.5</v>
      </c>
      <c r="DA191" s="37"/>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31"/>
      <c r="DZ191" s="13"/>
      <c r="EA191" s="13"/>
      <c r="EB191" s="13"/>
      <c r="EC191" s="13"/>
      <c r="ED191" s="13"/>
      <c r="EE191" s="13"/>
      <c r="EF191" s="13"/>
      <c r="EG191" s="13">
        <v>240</v>
      </c>
      <c r="EH191" s="13" t="s">
        <v>588</v>
      </c>
      <c r="EI191" s="23">
        <f>CV191+1</f>
        <v>42584</v>
      </c>
      <c r="EJ191" s="23">
        <f>EI191+EG191</f>
        <v>42824</v>
      </c>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25">
        <v>0.5</v>
      </c>
      <c r="FV191" s="25">
        <v>1</v>
      </c>
      <c r="FW191" s="25">
        <v>1</v>
      </c>
      <c r="FX191" s="25">
        <v>1</v>
      </c>
      <c r="FY191" s="25">
        <v>1</v>
      </c>
      <c r="FZ191" s="25">
        <v>1</v>
      </c>
      <c r="GA191" s="25">
        <v>1</v>
      </c>
      <c r="GB191" s="25">
        <v>1</v>
      </c>
      <c r="GC191" s="25">
        <v>1</v>
      </c>
      <c r="GD191" s="25">
        <v>1</v>
      </c>
      <c r="GE191" s="25">
        <v>1</v>
      </c>
      <c r="GF191" s="25">
        <v>1</v>
      </c>
      <c r="GG191" s="25">
        <v>1</v>
      </c>
      <c r="GH191" s="25">
        <v>1</v>
      </c>
      <c r="GI191" s="25">
        <v>1</v>
      </c>
      <c r="GJ191" s="25">
        <v>1</v>
      </c>
      <c r="GK191" s="25">
        <v>1</v>
      </c>
      <c r="GL191" s="25">
        <v>1</v>
      </c>
      <c r="GM191" s="25">
        <v>1</v>
      </c>
      <c r="GN191" s="25">
        <v>1</v>
      </c>
      <c r="GO191" s="25">
        <v>1</v>
      </c>
      <c r="GP191" s="25">
        <v>1</v>
      </c>
      <c r="GQ191" s="25">
        <v>1</v>
      </c>
      <c r="GR191" s="25">
        <v>1</v>
      </c>
      <c r="GS191" s="25">
        <v>1</v>
      </c>
      <c r="GT191" s="25">
        <v>1</v>
      </c>
      <c r="GU191" s="25">
        <v>1</v>
      </c>
      <c r="GV191" s="25" t="s">
        <v>455</v>
      </c>
      <c r="GW191" s="25" t="s">
        <v>455</v>
      </c>
      <c r="GX191" s="25" t="s">
        <v>455</v>
      </c>
      <c r="GY191" s="25" t="s">
        <v>455</v>
      </c>
      <c r="GZ191" s="25" t="s">
        <v>455</v>
      </c>
      <c r="HA191" s="25" t="s">
        <v>455</v>
      </c>
      <c r="HB191" s="25" t="s">
        <v>455</v>
      </c>
      <c r="HC191" s="25" t="s">
        <v>455</v>
      </c>
      <c r="HD191" s="25" t="s">
        <v>455</v>
      </c>
      <c r="HE191" s="25" t="s">
        <v>455</v>
      </c>
      <c r="HF191" s="25" t="s">
        <v>455</v>
      </c>
      <c r="HG191" s="25" t="s">
        <v>455</v>
      </c>
      <c r="HH191" s="25" t="s">
        <v>455</v>
      </c>
      <c r="HI191" s="25"/>
      <c r="HJ191" s="25"/>
      <c r="HK191" s="25"/>
      <c r="HL191" s="25"/>
      <c r="HM191" s="84"/>
      <c r="HN191" s="84"/>
      <c r="HO191" s="84"/>
      <c r="HP191" s="84"/>
      <c r="HQ191" s="84"/>
      <c r="HR191" s="84"/>
      <c r="HS191" s="84"/>
      <c r="HT191" s="84"/>
      <c r="HU191" s="13" t="s">
        <v>770</v>
      </c>
      <c r="HV191" s="13"/>
      <c r="HW191" s="32"/>
      <c r="HX191" s="55"/>
      <c r="HY191" s="55"/>
      <c r="HZ191" s="55"/>
      <c r="IA191" s="251"/>
      <c r="IB191" s="251"/>
      <c r="IC191" s="251"/>
      <c r="ID191" s="251"/>
      <c r="IE191" s="251"/>
      <c r="IF191" s="107">
        <v>0</v>
      </c>
      <c r="IG191" s="107"/>
      <c r="IH191" s="250">
        <f t="shared" si="95"/>
        <v>0</v>
      </c>
      <c r="II191" s="251"/>
      <c r="IJ191" s="251"/>
      <c r="IK191" s="251"/>
      <c r="IL191" s="251"/>
      <c r="IM191" s="251"/>
      <c r="IN191" s="251"/>
      <c r="IO191" s="251"/>
      <c r="IP191" s="251"/>
      <c r="IQ191" s="251"/>
      <c r="IR191" s="251"/>
      <c r="IS191" s="251"/>
      <c r="IT191" s="251"/>
      <c r="IU191" s="251"/>
      <c r="IV191" s="251"/>
      <c r="IW191" s="251"/>
      <c r="IX191" s="251"/>
      <c r="IY191" s="251"/>
      <c r="IZ191" s="251"/>
      <c r="JA191" s="251"/>
      <c r="JB191" s="251"/>
      <c r="JC191" s="251"/>
      <c r="JD191" s="251">
        <v>2017</v>
      </c>
    </row>
    <row r="192" spans="1:265" s="5" customFormat="1" ht="31.5" hidden="1" customHeight="1">
      <c r="A192" s="172" t="s">
        <v>23</v>
      </c>
      <c r="B192" s="26" t="s">
        <v>203</v>
      </c>
      <c r="C192" s="13" t="s">
        <v>349</v>
      </c>
      <c r="D192" s="13" t="s">
        <v>380</v>
      </c>
      <c r="E192" s="16" t="s">
        <v>360</v>
      </c>
      <c r="F192" s="13" t="s">
        <v>356</v>
      </c>
      <c r="G192" s="39" t="s">
        <v>354</v>
      </c>
      <c r="H192" s="13" t="s">
        <v>1518</v>
      </c>
      <c r="I192" s="313" t="s">
        <v>980</v>
      </c>
      <c r="J192" s="48">
        <v>6</v>
      </c>
      <c r="K192" s="49" t="s">
        <v>375</v>
      </c>
      <c r="L192" s="314" t="s">
        <v>763</v>
      </c>
      <c r="M192" s="14" t="s">
        <v>1802</v>
      </c>
      <c r="N192" s="20"/>
      <c r="O192" s="13"/>
      <c r="P192" s="13" t="s">
        <v>4</v>
      </c>
      <c r="Q192" s="22" t="s">
        <v>794</v>
      </c>
      <c r="R192" s="22"/>
      <c r="S192" s="13"/>
      <c r="T192" s="13"/>
      <c r="U192" s="13"/>
      <c r="V192" s="13"/>
      <c r="W192" s="13" t="s">
        <v>570</v>
      </c>
      <c r="X192" s="13" t="s">
        <v>570</v>
      </c>
      <c r="Y192" s="13"/>
      <c r="Z192" s="13"/>
      <c r="AA192" s="29"/>
      <c r="AB192" s="29">
        <v>0</v>
      </c>
      <c r="AC192" s="29">
        <v>0</v>
      </c>
      <c r="AD192" s="29"/>
      <c r="AE192" s="29">
        <v>0</v>
      </c>
      <c r="AF192" s="29">
        <f t="shared" si="70"/>
        <v>0</v>
      </c>
      <c r="AG192" s="25">
        <v>0.12</v>
      </c>
      <c r="AH192" s="29">
        <f t="shared" si="82"/>
        <v>0</v>
      </c>
      <c r="AI192" s="29">
        <f t="shared" si="93"/>
        <v>0</v>
      </c>
      <c r="AJ192" s="29">
        <f t="shared" si="83"/>
        <v>0</v>
      </c>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f t="shared" si="94"/>
        <v>0</v>
      </c>
      <c r="BH192" s="29"/>
      <c r="BI192" s="29"/>
      <c r="BJ192" s="29" t="s">
        <v>570</v>
      </c>
      <c r="BK192" s="29"/>
      <c r="BL192" s="29"/>
      <c r="BM192" s="29"/>
      <c r="BN192" s="13"/>
      <c r="BO192" s="13"/>
      <c r="BP192" s="13"/>
      <c r="BQ192" s="13"/>
      <c r="BR192" s="13"/>
      <c r="BS192" s="13"/>
      <c r="BT192" s="13"/>
      <c r="BU192" s="13"/>
      <c r="BV192" s="13"/>
      <c r="BW192" s="13"/>
      <c r="BX192" s="13"/>
      <c r="BY192" s="13"/>
      <c r="BZ192" s="13"/>
      <c r="CA192" s="13"/>
      <c r="CB192" s="224" t="s">
        <v>570</v>
      </c>
      <c r="CC192" s="224" t="s">
        <v>570</v>
      </c>
      <c r="CD192" s="224" t="s">
        <v>570</v>
      </c>
      <c r="CE192" s="13"/>
      <c r="CF192" s="13"/>
      <c r="CG192" s="13"/>
      <c r="CH192" s="13"/>
      <c r="CI192" s="13"/>
      <c r="CJ192" s="13"/>
      <c r="CK192" s="13"/>
      <c r="CL192" s="13"/>
      <c r="CM192" s="13"/>
      <c r="CN192" s="13"/>
      <c r="CO192" s="13"/>
      <c r="CP192" s="13"/>
      <c r="CQ192" s="13"/>
      <c r="CR192" s="13"/>
      <c r="CS192" s="29" t="s">
        <v>570</v>
      </c>
      <c r="CT192" s="29" t="s">
        <v>570</v>
      </c>
      <c r="CU192" s="29" t="s">
        <v>570</v>
      </c>
      <c r="CV192" s="23"/>
      <c r="CW192" s="30"/>
      <c r="CX192" s="30"/>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31">
        <f t="shared" ref="DY192:DY223" si="96">CW192+CZ192+DC192+DF192+DI192+DL192+DO192+DR192+DU192+DX192</f>
        <v>0</v>
      </c>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25">
        <v>0.5</v>
      </c>
      <c r="FV192" s="25">
        <v>0.5</v>
      </c>
      <c r="FW192" s="25">
        <v>0.5</v>
      </c>
      <c r="FX192" s="25">
        <v>0.5</v>
      </c>
      <c r="FY192" s="25">
        <v>1</v>
      </c>
      <c r="FZ192" s="25">
        <v>1</v>
      </c>
      <c r="GA192" s="25">
        <v>1</v>
      </c>
      <c r="GB192" s="25">
        <v>1</v>
      </c>
      <c r="GC192" s="25">
        <v>1</v>
      </c>
      <c r="GD192" s="25">
        <v>1</v>
      </c>
      <c r="GE192" s="25">
        <v>1</v>
      </c>
      <c r="GF192" s="25">
        <v>1</v>
      </c>
      <c r="GG192" s="25">
        <v>1</v>
      </c>
      <c r="GH192" s="25">
        <v>1</v>
      </c>
      <c r="GI192" s="25">
        <v>1</v>
      </c>
      <c r="GJ192" s="25">
        <v>1</v>
      </c>
      <c r="GK192" s="25">
        <v>1</v>
      </c>
      <c r="GL192" s="25">
        <v>1</v>
      </c>
      <c r="GM192" s="25">
        <v>1</v>
      </c>
      <c r="GN192" s="25">
        <v>1</v>
      </c>
      <c r="GO192" s="25">
        <v>1</v>
      </c>
      <c r="GP192" s="25">
        <v>1</v>
      </c>
      <c r="GQ192" s="25">
        <v>1</v>
      </c>
      <c r="GR192" s="25">
        <v>1</v>
      </c>
      <c r="GS192" s="25">
        <v>1</v>
      </c>
      <c r="GT192" s="25">
        <v>1</v>
      </c>
      <c r="GU192" s="25">
        <v>1</v>
      </c>
      <c r="GV192" s="25" t="s">
        <v>1588</v>
      </c>
      <c r="GW192" s="25" t="s">
        <v>1588</v>
      </c>
      <c r="GX192" s="25" t="s">
        <v>1588</v>
      </c>
      <c r="GY192" s="25" t="s">
        <v>1588</v>
      </c>
      <c r="GZ192" s="25" t="s">
        <v>1588</v>
      </c>
      <c r="HA192" s="25" t="s">
        <v>1588</v>
      </c>
      <c r="HB192" s="25" t="s">
        <v>1588</v>
      </c>
      <c r="HC192" s="25" t="s">
        <v>1588</v>
      </c>
      <c r="HD192" s="25" t="s">
        <v>1588</v>
      </c>
      <c r="HE192" s="25" t="s">
        <v>1588</v>
      </c>
      <c r="HF192" s="25" t="s">
        <v>1588</v>
      </c>
      <c r="HG192" s="25" t="s">
        <v>1588</v>
      </c>
      <c r="HH192" s="25" t="s">
        <v>1588</v>
      </c>
      <c r="HI192" s="25"/>
      <c r="HJ192" s="25"/>
      <c r="HK192" s="25"/>
      <c r="HL192" s="25"/>
      <c r="HM192" s="84"/>
      <c r="HN192" s="84"/>
      <c r="HO192" s="84"/>
      <c r="HP192" s="84"/>
      <c r="HQ192" s="84"/>
      <c r="HR192" s="84"/>
      <c r="HS192" s="84"/>
      <c r="HT192" s="84"/>
      <c r="HU192" s="13" t="s">
        <v>770</v>
      </c>
      <c r="HV192" s="13"/>
      <c r="HW192" s="32"/>
      <c r="HX192" s="55"/>
      <c r="HY192" s="55"/>
      <c r="HZ192" s="55"/>
      <c r="IA192" s="55"/>
      <c r="IB192" s="55"/>
      <c r="IC192" s="55"/>
      <c r="ID192" s="55"/>
      <c r="IE192" s="55"/>
      <c r="IF192" s="107">
        <v>0</v>
      </c>
      <c r="IG192" s="107"/>
      <c r="IH192" s="250">
        <f t="shared" si="95"/>
        <v>0</v>
      </c>
      <c r="II192" s="55"/>
      <c r="IJ192" s="55"/>
      <c r="IK192" s="55"/>
      <c r="IL192" s="55"/>
      <c r="IM192" s="55"/>
      <c r="IN192" s="55"/>
      <c r="IO192" s="55"/>
      <c r="IP192" s="55"/>
      <c r="IQ192" s="55"/>
      <c r="IR192" s="55"/>
      <c r="IS192" s="55"/>
      <c r="IT192" s="55"/>
      <c r="IU192" s="55"/>
      <c r="IV192" s="55"/>
      <c r="IW192" s="55"/>
      <c r="IX192" s="55"/>
      <c r="IY192" s="55"/>
      <c r="IZ192" s="55"/>
      <c r="JA192" s="55"/>
      <c r="JB192" s="55"/>
      <c r="JC192" s="55"/>
      <c r="JD192" s="55">
        <v>2017</v>
      </c>
    </row>
    <row r="193" spans="1:264" s="10" customFormat="1" ht="20.100000000000001" hidden="1" customHeight="1">
      <c r="A193" s="26" t="s">
        <v>23</v>
      </c>
      <c r="B193" s="26" t="s">
        <v>203</v>
      </c>
      <c r="C193" s="13" t="s">
        <v>349</v>
      </c>
      <c r="D193" s="13" t="s">
        <v>380</v>
      </c>
      <c r="E193" s="16" t="s">
        <v>360</v>
      </c>
      <c r="F193" s="13" t="s">
        <v>356</v>
      </c>
      <c r="G193" s="39" t="s">
        <v>354</v>
      </c>
      <c r="H193" s="13" t="s">
        <v>1518</v>
      </c>
      <c r="I193" s="313" t="s">
        <v>981</v>
      </c>
      <c r="J193" s="48">
        <v>7</v>
      </c>
      <c r="K193" s="49" t="s">
        <v>375</v>
      </c>
      <c r="L193" s="314" t="s">
        <v>763</v>
      </c>
      <c r="M193" s="14" t="s">
        <v>1803</v>
      </c>
      <c r="N193" s="20"/>
      <c r="O193" s="13"/>
      <c r="P193" s="13" t="s">
        <v>4</v>
      </c>
      <c r="Q193" s="22" t="s">
        <v>794</v>
      </c>
      <c r="R193" s="22"/>
      <c r="S193" s="13"/>
      <c r="T193" s="13"/>
      <c r="U193" s="13"/>
      <c r="V193" s="13"/>
      <c r="W193" s="13" t="s">
        <v>570</v>
      </c>
      <c r="X193" s="13" t="s">
        <v>570</v>
      </c>
      <c r="Y193" s="13"/>
      <c r="Z193" s="13"/>
      <c r="AA193" s="29"/>
      <c r="AB193" s="29">
        <v>0</v>
      </c>
      <c r="AC193" s="29">
        <v>0</v>
      </c>
      <c r="AD193" s="29"/>
      <c r="AE193" s="29">
        <v>0</v>
      </c>
      <c r="AF193" s="29">
        <f t="shared" si="70"/>
        <v>0</v>
      </c>
      <c r="AG193" s="25">
        <v>0.12</v>
      </c>
      <c r="AH193" s="29">
        <f t="shared" si="82"/>
        <v>0</v>
      </c>
      <c r="AI193" s="29">
        <f t="shared" si="93"/>
        <v>0</v>
      </c>
      <c r="AJ193" s="29">
        <f t="shared" si="83"/>
        <v>0</v>
      </c>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f t="shared" si="94"/>
        <v>0</v>
      </c>
      <c r="BH193" s="29"/>
      <c r="BI193" s="29"/>
      <c r="BJ193" s="29" t="s">
        <v>570</v>
      </c>
      <c r="BK193" s="29"/>
      <c r="BL193" s="29"/>
      <c r="BM193" s="29"/>
      <c r="BN193" s="13"/>
      <c r="BO193" s="13"/>
      <c r="BP193" s="13"/>
      <c r="BQ193" s="13"/>
      <c r="BR193" s="13"/>
      <c r="BS193" s="13"/>
      <c r="BT193" s="13"/>
      <c r="BU193" s="13"/>
      <c r="BV193" s="13"/>
      <c r="BW193" s="13"/>
      <c r="BX193" s="13"/>
      <c r="BY193" s="13"/>
      <c r="BZ193" s="13"/>
      <c r="CA193" s="13"/>
      <c r="CB193" s="224" t="s">
        <v>570</v>
      </c>
      <c r="CC193" s="224" t="s">
        <v>570</v>
      </c>
      <c r="CD193" s="224" t="s">
        <v>570</v>
      </c>
      <c r="CE193" s="13"/>
      <c r="CF193" s="13"/>
      <c r="CG193" s="13"/>
      <c r="CH193" s="13"/>
      <c r="CI193" s="13"/>
      <c r="CJ193" s="13"/>
      <c r="CK193" s="13"/>
      <c r="CL193" s="13"/>
      <c r="CM193" s="13"/>
      <c r="CN193" s="13"/>
      <c r="CO193" s="13"/>
      <c r="CP193" s="13"/>
      <c r="CQ193" s="13"/>
      <c r="CR193" s="13"/>
      <c r="CS193" s="29" t="s">
        <v>570</v>
      </c>
      <c r="CT193" s="29" t="s">
        <v>570</v>
      </c>
      <c r="CU193" s="29" t="s">
        <v>570</v>
      </c>
      <c r="CV193" s="23"/>
      <c r="CW193" s="30"/>
      <c r="CX193" s="30"/>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31">
        <f t="shared" si="96"/>
        <v>0</v>
      </c>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25">
        <v>0.5</v>
      </c>
      <c r="FV193" s="25">
        <v>0.5</v>
      </c>
      <c r="FW193" s="25">
        <v>0.5</v>
      </c>
      <c r="FX193" s="25">
        <v>0.5</v>
      </c>
      <c r="FY193" s="25">
        <v>1</v>
      </c>
      <c r="FZ193" s="25">
        <v>1</v>
      </c>
      <c r="GA193" s="25">
        <v>1</v>
      </c>
      <c r="GB193" s="25">
        <v>1</v>
      </c>
      <c r="GC193" s="25">
        <v>1</v>
      </c>
      <c r="GD193" s="25">
        <v>1</v>
      </c>
      <c r="GE193" s="25">
        <v>1</v>
      </c>
      <c r="GF193" s="25">
        <v>1</v>
      </c>
      <c r="GG193" s="25">
        <v>1</v>
      </c>
      <c r="GH193" s="25">
        <v>1</v>
      </c>
      <c r="GI193" s="25">
        <v>1</v>
      </c>
      <c r="GJ193" s="25">
        <v>1</v>
      </c>
      <c r="GK193" s="25">
        <v>1</v>
      </c>
      <c r="GL193" s="25">
        <v>1</v>
      </c>
      <c r="GM193" s="25">
        <v>1</v>
      </c>
      <c r="GN193" s="25">
        <v>1</v>
      </c>
      <c r="GO193" s="25">
        <v>1</v>
      </c>
      <c r="GP193" s="25">
        <v>1</v>
      </c>
      <c r="GQ193" s="25">
        <v>1</v>
      </c>
      <c r="GR193" s="25">
        <v>1</v>
      </c>
      <c r="GS193" s="25">
        <v>1</v>
      </c>
      <c r="GT193" s="25">
        <v>1</v>
      </c>
      <c r="GU193" s="25">
        <v>1</v>
      </c>
      <c r="GV193" s="25" t="s">
        <v>1588</v>
      </c>
      <c r="GW193" s="25" t="s">
        <v>1588</v>
      </c>
      <c r="GX193" s="25" t="s">
        <v>1588</v>
      </c>
      <c r="GY193" s="25" t="s">
        <v>1588</v>
      </c>
      <c r="GZ193" s="25" t="s">
        <v>1588</v>
      </c>
      <c r="HA193" s="25" t="s">
        <v>1588</v>
      </c>
      <c r="HB193" s="25" t="s">
        <v>1588</v>
      </c>
      <c r="HC193" s="25" t="s">
        <v>1588</v>
      </c>
      <c r="HD193" s="25" t="s">
        <v>1588</v>
      </c>
      <c r="HE193" s="25" t="s">
        <v>1588</v>
      </c>
      <c r="HF193" s="25" t="s">
        <v>1588</v>
      </c>
      <c r="HG193" s="25" t="s">
        <v>1588</v>
      </c>
      <c r="HH193" s="25" t="s">
        <v>1588</v>
      </c>
      <c r="HI193" s="25"/>
      <c r="HJ193" s="25"/>
      <c r="HK193" s="25"/>
      <c r="HL193" s="25"/>
      <c r="HM193" s="84"/>
      <c r="HN193" s="84"/>
      <c r="HO193" s="84"/>
      <c r="HP193" s="84"/>
      <c r="HQ193" s="84"/>
      <c r="HR193" s="84"/>
      <c r="HS193" s="84"/>
      <c r="HT193" s="84"/>
      <c r="HU193" s="13" t="s">
        <v>770</v>
      </c>
      <c r="HV193" s="13"/>
      <c r="HW193" s="32"/>
      <c r="HX193" s="55"/>
      <c r="HY193" s="55"/>
      <c r="HZ193" s="55"/>
      <c r="IA193" s="251"/>
      <c r="IB193" s="251"/>
      <c r="IC193" s="251"/>
      <c r="ID193" s="251"/>
      <c r="IE193" s="251"/>
      <c r="IF193" s="251"/>
      <c r="IG193" s="251"/>
      <c r="IH193" s="250">
        <f t="shared" si="95"/>
        <v>0</v>
      </c>
      <c r="II193" s="251"/>
      <c r="IJ193" s="251"/>
      <c r="IK193" s="251"/>
      <c r="IL193" s="251"/>
      <c r="IM193" s="251"/>
      <c r="IN193" s="251"/>
      <c r="IO193" s="251"/>
      <c r="IP193" s="251"/>
      <c r="IQ193" s="251"/>
      <c r="IR193" s="251"/>
      <c r="IS193" s="251"/>
      <c r="IT193" s="251"/>
      <c r="IU193" s="251"/>
      <c r="IV193" s="251"/>
      <c r="IW193" s="251"/>
      <c r="IX193" s="251"/>
      <c r="IY193" s="251"/>
      <c r="IZ193" s="251"/>
      <c r="JA193" s="251"/>
      <c r="JB193" s="251"/>
      <c r="JC193" s="251"/>
      <c r="JD193" s="251">
        <v>2017</v>
      </c>
    </row>
    <row r="194" spans="1:264" s="10" customFormat="1" ht="20.100000000000001" hidden="1" customHeight="1">
      <c r="A194" s="26" t="s">
        <v>23</v>
      </c>
      <c r="B194" s="26" t="s">
        <v>203</v>
      </c>
      <c r="C194" s="13" t="s">
        <v>349</v>
      </c>
      <c r="D194" s="13" t="s">
        <v>380</v>
      </c>
      <c r="E194" s="16" t="s">
        <v>360</v>
      </c>
      <c r="F194" s="13" t="s">
        <v>356</v>
      </c>
      <c r="G194" s="39" t="s">
        <v>354</v>
      </c>
      <c r="H194" s="13" t="s">
        <v>1518</v>
      </c>
      <c r="I194" s="313" t="s">
        <v>771</v>
      </c>
      <c r="J194" s="48">
        <v>8</v>
      </c>
      <c r="K194" s="49" t="s">
        <v>375</v>
      </c>
      <c r="L194" s="314" t="s">
        <v>763</v>
      </c>
      <c r="M194" s="14" t="s">
        <v>1804</v>
      </c>
      <c r="N194" s="20"/>
      <c r="O194" s="13"/>
      <c r="P194" s="13" t="s">
        <v>4</v>
      </c>
      <c r="Q194" s="22" t="s">
        <v>794</v>
      </c>
      <c r="R194" s="22"/>
      <c r="S194" s="13"/>
      <c r="T194" s="13"/>
      <c r="U194" s="13"/>
      <c r="V194" s="13"/>
      <c r="W194" s="13" t="s">
        <v>570</v>
      </c>
      <c r="X194" s="13" t="s">
        <v>570</v>
      </c>
      <c r="Y194" s="13"/>
      <c r="Z194" s="13"/>
      <c r="AA194" s="29"/>
      <c r="AB194" s="29">
        <v>0</v>
      </c>
      <c r="AC194" s="29">
        <v>0</v>
      </c>
      <c r="AD194" s="29"/>
      <c r="AE194" s="29">
        <v>0</v>
      </c>
      <c r="AF194" s="29">
        <f t="shared" si="70"/>
        <v>0</v>
      </c>
      <c r="AG194" s="25">
        <v>0.12</v>
      </c>
      <c r="AH194" s="29">
        <f t="shared" si="82"/>
        <v>0</v>
      </c>
      <c r="AI194" s="29">
        <f t="shared" si="93"/>
        <v>0</v>
      </c>
      <c r="AJ194" s="29">
        <f t="shared" si="83"/>
        <v>0</v>
      </c>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f t="shared" si="94"/>
        <v>0</v>
      </c>
      <c r="BH194" s="29"/>
      <c r="BI194" s="29"/>
      <c r="BJ194" s="29" t="s">
        <v>570</v>
      </c>
      <c r="BK194" s="29"/>
      <c r="BL194" s="29"/>
      <c r="BM194" s="29"/>
      <c r="BN194" s="13"/>
      <c r="BO194" s="13"/>
      <c r="BP194" s="13"/>
      <c r="BQ194" s="13"/>
      <c r="BR194" s="13"/>
      <c r="BS194" s="13"/>
      <c r="BT194" s="13"/>
      <c r="BU194" s="13"/>
      <c r="BV194" s="13"/>
      <c r="BW194" s="13"/>
      <c r="BX194" s="13"/>
      <c r="BY194" s="13"/>
      <c r="BZ194" s="13"/>
      <c r="CA194" s="13"/>
      <c r="CB194" s="224" t="s">
        <v>570</v>
      </c>
      <c r="CC194" s="224" t="s">
        <v>570</v>
      </c>
      <c r="CD194" s="224" t="s">
        <v>570</v>
      </c>
      <c r="CE194" s="13"/>
      <c r="CF194" s="13"/>
      <c r="CG194" s="13"/>
      <c r="CH194" s="13"/>
      <c r="CI194" s="13"/>
      <c r="CJ194" s="13"/>
      <c r="CK194" s="13"/>
      <c r="CL194" s="13"/>
      <c r="CM194" s="13"/>
      <c r="CN194" s="13"/>
      <c r="CO194" s="13"/>
      <c r="CP194" s="13"/>
      <c r="CQ194" s="13"/>
      <c r="CR194" s="13"/>
      <c r="CS194" s="29" t="s">
        <v>570</v>
      </c>
      <c r="CT194" s="29" t="s">
        <v>570</v>
      </c>
      <c r="CU194" s="29" t="s">
        <v>570</v>
      </c>
      <c r="CV194" s="23"/>
      <c r="CW194" s="30"/>
      <c r="CX194" s="30"/>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31">
        <f t="shared" si="96"/>
        <v>0</v>
      </c>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25">
        <v>0.5</v>
      </c>
      <c r="FV194" s="25">
        <v>0.5</v>
      </c>
      <c r="FW194" s="25">
        <v>0.5</v>
      </c>
      <c r="FX194" s="25">
        <v>0.5</v>
      </c>
      <c r="FY194" s="25">
        <v>1</v>
      </c>
      <c r="FZ194" s="25">
        <v>1</v>
      </c>
      <c r="GA194" s="25">
        <v>1</v>
      </c>
      <c r="GB194" s="25">
        <v>1</v>
      </c>
      <c r="GC194" s="25">
        <v>1</v>
      </c>
      <c r="GD194" s="25">
        <v>1</v>
      </c>
      <c r="GE194" s="25">
        <v>1</v>
      </c>
      <c r="GF194" s="25">
        <v>1</v>
      </c>
      <c r="GG194" s="25">
        <v>1</v>
      </c>
      <c r="GH194" s="25">
        <v>1</v>
      </c>
      <c r="GI194" s="25">
        <v>1</v>
      </c>
      <c r="GJ194" s="25">
        <v>1</v>
      </c>
      <c r="GK194" s="25">
        <v>1</v>
      </c>
      <c r="GL194" s="25">
        <v>1</v>
      </c>
      <c r="GM194" s="25">
        <v>1</v>
      </c>
      <c r="GN194" s="25">
        <v>1</v>
      </c>
      <c r="GO194" s="25">
        <v>1</v>
      </c>
      <c r="GP194" s="25">
        <v>1</v>
      </c>
      <c r="GQ194" s="25">
        <v>1</v>
      </c>
      <c r="GR194" s="25">
        <v>1</v>
      </c>
      <c r="GS194" s="25">
        <v>1</v>
      </c>
      <c r="GT194" s="25">
        <v>1</v>
      </c>
      <c r="GU194" s="25">
        <v>1</v>
      </c>
      <c r="GV194" s="25" t="s">
        <v>1588</v>
      </c>
      <c r="GW194" s="25" t="s">
        <v>1588</v>
      </c>
      <c r="GX194" s="25" t="s">
        <v>1588</v>
      </c>
      <c r="GY194" s="25" t="s">
        <v>1588</v>
      </c>
      <c r="GZ194" s="25" t="s">
        <v>1588</v>
      </c>
      <c r="HA194" s="25" t="s">
        <v>1588</v>
      </c>
      <c r="HB194" s="25" t="s">
        <v>1588</v>
      </c>
      <c r="HC194" s="25" t="s">
        <v>1588</v>
      </c>
      <c r="HD194" s="25" t="s">
        <v>1588</v>
      </c>
      <c r="HE194" s="25" t="s">
        <v>1588</v>
      </c>
      <c r="HF194" s="25" t="s">
        <v>1588</v>
      </c>
      <c r="HG194" s="25" t="s">
        <v>1588</v>
      </c>
      <c r="HH194" s="25" t="s">
        <v>1588</v>
      </c>
      <c r="HI194" s="25"/>
      <c r="HJ194" s="25"/>
      <c r="HK194" s="25"/>
      <c r="HL194" s="25"/>
      <c r="HM194" s="84"/>
      <c r="HN194" s="84"/>
      <c r="HO194" s="84"/>
      <c r="HP194" s="84"/>
      <c r="HQ194" s="84"/>
      <c r="HR194" s="84"/>
      <c r="HS194" s="84"/>
      <c r="HT194" s="84"/>
      <c r="HU194" s="13" t="s">
        <v>770</v>
      </c>
      <c r="HV194" s="13"/>
      <c r="HW194" s="32"/>
      <c r="HX194" s="55"/>
      <c r="HY194" s="55"/>
      <c r="HZ194" s="55"/>
      <c r="IA194" s="251"/>
      <c r="IB194" s="251"/>
      <c r="IC194" s="251"/>
      <c r="ID194" s="251"/>
      <c r="IE194" s="251"/>
      <c r="IF194" s="251"/>
      <c r="IG194" s="251"/>
      <c r="IH194" s="250">
        <f t="shared" si="95"/>
        <v>0</v>
      </c>
      <c r="II194" s="251"/>
      <c r="IJ194" s="251"/>
      <c r="IK194" s="251"/>
      <c r="IL194" s="251"/>
      <c r="IM194" s="251"/>
      <c r="IN194" s="251"/>
      <c r="IO194" s="251"/>
      <c r="IP194" s="251"/>
      <c r="IQ194" s="251"/>
      <c r="IR194" s="251"/>
      <c r="IS194" s="251"/>
      <c r="IT194" s="251"/>
      <c r="IU194" s="251"/>
      <c r="IV194" s="251"/>
      <c r="IW194" s="251"/>
      <c r="IX194" s="251"/>
      <c r="IY194" s="251"/>
      <c r="IZ194" s="251"/>
      <c r="JA194" s="251"/>
      <c r="JB194" s="251"/>
      <c r="JC194" s="251"/>
      <c r="JD194" s="251">
        <v>2017</v>
      </c>
    </row>
    <row r="195" spans="1:264" s="5" customFormat="1" ht="24.95" hidden="1" customHeight="1">
      <c r="A195" s="26" t="s">
        <v>23</v>
      </c>
      <c r="B195" s="26" t="s">
        <v>27</v>
      </c>
      <c r="C195" s="13" t="s">
        <v>349</v>
      </c>
      <c r="D195" s="13" t="s">
        <v>380</v>
      </c>
      <c r="E195" s="16" t="s">
        <v>350</v>
      </c>
      <c r="F195" s="13" t="s">
        <v>350</v>
      </c>
      <c r="G195" s="39" t="s">
        <v>351</v>
      </c>
      <c r="H195" s="13" t="s">
        <v>1518</v>
      </c>
      <c r="I195" s="313" t="s">
        <v>425</v>
      </c>
      <c r="J195" s="48">
        <v>9</v>
      </c>
      <c r="K195" s="49" t="s">
        <v>375</v>
      </c>
      <c r="L195" s="314" t="s">
        <v>346</v>
      </c>
      <c r="M195" s="15" t="s">
        <v>425</v>
      </c>
      <c r="N195" s="20"/>
      <c r="O195" s="13" t="s">
        <v>3</v>
      </c>
      <c r="P195" s="13" t="s">
        <v>4</v>
      </c>
      <c r="Q195" s="22" t="s">
        <v>1118</v>
      </c>
      <c r="R195" s="22" t="s">
        <v>1346</v>
      </c>
      <c r="S195" s="13" t="s">
        <v>657</v>
      </c>
      <c r="T195" s="13" t="s">
        <v>1387</v>
      </c>
      <c r="U195" s="13" t="s">
        <v>479</v>
      </c>
      <c r="V195" s="24">
        <v>1792356342001</v>
      </c>
      <c r="W195" s="13"/>
      <c r="X195" s="13"/>
      <c r="Y195" s="13"/>
      <c r="Z195" s="13"/>
      <c r="AA195" s="29"/>
      <c r="AB195" s="29">
        <v>333937.99</v>
      </c>
      <c r="AC195" s="29">
        <v>0</v>
      </c>
      <c r="AD195" s="29">
        <v>333937.99</v>
      </c>
      <c r="AE195" s="29">
        <f>AK195-AB195</f>
        <v>23758.369999999995</v>
      </c>
      <c r="AF195" s="29">
        <f t="shared" si="70"/>
        <v>357696.36</v>
      </c>
      <c r="AG195" s="25">
        <v>0.12</v>
      </c>
      <c r="AH195" s="29">
        <f t="shared" si="82"/>
        <v>40072.558799999999</v>
      </c>
      <c r="AI195" s="29">
        <f t="shared" si="93"/>
        <v>2851.0043999999994</v>
      </c>
      <c r="AJ195" s="29">
        <f t="shared" si="83"/>
        <v>400619.92320000002</v>
      </c>
      <c r="AK195" s="29">
        <v>357696.36</v>
      </c>
      <c r="AL195" s="29">
        <f>AB195-AK195</f>
        <v>-23758.369999999995</v>
      </c>
      <c r="AM195" s="29"/>
      <c r="AN195" s="29"/>
      <c r="AO195" s="29">
        <v>333937.99</v>
      </c>
      <c r="AP195" s="29"/>
      <c r="AQ195" s="29">
        <v>319536</v>
      </c>
      <c r="AR195" s="35">
        <v>0.14000000000000001</v>
      </c>
      <c r="AS195" s="37">
        <f>AQ195*0.14</f>
        <v>44735.040000000001</v>
      </c>
      <c r="AT195" s="29">
        <f>+AQ195*1.14</f>
        <v>364271.04</v>
      </c>
      <c r="AU195" s="29"/>
      <c r="AV195" s="29"/>
      <c r="AW195" s="29"/>
      <c r="AX195" s="29"/>
      <c r="AY195" s="29"/>
      <c r="AZ195" s="29"/>
      <c r="BA195" s="29"/>
      <c r="BB195" s="29"/>
      <c r="BC195" s="29"/>
      <c r="BD195" s="29"/>
      <c r="BE195" s="29"/>
      <c r="BF195" s="29">
        <f t="shared" ref="BF195:BF206" si="97">AB195-AQ195</f>
        <v>14401.989999999991</v>
      </c>
      <c r="BG195" s="29">
        <f t="shared" si="94"/>
        <v>14401.989999999991</v>
      </c>
      <c r="BH195" s="37" t="s">
        <v>594</v>
      </c>
      <c r="BI195" s="29" t="s">
        <v>570</v>
      </c>
      <c r="BJ195" s="29" t="s">
        <v>570</v>
      </c>
      <c r="BK195" s="29" t="s">
        <v>570</v>
      </c>
      <c r="BL195" s="29" t="s">
        <v>570</v>
      </c>
      <c r="BM195" s="29" t="s">
        <v>570</v>
      </c>
      <c r="BN195" s="23">
        <v>42657</v>
      </c>
      <c r="BO195" s="23">
        <v>42664</v>
      </c>
      <c r="BP195" s="23">
        <v>42671</v>
      </c>
      <c r="BQ195" s="23">
        <v>42685</v>
      </c>
      <c r="BR195" s="23" t="s">
        <v>570</v>
      </c>
      <c r="BS195" s="23">
        <v>42692</v>
      </c>
      <c r="BT195" s="23">
        <v>42695</v>
      </c>
      <c r="BU195" s="13" t="s">
        <v>570</v>
      </c>
      <c r="BV195" s="13" t="s">
        <v>570</v>
      </c>
      <c r="BW195" s="224" t="s">
        <v>570</v>
      </c>
      <c r="BX195" s="23">
        <v>42697</v>
      </c>
      <c r="BY195" s="13" t="s">
        <v>570</v>
      </c>
      <c r="BZ195" s="23">
        <v>42702</v>
      </c>
      <c r="CA195" s="23">
        <v>42712</v>
      </c>
      <c r="CB195" s="224" t="s">
        <v>570</v>
      </c>
      <c r="CC195" s="224" t="s">
        <v>570</v>
      </c>
      <c r="CD195" s="224" t="s">
        <v>570</v>
      </c>
      <c r="CE195" s="13"/>
      <c r="CF195" s="13"/>
      <c r="CG195" s="13"/>
      <c r="CH195" s="13"/>
      <c r="CI195" s="13"/>
      <c r="CJ195" s="13"/>
      <c r="CK195" s="13"/>
      <c r="CL195" s="13"/>
      <c r="CM195" s="13"/>
      <c r="CN195" s="13"/>
      <c r="CO195" s="13"/>
      <c r="CP195" s="13"/>
      <c r="CQ195" s="13"/>
      <c r="CR195" s="13"/>
      <c r="CS195" s="13"/>
      <c r="CT195" s="29" t="s">
        <v>452</v>
      </c>
      <c r="CU195" s="25">
        <v>0.1</v>
      </c>
      <c r="CV195" s="23">
        <v>42713</v>
      </c>
      <c r="CW195" s="30">
        <f>AQ195*0.5</f>
        <v>159768</v>
      </c>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31">
        <f t="shared" si="96"/>
        <v>159768</v>
      </c>
      <c r="DZ195" s="13"/>
      <c r="EA195" s="13"/>
      <c r="EB195" s="13"/>
      <c r="EC195" s="13"/>
      <c r="ED195" s="13"/>
      <c r="EE195" s="13"/>
      <c r="EF195" s="13"/>
      <c r="EG195" s="13">
        <v>240</v>
      </c>
      <c r="EH195" s="13" t="s">
        <v>588</v>
      </c>
      <c r="EI195" s="23">
        <f t="shared" ref="EI195:EI206" si="98">CV195+1</f>
        <v>42714</v>
      </c>
      <c r="EJ195" s="23">
        <f t="shared" ref="EJ195:EJ206" si="99">EI195+EG195</f>
        <v>42954</v>
      </c>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25">
        <v>0</v>
      </c>
      <c r="FV195" s="25">
        <v>0.32</v>
      </c>
      <c r="FW195" s="25">
        <v>0.32</v>
      </c>
      <c r="FX195" s="25">
        <v>0.32</v>
      </c>
      <c r="FY195" s="25">
        <v>0.4</v>
      </c>
      <c r="FZ195" s="25">
        <v>0.4</v>
      </c>
      <c r="GA195" s="25">
        <v>0.4</v>
      </c>
      <c r="GB195" s="25">
        <v>0.4</v>
      </c>
      <c r="GC195" s="25">
        <v>0.65</v>
      </c>
      <c r="GD195" s="25">
        <v>1</v>
      </c>
      <c r="GE195" s="25">
        <v>1</v>
      </c>
      <c r="GF195" s="25">
        <v>1</v>
      </c>
      <c r="GG195" s="25">
        <v>1</v>
      </c>
      <c r="GH195" s="25">
        <v>1</v>
      </c>
      <c r="GI195" s="25">
        <v>1</v>
      </c>
      <c r="GJ195" s="25">
        <v>1</v>
      </c>
      <c r="GK195" s="25">
        <v>1</v>
      </c>
      <c r="GL195" s="25">
        <v>1</v>
      </c>
      <c r="GM195" s="25">
        <v>1</v>
      </c>
      <c r="GN195" s="25">
        <v>1</v>
      </c>
      <c r="GO195" s="25">
        <v>1</v>
      </c>
      <c r="GP195" s="25">
        <v>1</v>
      </c>
      <c r="GQ195" s="25">
        <v>1</v>
      </c>
      <c r="GR195" s="25">
        <v>1</v>
      </c>
      <c r="GS195" s="25">
        <v>1</v>
      </c>
      <c r="GT195" s="25">
        <v>1</v>
      </c>
      <c r="GU195" s="25">
        <v>1</v>
      </c>
      <c r="GV195" s="25" t="s">
        <v>1588</v>
      </c>
      <c r="GW195" s="25" t="s">
        <v>455</v>
      </c>
      <c r="GX195" s="25" t="s">
        <v>455</v>
      </c>
      <c r="GY195" s="25" t="s">
        <v>455</v>
      </c>
      <c r="GZ195" s="25" t="s">
        <v>455</v>
      </c>
      <c r="HA195" s="25" t="s">
        <v>455</v>
      </c>
      <c r="HB195" s="25" t="s">
        <v>455</v>
      </c>
      <c r="HC195" s="25" t="s">
        <v>455</v>
      </c>
      <c r="HD195" s="25" t="s">
        <v>455</v>
      </c>
      <c r="HE195" s="25" t="s">
        <v>455</v>
      </c>
      <c r="HF195" s="25" t="s">
        <v>455</v>
      </c>
      <c r="HG195" s="25" t="s">
        <v>455</v>
      </c>
      <c r="HH195" s="25" t="s">
        <v>455</v>
      </c>
      <c r="HI195" s="25"/>
      <c r="HJ195" s="25"/>
      <c r="HK195" s="25"/>
      <c r="HL195" s="25"/>
      <c r="HM195" s="84"/>
      <c r="HN195" s="84"/>
      <c r="HO195" s="84"/>
      <c r="HP195" s="84"/>
      <c r="HQ195" s="84"/>
      <c r="HR195" s="84"/>
      <c r="HS195" s="84"/>
      <c r="HT195" s="84"/>
      <c r="HU195" s="13" t="s">
        <v>347</v>
      </c>
      <c r="HV195" s="13"/>
      <c r="HW195" s="32"/>
      <c r="HX195" s="55"/>
      <c r="HY195" s="55"/>
      <c r="HZ195" s="55"/>
      <c r="IA195" s="55"/>
      <c r="IB195" s="55"/>
      <c r="IC195" s="55"/>
      <c r="ID195" s="55"/>
      <c r="IE195" s="55"/>
      <c r="IF195" s="107">
        <v>333937.99</v>
      </c>
      <c r="IG195" s="107">
        <v>357696.36</v>
      </c>
      <c r="IH195" s="250">
        <f t="shared" si="95"/>
        <v>0</v>
      </c>
      <c r="II195" s="55"/>
      <c r="IJ195" s="55"/>
      <c r="IK195" s="55"/>
      <c r="IL195" s="55"/>
      <c r="IM195" s="55"/>
      <c r="IN195" s="55"/>
      <c r="IO195" s="55"/>
      <c r="IP195" s="55"/>
      <c r="IQ195" s="55"/>
      <c r="IR195" s="55"/>
      <c r="IS195" s="55"/>
      <c r="IT195" s="55"/>
      <c r="IU195" s="55"/>
      <c r="IV195" s="55"/>
      <c r="IW195" s="55"/>
      <c r="IX195" s="55"/>
      <c r="IY195" s="55"/>
      <c r="IZ195" s="55"/>
      <c r="JA195" s="55"/>
      <c r="JB195" s="55"/>
      <c r="JC195" s="55"/>
      <c r="JD195" s="55">
        <v>2017</v>
      </c>
    </row>
    <row r="196" spans="1:264" s="5" customFormat="1" ht="24.95" hidden="1" customHeight="1">
      <c r="A196" s="26" t="s">
        <v>168</v>
      </c>
      <c r="B196" s="26" t="s">
        <v>27</v>
      </c>
      <c r="C196" s="13" t="s">
        <v>352</v>
      </c>
      <c r="D196" s="13" t="s">
        <v>377</v>
      </c>
      <c r="E196" s="16" t="s">
        <v>355</v>
      </c>
      <c r="F196" s="13" t="s">
        <v>355</v>
      </c>
      <c r="G196" s="39" t="s">
        <v>354</v>
      </c>
      <c r="H196" s="13" t="s">
        <v>1551</v>
      </c>
      <c r="I196" s="313" t="s">
        <v>169</v>
      </c>
      <c r="J196" s="40">
        <v>1</v>
      </c>
      <c r="K196" s="49" t="s">
        <v>375</v>
      </c>
      <c r="L196" s="314" t="s">
        <v>337</v>
      </c>
      <c r="M196" s="15" t="s">
        <v>169</v>
      </c>
      <c r="N196" s="20"/>
      <c r="O196" s="13" t="s">
        <v>3</v>
      </c>
      <c r="P196" s="13" t="s">
        <v>4</v>
      </c>
      <c r="Q196" s="22" t="s">
        <v>1118</v>
      </c>
      <c r="R196" s="314" t="s">
        <v>337</v>
      </c>
      <c r="S196" s="22" t="s">
        <v>948</v>
      </c>
      <c r="T196" s="13" t="s">
        <v>1387</v>
      </c>
      <c r="U196" s="22" t="s">
        <v>477</v>
      </c>
      <c r="V196" s="22" t="s">
        <v>950</v>
      </c>
      <c r="W196" s="13" t="s">
        <v>951</v>
      </c>
      <c r="X196" s="13" t="s">
        <v>953</v>
      </c>
      <c r="Y196" s="13" t="s">
        <v>952</v>
      </c>
      <c r="Z196" s="13" t="s">
        <v>954</v>
      </c>
      <c r="AA196" s="29"/>
      <c r="AB196" s="29">
        <v>250000</v>
      </c>
      <c r="AC196" s="29">
        <v>0</v>
      </c>
      <c r="AD196" s="29">
        <v>249999.99999999997</v>
      </c>
      <c r="AE196" s="29">
        <v>0</v>
      </c>
      <c r="AF196" s="29">
        <f t="shared" si="70"/>
        <v>249999.99999999997</v>
      </c>
      <c r="AG196" s="25">
        <v>0.12</v>
      </c>
      <c r="AH196" s="29">
        <f t="shared" si="82"/>
        <v>29999.999999999996</v>
      </c>
      <c r="AI196" s="29">
        <f t="shared" si="93"/>
        <v>0</v>
      </c>
      <c r="AJ196" s="29">
        <f t="shared" si="83"/>
        <v>280000</v>
      </c>
      <c r="AK196" s="29">
        <v>247500</v>
      </c>
      <c r="AL196" s="29">
        <f>AB196-AK196</f>
        <v>2500</v>
      </c>
      <c r="AM196" s="29"/>
      <c r="AN196" s="29"/>
      <c r="AO196" s="29">
        <v>249999.99999999997</v>
      </c>
      <c r="AP196" s="29"/>
      <c r="AQ196" s="29">
        <v>247500</v>
      </c>
      <c r="AR196" s="29"/>
      <c r="AS196" s="29"/>
      <c r="AT196" s="29"/>
      <c r="AU196" s="29"/>
      <c r="AV196" s="29"/>
      <c r="AW196" s="29"/>
      <c r="AX196" s="29"/>
      <c r="AY196" s="29"/>
      <c r="AZ196" s="29"/>
      <c r="BA196" s="29"/>
      <c r="BB196" s="29"/>
      <c r="BC196" s="29"/>
      <c r="BD196" s="29"/>
      <c r="BE196" s="29"/>
      <c r="BF196" s="29">
        <f t="shared" si="97"/>
        <v>2500</v>
      </c>
      <c r="BG196" s="29">
        <f t="shared" si="94"/>
        <v>2500</v>
      </c>
      <c r="BH196" s="37" t="s">
        <v>594</v>
      </c>
      <c r="BI196" s="29" t="s">
        <v>570</v>
      </c>
      <c r="BJ196" s="29" t="s">
        <v>570</v>
      </c>
      <c r="BK196" s="29" t="s">
        <v>570</v>
      </c>
      <c r="BL196" s="29" t="s">
        <v>570</v>
      </c>
      <c r="BM196" s="29" t="s">
        <v>570</v>
      </c>
      <c r="BN196" s="23">
        <v>42206</v>
      </c>
      <c r="BO196" s="23">
        <v>42212</v>
      </c>
      <c r="BP196" s="23">
        <v>42215</v>
      </c>
      <c r="BQ196" s="23">
        <v>42235</v>
      </c>
      <c r="BR196" s="13" t="s">
        <v>570</v>
      </c>
      <c r="BS196" s="23">
        <v>42247</v>
      </c>
      <c r="BT196" s="23">
        <v>42248</v>
      </c>
      <c r="BU196" s="13" t="s">
        <v>570</v>
      </c>
      <c r="BV196" s="13" t="s">
        <v>570</v>
      </c>
      <c r="BW196" s="224" t="s">
        <v>570</v>
      </c>
      <c r="BX196" s="23">
        <v>42264</v>
      </c>
      <c r="BY196" s="13" t="s">
        <v>570</v>
      </c>
      <c r="BZ196" s="23">
        <v>42531</v>
      </c>
      <c r="CA196" s="23">
        <v>42536</v>
      </c>
      <c r="CB196" s="224" t="s">
        <v>570</v>
      </c>
      <c r="CC196" s="224" t="s">
        <v>570</v>
      </c>
      <c r="CD196" s="224" t="s">
        <v>570</v>
      </c>
      <c r="CE196" s="13"/>
      <c r="CF196" s="127" t="s">
        <v>829</v>
      </c>
      <c r="CG196" s="13"/>
      <c r="CH196" s="13"/>
      <c r="CI196" s="13"/>
      <c r="CJ196" s="13"/>
      <c r="CK196" s="13"/>
      <c r="CL196" s="13"/>
      <c r="CM196" s="13"/>
      <c r="CN196" s="13"/>
      <c r="CO196" s="13"/>
      <c r="CP196" s="13"/>
      <c r="CQ196" s="13"/>
      <c r="CR196" s="127" t="s">
        <v>829</v>
      </c>
      <c r="CS196" s="13" t="s">
        <v>570</v>
      </c>
      <c r="CT196" s="29" t="s">
        <v>452</v>
      </c>
      <c r="CU196" s="25">
        <v>0.05</v>
      </c>
      <c r="CV196" s="23">
        <v>42552</v>
      </c>
      <c r="CW196" s="30">
        <f>AQ196*0.5</f>
        <v>123750</v>
      </c>
      <c r="CX196" s="171" t="s">
        <v>1014</v>
      </c>
      <c r="CY196" s="23">
        <v>42573</v>
      </c>
      <c r="CZ196" s="30">
        <f>89100-44550</f>
        <v>44550</v>
      </c>
      <c r="DA196" s="171" t="s">
        <v>1015</v>
      </c>
      <c r="DB196" s="23">
        <v>42585</v>
      </c>
      <c r="DC196" s="30">
        <f>89100-44550</f>
        <v>44550</v>
      </c>
      <c r="DD196" s="171" t="s">
        <v>1016</v>
      </c>
      <c r="DE196" s="23">
        <v>42632</v>
      </c>
      <c r="DF196" s="30">
        <f>69300-34650</f>
        <v>34650</v>
      </c>
      <c r="DG196" s="13"/>
      <c r="DH196" s="13"/>
      <c r="DI196" s="13"/>
      <c r="DJ196" s="13"/>
      <c r="DK196" s="13"/>
      <c r="DL196" s="13"/>
      <c r="DM196" s="13"/>
      <c r="DN196" s="13"/>
      <c r="DO196" s="13"/>
      <c r="DP196" s="13"/>
      <c r="DQ196" s="13"/>
      <c r="DR196" s="13"/>
      <c r="DS196" s="13"/>
      <c r="DT196" s="13"/>
      <c r="DU196" s="13"/>
      <c r="DV196" s="13"/>
      <c r="DW196" s="13"/>
      <c r="DX196" s="13"/>
      <c r="DY196" s="31">
        <f t="shared" si="96"/>
        <v>247500</v>
      </c>
      <c r="DZ196" s="13"/>
      <c r="EA196" s="13"/>
      <c r="EB196" s="13"/>
      <c r="EC196" s="13"/>
      <c r="ED196" s="13"/>
      <c r="EE196" s="13"/>
      <c r="EF196" s="13"/>
      <c r="EG196" s="24">
        <v>60</v>
      </c>
      <c r="EH196" s="13" t="s">
        <v>588</v>
      </c>
      <c r="EI196" s="23">
        <f t="shared" si="98"/>
        <v>42553</v>
      </c>
      <c r="EJ196" s="23">
        <f t="shared" si="99"/>
        <v>42613</v>
      </c>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23">
        <v>42606</v>
      </c>
      <c r="FG196" s="23">
        <v>42790</v>
      </c>
      <c r="FH196" s="23"/>
      <c r="FI196" s="23"/>
      <c r="FJ196" s="23"/>
      <c r="FK196" s="23"/>
      <c r="FL196" s="23"/>
      <c r="FM196" s="23"/>
      <c r="FN196" s="23"/>
      <c r="FO196" s="23"/>
      <c r="FP196" s="23"/>
      <c r="FQ196" s="23"/>
      <c r="FR196" s="23"/>
      <c r="FS196" s="25">
        <v>1</v>
      </c>
      <c r="FT196" s="25">
        <v>1</v>
      </c>
      <c r="FU196" s="25">
        <v>1</v>
      </c>
      <c r="FV196" s="25">
        <v>1</v>
      </c>
      <c r="FW196" s="25">
        <v>1</v>
      </c>
      <c r="FX196" s="25">
        <v>1</v>
      </c>
      <c r="FY196" s="25">
        <v>1</v>
      </c>
      <c r="FZ196" s="25">
        <v>1</v>
      </c>
      <c r="GA196" s="25">
        <v>1</v>
      </c>
      <c r="GB196" s="25">
        <v>1</v>
      </c>
      <c r="GC196" s="25">
        <v>1</v>
      </c>
      <c r="GD196" s="25">
        <v>1</v>
      </c>
      <c r="GE196" s="25">
        <v>1</v>
      </c>
      <c r="GF196" s="25">
        <v>1</v>
      </c>
      <c r="GG196" s="25">
        <v>1</v>
      </c>
      <c r="GH196" s="25">
        <v>1</v>
      </c>
      <c r="GI196" s="25">
        <v>1</v>
      </c>
      <c r="GJ196" s="25">
        <v>1</v>
      </c>
      <c r="GK196" s="25">
        <v>1</v>
      </c>
      <c r="GL196" s="25">
        <v>1</v>
      </c>
      <c r="GM196" s="25">
        <v>1</v>
      </c>
      <c r="GN196" s="25">
        <v>1</v>
      </c>
      <c r="GO196" s="25">
        <v>1</v>
      </c>
      <c r="GP196" s="25">
        <v>1</v>
      </c>
      <c r="GQ196" s="25">
        <v>1</v>
      </c>
      <c r="GR196" s="25">
        <v>1</v>
      </c>
      <c r="GS196" s="25">
        <v>1</v>
      </c>
      <c r="GT196" s="25">
        <v>1</v>
      </c>
      <c r="GU196" s="25">
        <v>1</v>
      </c>
      <c r="GV196" s="25" t="s">
        <v>455</v>
      </c>
      <c r="GW196" s="25" t="s">
        <v>455</v>
      </c>
      <c r="GX196" s="25" t="s">
        <v>455</v>
      </c>
      <c r="GY196" s="25" t="s">
        <v>455</v>
      </c>
      <c r="GZ196" s="25" t="s">
        <v>455</v>
      </c>
      <c r="HA196" s="25" t="s">
        <v>455</v>
      </c>
      <c r="HB196" s="25" t="s">
        <v>455</v>
      </c>
      <c r="HC196" s="25" t="s">
        <v>455</v>
      </c>
      <c r="HD196" s="25" t="s">
        <v>455</v>
      </c>
      <c r="HE196" s="25" t="s">
        <v>455</v>
      </c>
      <c r="HF196" s="25" t="s">
        <v>455</v>
      </c>
      <c r="HG196" s="25" t="s">
        <v>455</v>
      </c>
      <c r="HH196" s="25" t="s">
        <v>455</v>
      </c>
      <c r="HI196" s="25"/>
      <c r="HJ196" s="25"/>
      <c r="HK196" s="25"/>
      <c r="HL196" s="25"/>
      <c r="HM196" s="84"/>
      <c r="HN196" s="84"/>
      <c r="HO196" s="84"/>
      <c r="HP196" s="84"/>
      <c r="HQ196" s="84"/>
      <c r="HR196" s="84"/>
      <c r="HS196" s="84"/>
      <c r="HT196" s="84"/>
      <c r="HU196" s="13"/>
      <c r="HV196" s="13"/>
      <c r="HW196" s="32"/>
      <c r="HX196" s="55"/>
      <c r="HY196" s="55"/>
      <c r="HZ196" s="55"/>
      <c r="IA196" s="55"/>
      <c r="IB196" s="55"/>
      <c r="IC196" s="55"/>
      <c r="ID196" s="55"/>
      <c r="IE196" s="55"/>
      <c r="IF196" s="107">
        <v>250000</v>
      </c>
      <c r="IG196" s="107">
        <v>247500</v>
      </c>
      <c r="IH196" s="250">
        <f t="shared" si="95"/>
        <v>0</v>
      </c>
      <c r="II196" s="55"/>
      <c r="IJ196" s="55"/>
      <c r="IK196" s="55"/>
      <c r="IL196" s="55"/>
      <c r="IM196" s="55"/>
      <c r="IN196" s="55"/>
      <c r="IO196" s="55"/>
      <c r="IP196" s="55"/>
      <c r="IQ196" s="55"/>
      <c r="IR196" s="55"/>
      <c r="IS196" s="55"/>
      <c r="IT196" s="55"/>
      <c r="IU196" s="55"/>
      <c r="IV196" s="55"/>
      <c r="IW196" s="55"/>
      <c r="IX196" s="55"/>
      <c r="IY196" s="55"/>
      <c r="IZ196" s="55"/>
      <c r="JA196" s="55"/>
      <c r="JB196" s="55"/>
      <c r="JC196" s="55"/>
      <c r="JD196" s="55">
        <v>2016</v>
      </c>
    </row>
    <row r="197" spans="1:264" s="5" customFormat="1" ht="28.5" hidden="1" customHeight="1">
      <c r="A197" s="26" t="s">
        <v>168</v>
      </c>
      <c r="B197" s="26" t="s">
        <v>27</v>
      </c>
      <c r="C197" s="13" t="s">
        <v>352</v>
      </c>
      <c r="D197" s="13" t="s">
        <v>377</v>
      </c>
      <c r="E197" s="16" t="s">
        <v>355</v>
      </c>
      <c r="F197" s="13" t="s">
        <v>355</v>
      </c>
      <c r="G197" s="39" t="s">
        <v>354</v>
      </c>
      <c r="H197" s="13" t="s">
        <v>1551</v>
      </c>
      <c r="I197" s="313" t="s">
        <v>170</v>
      </c>
      <c r="J197" s="40">
        <v>2</v>
      </c>
      <c r="K197" s="49" t="s">
        <v>375</v>
      </c>
      <c r="L197" s="314" t="s">
        <v>338</v>
      </c>
      <c r="M197" s="15" t="s">
        <v>170</v>
      </c>
      <c r="N197" s="20"/>
      <c r="O197" s="13" t="s">
        <v>3</v>
      </c>
      <c r="P197" s="13" t="s">
        <v>4</v>
      </c>
      <c r="Q197" s="22" t="s">
        <v>1118</v>
      </c>
      <c r="R197" s="314" t="s">
        <v>338</v>
      </c>
      <c r="S197" s="22" t="s">
        <v>955</v>
      </c>
      <c r="T197" s="13" t="s">
        <v>1387</v>
      </c>
      <c r="U197" s="22" t="s">
        <v>477</v>
      </c>
      <c r="V197" s="24">
        <v>1705281077001</v>
      </c>
      <c r="W197" s="13" t="s">
        <v>956</v>
      </c>
      <c r="X197" s="13" t="s">
        <v>957</v>
      </c>
      <c r="Y197" s="13" t="s">
        <v>952</v>
      </c>
      <c r="Z197" s="13" t="s">
        <v>954</v>
      </c>
      <c r="AA197" s="29"/>
      <c r="AB197" s="29">
        <v>446428.57</v>
      </c>
      <c r="AC197" s="29">
        <v>0</v>
      </c>
      <c r="AD197" s="29">
        <v>446428.57</v>
      </c>
      <c r="AE197" s="29">
        <v>0</v>
      </c>
      <c r="AF197" s="29">
        <f t="shared" si="70"/>
        <v>446428.57</v>
      </c>
      <c r="AG197" s="25">
        <v>0.12</v>
      </c>
      <c r="AH197" s="29">
        <f t="shared" si="82"/>
        <v>53571.428399999997</v>
      </c>
      <c r="AI197" s="29">
        <f t="shared" si="93"/>
        <v>0</v>
      </c>
      <c r="AJ197" s="29">
        <f t="shared" si="83"/>
        <v>499999.99840000004</v>
      </c>
      <c r="AK197" s="29">
        <v>446390</v>
      </c>
      <c r="AL197" s="29">
        <f>AB197-AK197</f>
        <v>38.570000000006985</v>
      </c>
      <c r="AM197" s="29"/>
      <c r="AN197" s="29"/>
      <c r="AO197" s="29">
        <v>446428.57</v>
      </c>
      <c r="AP197" s="29"/>
      <c r="AQ197" s="29">
        <v>446390</v>
      </c>
      <c r="AR197" s="29"/>
      <c r="AS197" s="29"/>
      <c r="AT197" s="29"/>
      <c r="AU197" s="29"/>
      <c r="AV197" s="29"/>
      <c r="AW197" s="29"/>
      <c r="AX197" s="29"/>
      <c r="AY197" s="29"/>
      <c r="AZ197" s="29"/>
      <c r="BA197" s="29"/>
      <c r="BB197" s="29"/>
      <c r="BC197" s="29"/>
      <c r="BD197" s="29"/>
      <c r="BE197" s="29"/>
      <c r="BF197" s="29">
        <f t="shared" si="97"/>
        <v>38.570000000006985</v>
      </c>
      <c r="BG197" s="29">
        <f t="shared" si="94"/>
        <v>38.570000000006985</v>
      </c>
      <c r="BH197" s="37" t="s">
        <v>594</v>
      </c>
      <c r="BI197" s="29" t="s">
        <v>570</v>
      </c>
      <c r="BJ197" s="29" t="s">
        <v>570</v>
      </c>
      <c r="BK197" s="29" t="s">
        <v>570</v>
      </c>
      <c r="BL197" s="29" t="s">
        <v>570</v>
      </c>
      <c r="BM197" s="29" t="s">
        <v>570</v>
      </c>
      <c r="BN197" s="23">
        <v>42206</v>
      </c>
      <c r="BO197" s="23">
        <v>42212</v>
      </c>
      <c r="BP197" s="23">
        <v>42215</v>
      </c>
      <c r="BQ197" s="23">
        <v>42235</v>
      </c>
      <c r="BR197" s="13" t="s">
        <v>570</v>
      </c>
      <c r="BS197" s="23">
        <v>42247</v>
      </c>
      <c r="BT197" s="23">
        <v>42248</v>
      </c>
      <c r="BU197" s="13" t="s">
        <v>570</v>
      </c>
      <c r="BV197" s="13" t="s">
        <v>570</v>
      </c>
      <c r="BW197" s="224" t="s">
        <v>570</v>
      </c>
      <c r="BX197" s="23">
        <v>42264</v>
      </c>
      <c r="BY197" s="13" t="s">
        <v>570</v>
      </c>
      <c r="BZ197" s="23">
        <v>42531</v>
      </c>
      <c r="CA197" s="23">
        <v>42536</v>
      </c>
      <c r="CB197" s="224" t="s">
        <v>570</v>
      </c>
      <c r="CC197" s="224" t="s">
        <v>570</v>
      </c>
      <c r="CD197" s="224" t="s">
        <v>570</v>
      </c>
      <c r="CE197" s="13"/>
      <c r="CF197" s="127" t="s">
        <v>829</v>
      </c>
      <c r="CG197" s="13"/>
      <c r="CH197" s="13"/>
      <c r="CI197" s="13"/>
      <c r="CJ197" s="13"/>
      <c r="CK197" s="13"/>
      <c r="CL197" s="13"/>
      <c r="CM197" s="13"/>
      <c r="CN197" s="13"/>
      <c r="CO197" s="13"/>
      <c r="CP197" s="13"/>
      <c r="CQ197" s="13"/>
      <c r="CR197" s="127" t="s">
        <v>829</v>
      </c>
      <c r="CS197" s="13" t="s">
        <v>570</v>
      </c>
      <c r="CT197" s="29" t="s">
        <v>452</v>
      </c>
      <c r="CU197" s="25">
        <v>0.05</v>
      </c>
      <c r="CV197" s="23">
        <v>42583</v>
      </c>
      <c r="CW197" s="30">
        <f>AQ197*0.5</f>
        <v>223195</v>
      </c>
      <c r="CX197" s="240" t="s">
        <v>1277</v>
      </c>
      <c r="CY197" s="23">
        <v>42738</v>
      </c>
      <c r="CZ197" s="30">
        <f>158540-79270</f>
        <v>79270</v>
      </c>
      <c r="DA197" s="184" t="s">
        <v>1482</v>
      </c>
      <c r="DB197" s="99">
        <v>42846</v>
      </c>
      <c r="DC197" s="30">
        <v>12321</v>
      </c>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31">
        <f t="shared" si="96"/>
        <v>314786</v>
      </c>
      <c r="DZ197" s="13"/>
      <c r="EA197" s="13"/>
      <c r="EB197" s="13"/>
      <c r="EC197" s="13"/>
      <c r="ED197" s="13"/>
      <c r="EE197" s="13"/>
      <c r="EF197" s="13"/>
      <c r="EG197" s="24">
        <v>180</v>
      </c>
      <c r="EH197" s="13" t="s">
        <v>588</v>
      </c>
      <c r="EI197" s="23">
        <f t="shared" si="98"/>
        <v>42584</v>
      </c>
      <c r="EJ197" s="23">
        <f t="shared" si="99"/>
        <v>42764</v>
      </c>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25">
        <v>0.3</v>
      </c>
      <c r="FU197" s="25">
        <v>0.3</v>
      </c>
      <c r="FV197" s="25">
        <v>0.71</v>
      </c>
      <c r="FW197" s="25">
        <v>0.71</v>
      </c>
      <c r="FX197" s="25">
        <v>0.71</v>
      </c>
      <c r="FY197" s="25">
        <v>0.71</v>
      </c>
      <c r="FZ197" s="25">
        <v>1</v>
      </c>
      <c r="GA197" s="25">
        <v>1</v>
      </c>
      <c r="GB197" s="25">
        <v>1</v>
      </c>
      <c r="GC197" s="25">
        <v>1</v>
      </c>
      <c r="GD197" s="25">
        <v>1</v>
      </c>
      <c r="GE197" s="25">
        <v>1</v>
      </c>
      <c r="GF197" s="25">
        <v>1</v>
      </c>
      <c r="GG197" s="25">
        <v>1</v>
      </c>
      <c r="GH197" s="25">
        <v>1</v>
      </c>
      <c r="GI197" s="25">
        <v>1</v>
      </c>
      <c r="GJ197" s="25">
        <v>1</v>
      </c>
      <c r="GK197" s="25">
        <v>1</v>
      </c>
      <c r="GL197" s="25">
        <v>1</v>
      </c>
      <c r="GM197" s="25">
        <v>1</v>
      </c>
      <c r="GN197" s="25">
        <v>1</v>
      </c>
      <c r="GO197" s="25">
        <v>1</v>
      </c>
      <c r="GP197" s="25">
        <v>1</v>
      </c>
      <c r="GQ197" s="25">
        <v>1</v>
      </c>
      <c r="GR197" s="25">
        <v>1</v>
      </c>
      <c r="GS197" s="25">
        <v>1</v>
      </c>
      <c r="GT197" s="25">
        <v>1</v>
      </c>
      <c r="GU197" s="25">
        <v>1</v>
      </c>
      <c r="GV197" s="25" t="s">
        <v>452</v>
      </c>
      <c r="GW197" s="25" t="s">
        <v>452</v>
      </c>
      <c r="GX197" s="25" t="s">
        <v>452</v>
      </c>
      <c r="GY197" s="25" t="s">
        <v>452</v>
      </c>
      <c r="GZ197" s="25" t="s">
        <v>452</v>
      </c>
      <c r="HA197" s="25" t="s">
        <v>452</v>
      </c>
      <c r="HB197" s="25" t="s">
        <v>452</v>
      </c>
      <c r="HC197" s="25" t="s">
        <v>452</v>
      </c>
      <c r="HD197" s="25" t="s">
        <v>452</v>
      </c>
      <c r="HE197" s="25" t="s">
        <v>452</v>
      </c>
      <c r="HF197" s="25" t="s">
        <v>452</v>
      </c>
      <c r="HG197" s="25" t="s">
        <v>452</v>
      </c>
      <c r="HH197" s="25" t="s">
        <v>452</v>
      </c>
      <c r="HI197" s="25"/>
      <c r="HJ197" s="25"/>
      <c r="HK197" s="25"/>
      <c r="HL197" s="25"/>
      <c r="HM197" s="84"/>
      <c r="HN197" s="84"/>
      <c r="HO197" s="84"/>
      <c r="HP197" s="84"/>
      <c r="HQ197" s="84"/>
      <c r="HR197" s="84"/>
      <c r="HS197" s="84"/>
      <c r="HT197" s="84"/>
      <c r="HU197" s="13"/>
      <c r="HV197" s="13"/>
      <c r="HW197" s="32"/>
      <c r="HX197" s="55"/>
      <c r="HY197" s="55"/>
      <c r="HZ197" s="55"/>
      <c r="IA197" s="55"/>
      <c r="IB197" s="55"/>
      <c r="IC197" s="55"/>
      <c r="ID197" s="55"/>
      <c r="IE197" s="55"/>
      <c r="IF197" s="107">
        <v>446428.57</v>
      </c>
      <c r="IG197" s="107">
        <v>446390</v>
      </c>
      <c r="IH197" s="250">
        <f t="shared" si="95"/>
        <v>0</v>
      </c>
      <c r="II197" s="55"/>
      <c r="IJ197" s="55"/>
      <c r="IK197" s="55"/>
      <c r="IL197" s="55"/>
      <c r="IM197" s="55"/>
      <c r="IN197" s="55"/>
      <c r="IO197" s="55"/>
      <c r="IP197" s="55"/>
      <c r="IQ197" s="55"/>
      <c r="IR197" s="55"/>
      <c r="IS197" s="55"/>
      <c r="IT197" s="55"/>
      <c r="IU197" s="55"/>
      <c r="IV197" s="55"/>
      <c r="IW197" s="55"/>
      <c r="IX197" s="55"/>
      <c r="IY197" s="55"/>
      <c r="IZ197" s="55"/>
      <c r="JA197" s="55"/>
      <c r="JB197" s="55"/>
      <c r="JC197" s="55"/>
      <c r="JD197" s="55">
        <v>2017</v>
      </c>
    </row>
    <row r="198" spans="1:264" s="5" customFormat="1" ht="24.95" hidden="1" customHeight="1">
      <c r="A198" s="26" t="s">
        <v>168</v>
      </c>
      <c r="B198" s="26" t="s">
        <v>27</v>
      </c>
      <c r="C198" s="13" t="s">
        <v>349</v>
      </c>
      <c r="D198" s="13" t="s">
        <v>382</v>
      </c>
      <c r="E198" s="16" t="s">
        <v>360</v>
      </c>
      <c r="F198" s="13" t="s">
        <v>360</v>
      </c>
      <c r="G198" s="39" t="s">
        <v>354</v>
      </c>
      <c r="H198" s="13" t="s">
        <v>1551</v>
      </c>
      <c r="I198" s="313" t="s">
        <v>172</v>
      </c>
      <c r="J198" s="40">
        <v>3</v>
      </c>
      <c r="K198" s="49" t="s">
        <v>375</v>
      </c>
      <c r="L198" s="314" t="s">
        <v>171</v>
      </c>
      <c r="M198" s="15" t="s">
        <v>172</v>
      </c>
      <c r="N198" s="20"/>
      <c r="O198" s="13" t="s">
        <v>3</v>
      </c>
      <c r="P198" s="13" t="s">
        <v>4</v>
      </c>
      <c r="Q198" s="22" t="s">
        <v>1118</v>
      </c>
      <c r="R198" s="314" t="s">
        <v>171</v>
      </c>
      <c r="S198" s="22" t="s">
        <v>958</v>
      </c>
      <c r="T198" s="13" t="s">
        <v>1387</v>
      </c>
      <c r="U198" s="13" t="s">
        <v>479</v>
      </c>
      <c r="V198" s="24">
        <v>190348423001</v>
      </c>
      <c r="W198" s="13" t="s">
        <v>962</v>
      </c>
      <c r="X198" s="13" t="s">
        <v>963</v>
      </c>
      <c r="Y198" s="13" t="s">
        <v>960</v>
      </c>
      <c r="Z198" s="13" t="s">
        <v>961</v>
      </c>
      <c r="AA198" s="29"/>
      <c r="AB198" s="29">
        <v>43122.66</v>
      </c>
      <c r="AC198" s="29">
        <v>0</v>
      </c>
      <c r="AD198" s="29">
        <v>43122.659999999996</v>
      </c>
      <c r="AE198" s="29">
        <v>0</v>
      </c>
      <c r="AF198" s="29">
        <f t="shared" si="70"/>
        <v>43122.659999999996</v>
      </c>
      <c r="AG198" s="25">
        <v>0.12</v>
      </c>
      <c r="AH198" s="29">
        <f t="shared" si="82"/>
        <v>5174.7191999999995</v>
      </c>
      <c r="AI198" s="29">
        <f t="shared" si="93"/>
        <v>0</v>
      </c>
      <c r="AJ198" s="29">
        <f t="shared" si="83"/>
        <v>48297.379200000003</v>
      </c>
      <c r="AK198" s="29">
        <v>43030.879999999997</v>
      </c>
      <c r="AL198" s="29">
        <f>AB198-AK198</f>
        <v>91.780000000006112</v>
      </c>
      <c r="AM198" s="29"/>
      <c r="AN198" s="29"/>
      <c r="AO198" s="29">
        <v>43122.66</v>
      </c>
      <c r="AP198" s="29"/>
      <c r="AQ198" s="29">
        <v>43119.26</v>
      </c>
      <c r="AR198" s="29"/>
      <c r="AS198" s="29"/>
      <c r="AT198" s="29"/>
      <c r="AU198" s="29"/>
      <c r="AV198" s="29"/>
      <c r="AW198" s="29"/>
      <c r="AX198" s="29"/>
      <c r="AY198" s="29"/>
      <c r="AZ198" s="29"/>
      <c r="BA198" s="29"/>
      <c r="BB198" s="29"/>
      <c r="BC198" s="29"/>
      <c r="BD198" s="29"/>
      <c r="BE198" s="29"/>
      <c r="BF198" s="29">
        <f t="shared" si="97"/>
        <v>3.4000000000014552</v>
      </c>
      <c r="BG198" s="29">
        <f t="shared" si="94"/>
        <v>3.4000000000014552</v>
      </c>
      <c r="BH198" s="37" t="s">
        <v>594</v>
      </c>
      <c r="BI198" s="29" t="s">
        <v>570</v>
      </c>
      <c r="BJ198" s="29" t="s">
        <v>570</v>
      </c>
      <c r="BK198" s="29" t="s">
        <v>570</v>
      </c>
      <c r="BL198" s="29" t="s">
        <v>570</v>
      </c>
      <c r="BM198" s="29" t="s">
        <v>570</v>
      </c>
      <c r="BN198" s="23">
        <v>42206</v>
      </c>
      <c r="BO198" s="23">
        <v>42212</v>
      </c>
      <c r="BP198" s="23">
        <v>42215</v>
      </c>
      <c r="BQ198" s="23">
        <v>42235</v>
      </c>
      <c r="BR198" s="13" t="s">
        <v>570</v>
      </c>
      <c r="BS198" s="23">
        <v>42247</v>
      </c>
      <c r="BT198" s="23">
        <v>42248</v>
      </c>
      <c r="BU198" s="13" t="s">
        <v>570</v>
      </c>
      <c r="BV198" s="13" t="s">
        <v>570</v>
      </c>
      <c r="BW198" s="224" t="s">
        <v>570</v>
      </c>
      <c r="BX198" s="23">
        <v>42264</v>
      </c>
      <c r="BY198" s="13" t="s">
        <v>570</v>
      </c>
      <c r="BZ198" s="23">
        <v>42531</v>
      </c>
      <c r="CA198" s="23">
        <v>42535</v>
      </c>
      <c r="CB198" s="224" t="s">
        <v>570</v>
      </c>
      <c r="CC198" s="224" t="s">
        <v>570</v>
      </c>
      <c r="CD198" s="224" t="s">
        <v>570</v>
      </c>
      <c r="CE198" s="13"/>
      <c r="CF198" s="127" t="s">
        <v>829</v>
      </c>
      <c r="CG198" s="13"/>
      <c r="CH198" s="13"/>
      <c r="CI198" s="13"/>
      <c r="CJ198" s="13"/>
      <c r="CK198" s="13"/>
      <c r="CL198" s="13"/>
      <c r="CM198" s="13"/>
      <c r="CN198" s="13"/>
      <c r="CO198" s="13"/>
      <c r="CP198" s="13"/>
      <c r="CQ198" s="13"/>
      <c r="CR198" s="127" t="s">
        <v>829</v>
      </c>
      <c r="CS198" s="13" t="s">
        <v>570</v>
      </c>
      <c r="CT198" s="29" t="s">
        <v>452</v>
      </c>
      <c r="CU198" s="25">
        <v>0.05</v>
      </c>
      <c r="CV198" s="23">
        <v>42598</v>
      </c>
      <c r="CW198" s="30">
        <f>AQ198*0.5</f>
        <v>21559.63</v>
      </c>
      <c r="CX198" s="171" t="s">
        <v>1017</v>
      </c>
      <c r="CY198" s="23">
        <v>42734</v>
      </c>
      <c r="CZ198" s="30">
        <f>43030.88-21559.63</f>
        <v>21471.249999999996</v>
      </c>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31">
        <f t="shared" si="96"/>
        <v>43030.879999999997</v>
      </c>
      <c r="DZ198" s="13"/>
      <c r="EA198" s="13"/>
      <c r="EB198" s="13"/>
      <c r="EC198" s="13"/>
      <c r="ED198" s="13"/>
      <c r="EE198" s="13"/>
      <c r="EF198" s="13"/>
      <c r="EG198" s="24">
        <v>90</v>
      </c>
      <c r="EH198" s="13" t="s">
        <v>588</v>
      </c>
      <c r="EI198" s="23">
        <f t="shared" si="98"/>
        <v>42599</v>
      </c>
      <c r="EJ198" s="23">
        <f t="shared" si="99"/>
        <v>42689</v>
      </c>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t="s">
        <v>503</v>
      </c>
      <c r="FG198" s="13"/>
      <c r="FH198" s="13"/>
      <c r="FI198" s="13"/>
      <c r="FJ198" s="13"/>
      <c r="FK198" s="13"/>
      <c r="FL198" s="13"/>
      <c r="FM198" s="13"/>
      <c r="FN198" s="13"/>
      <c r="FO198" s="13"/>
      <c r="FP198" s="13"/>
      <c r="FQ198" s="13"/>
      <c r="FR198" s="13"/>
      <c r="FS198" s="25">
        <v>1</v>
      </c>
      <c r="FT198" s="25">
        <v>1</v>
      </c>
      <c r="FU198" s="25">
        <v>1</v>
      </c>
      <c r="FV198" s="25">
        <v>1</v>
      </c>
      <c r="FW198" s="25">
        <v>1</v>
      </c>
      <c r="FX198" s="25">
        <v>1</v>
      </c>
      <c r="FY198" s="25">
        <v>1</v>
      </c>
      <c r="FZ198" s="25">
        <v>1</v>
      </c>
      <c r="GA198" s="25">
        <v>1</v>
      </c>
      <c r="GB198" s="25">
        <v>1</v>
      </c>
      <c r="GC198" s="25">
        <v>1</v>
      </c>
      <c r="GD198" s="25">
        <v>1</v>
      </c>
      <c r="GE198" s="25">
        <v>1</v>
      </c>
      <c r="GF198" s="25">
        <v>1</v>
      </c>
      <c r="GG198" s="25">
        <v>1</v>
      </c>
      <c r="GH198" s="25">
        <v>1</v>
      </c>
      <c r="GI198" s="25">
        <v>1</v>
      </c>
      <c r="GJ198" s="25">
        <v>1</v>
      </c>
      <c r="GK198" s="25">
        <v>1</v>
      </c>
      <c r="GL198" s="25">
        <v>1</v>
      </c>
      <c r="GM198" s="25">
        <v>1</v>
      </c>
      <c r="GN198" s="25">
        <v>1</v>
      </c>
      <c r="GO198" s="25">
        <v>1</v>
      </c>
      <c r="GP198" s="25">
        <v>1</v>
      </c>
      <c r="GQ198" s="25">
        <v>1</v>
      </c>
      <c r="GR198" s="25">
        <v>1</v>
      </c>
      <c r="GS198" s="25">
        <v>1</v>
      </c>
      <c r="GT198" s="25">
        <v>1</v>
      </c>
      <c r="GU198" s="25">
        <v>1</v>
      </c>
      <c r="GV198" s="25" t="s">
        <v>455</v>
      </c>
      <c r="GW198" s="25" t="s">
        <v>455</v>
      </c>
      <c r="GX198" s="25" t="s">
        <v>455</v>
      </c>
      <c r="GY198" s="25" t="s">
        <v>455</v>
      </c>
      <c r="GZ198" s="25" t="s">
        <v>455</v>
      </c>
      <c r="HA198" s="25" t="s">
        <v>455</v>
      </c>
      <c r="HB198" s="25" t="s">
        <v>455</v>
      </c>
      <c r="HC198" s="25" t="s">
        <v>455</v>
      </c>
      <c r="HD198" s="25" t="s">
        <v>455</v>
      </c>
      <c r="HE198" s="25" t="s">
        <v>455</v>
      </c>
      <c r="HF198" s="25" t="s">
        <v>455</v>
      </c>
      <c r="HG198" s="25" t="s">
        <v>455</v>
      </c>
      <c r="HH198" s="25" t="s">
        <v>455</v>
      </c>
      <c r="HI198" s="25"/>
      <c r="HJ198" s="25"/>
      <c r="HK198" s="25"/>
      <c r="HL198" s="25"/>
      <c r="HM198" s="84"/>
      <c r="HN198" s="84"/>
      <c r="HO198" s="84"/>
      <c r="HP198" s="84"/>
      <c r="HQ198" s="84"/>
      <c r="HR198" s="84"/>
      <c r="HS198" s="84"/>
      <c r="HT198" s="84"/>
      <c r="HU198" s="13"/>
      <c r="HV198" s="13"/>
      <c r="HW198" s="32"/>
      <c r="HX198" s="55"/>
      <c r="HY198" s="55"/>
      <c r="HZ198" s="55"/>
      <c r="IA198" s="55"/>
      <c r="IB198" s="55"/>
      <c r="IC198" s="55"/>
      <c r="ID198" s="55"/>
      <c r="IE198" s="55"/>
      <c r="IF198" s="107">
        <v>43122.66</v>
      </c>
      <c r="IG198" s="107">
        <v>43030.879999999997</v>
      </c>
      <c r="IH198" s="250">
        <f t="shared" si="95"/>
        <v>0</v>
      </c>
      <c r="II198" s="55"/>
      <c r="IJ198" s="55"/>
      <c r="IK198" s="55"/>
      <c r="IL198" s="55"/>
      <c r="IM198" s="55"/>
      <c r="IN198" s="55"/>
      <c r="IO198" s="55"/>
      <c r="IP198" s="55"/>
      <c r="IQ198" s="55"/>
      <c r="IR198" s="55"/>
      <c r="IS198" s="55"/>
      <c r="IT198" s="55"/>
      <c r="IU198" s="55"/>
      <c r="IV198" s="55"/>
      <c r="IW198" s="55"/>
      <c r="IX198" s="55"/>
      <c r="IY198" s="55"/>
      <c r="IZ198" s="55"/>
      <c r="JA198" s="55"/>
      <c r="JB198" s="55"/>
      <c r="JC198" s="55"/>
      <c r="JD198" s="55">
        <v>2016</v>
      </c>
    </row>
    <row r="199" spans="1:264" s="5" customFormat="1" ht="24.95" hidden="1" customHeight="1">
      <c r="A199" s="26" t="s">
        <v>168</v>
      </c>
      <c r="B199" s="26" t="s">
        <v>27</v>
      </c>
      <c r="C199" s="13" t="s">
        <v>349</v>
      </c>
      <c r="D199" s="13" t="s">
        <v>382</v>
      </c>
      <c r="E199" s="16" t="s">
        <v>360</v>
      </c>
      <c r="F199" s="13" t="s">
        <v>360</v>
      </c>
      <c r="G199" s="39" t="s">
        <v>354</v>
      </c>
      <c r="H199" s="13" t="s">
        <v>1551</v>
      </c>
      <c r="I199" s="313" t="s">
        <v>174</v>
      </c>
      <c r="J199" s="40">
        <v>4</v>
      </c>
      <c r="K199" s="49" t="s">
        <v>375</v>
      </c>
      <c r="L199" s="314" t="s">
        <v>173</v>
      </c>
      <c r="M199" s="15" t="s">
        <v>174</v>
      </c>
      <c r="N199" s="20"/>
      <c r="O199" s="13" t="s">
        <v>3</v>
      </c>
      <c r="P199" s="13" t="s">
        <v>4</v>
      </c>
      <c r="Q199" s="22" t="s">
        <v>1118</v>
      </c>
      <c r="R199" s="314" t="s">
        <v>173</v>
      </c>
      <c r="S199" s="22" t="s">
        <v>949</v>
      </c>
      <c r="T199" s="13" t="s">
        <v>1387</v>
      </c>
      <c r="U199" s="22" t="s">
        <v>477</v>
      </c>
      <c r="V199" s="24">
        <v>2000055430001</v>
      </c>
      <c r="W199" s="13" t="s">
        <v>964</v>
      </c>
      <c r="X199" s="13" t="s">
        <v>965</v>
      </c>
      <c r="Y199" s="13" t="s">
        <v>966</v>
      </c>
      <c r="Z199" s="13" t="s">
        <v>967</v>
      </c>
      <c r="AA199" s="29"/>
      <c r="AB199" s="29">
        <v>60162.83</v>
      </c>
      <c r="AC199" s="29">
        <v>0</v>
      </c>
      <c r="AD199" s="29">
        <v>60162.83</v>
      </c>
      <c r="AE199" s="29">
        <v>0</v>
      </c>
      <c r="AF199" s="29">
        <f t="shared" ref="AF199:AF255" si="100">AD199+AE199</f>
        <v>60162.83</v>
      </c>
      <c r="AG199" s="25">
        <v>0.12</v>
      </c>
      <c r="AH199" s="29">
        <f t="shared" si="82"/>
        <v>7219.5396000000001</v>
      </c>
      <c r="AI199" s="29">
        <f t="shared" si="93"/>
        <v>0</v>
      </c>
      <c r="AJ199" s="29">
        <f t="shared" si="83"/>
        <v>67382.369600000005</v>
      </c>
      <c r="AK199" s="29">
        <v>52939.61</v>
      </c>
      <c r="AL199" s="29">
        <f>AB199-AK199</f>
        <v>7223.2200000000012</v>
      </c>
      <c r="AM199" s="29"/>
      <c r="AN199" s="29"/>
      <c r="AO199" s="29">
        <v>60162.83</v>
      </c>
      <c r="AP199" s="29"/>
      <c r="AQ199" s="29">
        <v>52939.64</v>
      </c>
      <c r="AR199" s="29"/>
      <c r="AS199" s="29"/>
      <c r="AT199" s="29"/>
      <c r="AU199" s="29"/>
      <c r="AV199" s="29"/>
      <c r="AW199" s="29"/>
      <c r="AX199" s="29"/>
      <c r="AY199" s="29"/>
      <c r="AZ199" s="29"/>
      <c r="BA199" s="29"/>
      <c r="BB199" s="29"/>
      <c r="BC199" s="29"/>
      <c r="BD199" s="29"/>
      <c r="BE199" s="29"/>
      <c r="BF199" s="29">
        <f t="shared" si="97"/>
        <v>7223.1900000000023</v>
      </c>
      <c r="BG199" s="29">
        <f t="shared" si="94"/>
        <v>7223.1900000000023</v>
      </c>
      <c r="BH199" s="37" t="s">
        <v>594</v>
      </c>
      <c r="BI199" s="29" t="s">
        <v>570</v>
      </c>
      <c r="BJ199" s="29" t="s">
        <v>570</v>
      </c>
      <c r="BK199" s="29" t="s">
        <v>570</v>
      </c>
      <c r="BL199" s="29" t="s">
        <v>570</v>
      </c>
      <c r="BM199" s="29" t="s">
        <v>570</v>
      </c>
      <c r="BN199" s="23">
        <v>42206</v>
      </c>
      <c r="BO199" s="23">
        <v>42212</v>
      </c>
      <c r="BP199" s="23">
        <v>42215</v>
      </c>
      <c r="BQ199" s="23">
        <v>42235</v>
      </c>
      <c r="BR199" s="13" t="s">
        <v>570</v>
      </c>
      <c r="BS199" s="23">
        <v>42247</v>
      </c>
      <c r="BT199" s="23">
        <v>42248</v>
      </c>
      <c r="BU199" s="13" t="s">
        <v>570</v>
      </c>
      <c r="BV199" s="13" t="s">
        <v>570</v>
      </c>
      <c r="BW199" s="224" t="s">
        <v>570</v>
      </c>
      <c r="BX199" s="23">
        <v>42264</v>
      </c>
      <c r="BY199" s="13" t="s">
        <v>570</v>
      </c>
      <c r="BZ199" s="23">
        <v>42531</v>
      </c>
      <c r="CA199" s="23">
        <v>42543</v>
      </c>
      <c r="CB199" s="224" t="s">
        <v>570</v>
      </c>
      <c r="CC199" s="224" t="s">
        <v>570</v>
      </c>
      <c r="CD199" s="224" t="s">
        <v>570</v>
      </c>
      <c r="CE199" s="13"/>
      <c r="CF199" s="127" t="s">
        <v>829</v>
      </c>
      <c r="CG199" s="13"/>
      <c r="CH199" s="13"/>
      <c r="CI199" s="13"/>
      <c r="CJ199" s="13"/>
      <c r="CK199" s="13"/>
      <c r="CL199" s="13"/>
      <c r="CM199" s="13"/>
      <c r="CN199" s="13"/>
      <c r="CO199" s="13"/>
      <c r="CP199" s="13"/>
      <c r="CQ199" s="13"/>
      <c r="CR199" s="127" t="s">
        <v>829</v>
      </c>
      <c r="CS199" s="13" t="s">
        <v>570</v>
      </c>
      <c r="CT199" s="29" t="s">
        <v>452</v>
      </c>
      <c r="CU199" s="25">
        <v>0.05</v>
      </c>
      <c r="CV199" s="23">
        <v>42625</v>
      </c>
      <c r="CW199" s="30">
        <v>26469.83</v>
      </c>
      <c r="CX199" s="240" t="s">
        <v>1278</v>
      </c>
      <c r="CY199" s="23">
        <v>42753</v>
      </c>
      <c r="CZ199" s="30">
        <f>37057.74-18528.87</f>
        <v>18528.87</v>
      </c>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31">
        <f t="shared" si="96"/>
        <v>44998.7</v>
      </c>
      <c r="DZ199" s="13"/>
      <c r="EA199" s="13"/>
      <c r="EB199" s="13"/>
      <c r="EC199" s="13"/>
      <c r="ED199" s="13"/>
      <c r="EE199" s="13"/>
      <c r="EF199" s="13"/>
      <c r="EG199" s="24">
        <v>150</v>
      </c>
      <c r="EH199" s="13" t="s">
        <v>588</v>
      </c>
      <c r="EI199" s="23">
        <f t="shared" si="98"/>
        <v>42626</v>
      </c>
      <c r="EJ199" s="23">
        <f t="shared" si="99"/>
        <v>42776</v>
      </c>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25">
        <v>0.7</v>
      </c>
      <c r="FU199" s="25">
        <v>0.7</v>
      </c>
      <c r="FV199" s="25">
        <v>1</v>
      </c>
      <c r="FW199" s="25">
        <v>1</v>
      </c>
      <c r="FX199" s="25">
        <v>1</v>
      </c>
      <c r="FY199" s="25">
        <v>1</v>
      </c>
      <c r="FZ199" s="25">
        <v>1</v>
      </c>
      <c r="GA199" s="25">
        <v>1</v>
      </c>
      <c r="GB199" s="25">
        <v>1</v>
      </c>
      <c r="GC199" s="25">
        <v>1</v>
      </c>
      <c r="GD199" s="25">
        <v>1</v>
      </c>
      <c r="GE199" s="25">
        <v>1</v>
      </c>
      <c r="GF199" s="25">
        <v>1</v>
      </c>
      <c r="GG199" s="25">
        <v>1</v>
      </c>
      <c r="GH199" s="25">
        <v>1</v>
      </c>
      <c r="GI199" s="25">
        <v>1</v>
      </c>
      <c r="GJ199" s="25">
        <v>1</v>
      </c>
      <c r="GK199" s="25">
        <v>1</v>
      </c>
      <c r="GL199" s="25">
        <v>1</v>
      </c>
      <c r="GM199" s="25">
        <v>1</v>
      </c>
      <c r="GN199" s="25">
        <v>1</v>
      </c>
      <c r="GO199" s="25">
        <v>1</v>
      </c>
      <c r="GP199" s="25">
        <v>1</v>
      </c>
      <c r="GQ199" s="25">
        <v>1</v>
      </c>
      <c r="GR199" s="25">
        <v>1</v>
      </c>
      <c r="GS199" s="25">
        <v>1</v>
      </c>
      <c r="GT199" s="25">
        <v>1</v>
      </c>
      <c r="GU199" s="25">
        <v>1</v>
      </c>
      <c r="GV199" s="25" t="s">
        <v>455</v>
      </c>
      <c r="GW199" s="25" t="s">
        <v>455</v>
      </c>
      <c r="GX199" s="25" t="s">
        <v>455</v>
      </c>
      <c r="GY199" s="25" t="s">
        <v>455</v>
      </c>
      <c r="GZ199" s="25" t="s">
        <v>455</v>
      </c>
      <c r="HA199" s="25" t="s">
        <v>455</v>
      </c>
      <c r="HB199" s="25" t="s">
        <v>455</v>
      </c>
      <c r="HC199" s="25" t="s">
        <v>455</v>
      </c>
      <c r="HD199" s="25" t="s">
        <v>455</v>
      </c>
      <c r="HE199" s="25" t="s">
        <v>455</v>
      </c>
      <c r="HF199" s="25" t="s">
        <v>455</v>
      </c>
      <c r="HG199" s="25" t="s">
        <v>455</v>
      </c>
      <c r="HH199" s="25" t="s">
        <v>455</v>
      </c>
      <c r="HI199" s="25"/>
      <c r="HJ199" s="25"/>
      <c r="HK199" s="25"/>
      <c r="HL199" s="25"/>
      <c r="HM199" s="84"/>
      <c r="HN199" s="84"/>
      <c r="HO199" s="84"/>
      <c r="HP199" s="84"/>
      <c r="HQ199" s="84"/>
      <c r="HR199" s="84"/>
      <c r="HS199" s="84"/>
      <c r="HT199" s="84"/>
      <c r="HU199" s="13"/>
      <c r="HV199" s="13"/>
      <c r="HW199" s="32"/>
      <c r="HX199" s="55"/>
      <c r="HY199" s="55"/>
      <c r="HZ199" s="55"/>
      <c r="IA199" s="55"/>
      <c r="IB199" s="55"/>
      <c r="IC199" s="55"/>
      <c r="ID199" s="55"/>
      <c r="IE199" s="55"/>
      <c r="IF199" s="107">
        <v>60162.83</v>
      </c>
      <c r="IG199" s="107">
        <v>52939.61</v>
      </c>
      <c r="IH199" s="250">
        <f t="shared" si="95"/>
        <v>0</v>
      </c>
      <c r="II199" s="55"/>
      <c r="IJ199" s="55"/>
      <c r="IK199" s="55"/>
      <c r="IL199" s="55"/>
      <c r="IM199" s="55"/>
      <c r="IN199" s="55"/>
      <c r="IO199" s="55"/>
      <c r="IP199" s="55"/>
      <c r="IQ199" s="55"/>
      <c r="IR199" s="55"/>
      <c r="IS199" s="55"/>
      <c r="IT199" s="55"/>
      <c r="IU199" s="55"/>
      <c r="IV199" s="55"/>
      <c r="IW199" s="55"/>
      <c r="IX199" s="55"/>
      <c r="IY199" s="55"/>
      <c r="IZ199" s="55"/>
      <c r="JA199" s="55"/>
      <c r="JB199" s="55"/>
      <c r="JC199" s="55"/>
      <c r="JD199" s="55">
        <v>2017</v>
      </c>
    </row>
    <row r="200" spans="1:264" s="5" customFormat="1" ht="24.95" hidden="1" customHeight="1">
      <c r="A200" s="26" t="s">
        <v>175</v>
      </c>
      <c r="B200" s="26" t="s">
        <v>27</v>
      </c>
      <c r="C200" s="13" t="s">
        <v>349</v>
      </c>
      <c r="D200" s="13" t="s">
        <v>380</v>
      </c>
      <c r="E200" s="16" t="s">
        <v>360</v>
      </c>
      <c r="F200" s="13" t="s">
        <v>360</v>
      </c>
      <c r="G200" s="39" t="s">
        <v>354</v>
      </c>
      <c r="H200" s="13" t="s">
        <v>1552</v>
      </c>
      <c r="I200" s="388" t="s">
        <v>177</v>
      </c>
      <c r="J200" s="40">
        <v>1</v>
      </c>
      <c r="K200" s="49" t="s">
        <v>375</v>
      </c>
      <c r="L200" s="314" t="s">
        <v>176</v>
      </c>
      <c r="M200" s="15" t="s">
        <v>177</v>
      </c>
      <c r="N200" s="69" t="s">
        <v>1919</v>
      </c>
      <c r="O200" s="13" t="s">
        <v>3</v>
      </c>
      <c r="P200" s="13" t="s">
        <v>4</v>
      </c>
      <c r="Q200" s="22" t="s">
        <v>1118</v>
      </c>
      <c r="R200" s="26" t="s">
        <v>487</v>
      </c>
      <c r="S200" s="26" t="s">
        <v>493</v>
      </c>
      <c r="T200" s="13" t="s">
        <v>1387</v>
      </c>
      <c r="U200" s="26" t="s">
        <v>477</v>
      </c>
      <c r="V200" s="173" t="s">
        <v>490</v>
      </c>
      <c r="W200" s="173"/>
      <c r="X200" s="173"/>
      <c r="Y200" s="173"/>
      <c r="Z200" s="173"/>
      <c r="AA200" s="86"/>
      <c r="AB200" s="87">
        <v>281904.77</v>
      </c>
      <c r="AC200" s="86">
        <v>281904.77</v>
      </c>
      <c r="AD200" s="86">
        <v>281904.77</v>
      </c>
      <c r="AE200" s="29">
        <v>0</v>
      </c>
      <c r="AF200" s="29">
        <f t="shared" si="100"/>
        <v>281904.77</v>
      </c>
      <c r="AG200" s="25">
        <v>0.12</v>
      </c>
      <c r="AH200" s="29">
        <f t="shared" si="82"/>
        <v>33828.572400000005</v>
      </c>
      <c r="AI200" s="29">
        <f t="shared" si="93"/>
        <v>0</v>
      </c>
      <c r="AJ200" s="29">
        <f t="shared" si="83"/>
        <v>315733.34240000002</v>
      </c>
      <c r="AK200" s="29">
        <v>281491.58</v>
      </c>
      <c r="AL200" s="29">
        <f>AC200-AK200</f>
        <v>413.19000000000233</v>
      </c>
      <c r="AM200" s="29"/>
      <c r="AN200" s="86">
        <v>310000</v>
      </c>
      <c r="AO200" s="86">
        <v>310000</v>
      </c>
      <c r="AP200" s="86">
        <v>281904.77</v>
      </c>
      <c r="AQ200" s="86">
        <v>281904.77</v>
      </c>
      <c r="AR200" s="86"/>
      <c r="AS200" s="86"/>
      <c r="AT200" s="86"/>
      <c r="AU200" s="86"/>
      <c r="AV200" s="86"/>
      <c r="AW200" s="86"/>
      <c r="AX200" s="86"/>
      <c r="AY200" s="86"/>
      <c r="AZ200" s="86"/>
      <c r="BA200" s="86"/>
      <c r="BB200" s="86"/>
      <c r="BC200" s="86"/>
      <c r="BD200" s="86"/>
      <c r="BE200" s="86"/>
      <c r="BF200" s="29">
        <f t="shared" si="97"/>
        <v>0</v>
      </c>
      <c r="BG200" s="29">
        <f t="shared" si="94"/>
        <v>0</v>
      </c>
      <c r="BH200" s="37" t="s">
        <v>594</v>
      </c>
      <c r="BI200" s="29" t="s">
        <v>570</v>
      </c>
      <c r="BJ200" s="29" t="s">
        <v>570</v>
      </c>
      <c r="BK200" s="29" t="s">
        <v>570</v>
      </c>
      <c r="BL200" s="29" t="s">
        <v>570</v>
      </c>
      <c r="BM200" s="29" t="s">
        <v>570</v>
      </c>
      <c r="BN200" s="102">
        <v>42205</v>
      </c>
      <c r="BO200" s="102">
        <v>42227</v>
      </c>
      <c r="BP200" s="102">
        <v>42234</v>
      </c>
      <c r="BQ200" s="102">
        <v>42236</v>
      </c>
      <c r="BR200" s="102" t="s">
        <v>570</v>
      </c>
      <c r="BS200" s="23">
        <v>42251</v>
      </c>
      <c r="BT200" s="23">
        <v>42258</v>
      </c>
      <c r="BU200" s="13" t="s">
        <v>570</v>
      </c>
      <c r="BV200" s="13" t="s">
        <v>570</v>
      </c>
      <c r="BW200" s="224" t="s">
        <v>570</v>
      </c>
      <c r="BX200" s="102" t="s">
        <v>570</v>
      </c>
      <c r="BY200" s="102" t="s">
        <v>570</v>
      </c>
      <c r="BZ200" s="23">
        <v>42299</v>
      </c>
      <c r="CA200" s="23">
        <v>42326</v>
      </c>
      <c r="CB200" s="224" t="s">
        <v>570</v>
      </c>
      <c r="CC200" s="224" t="s">
        <v>570</v>
      </c>
      <c r="CD200" s="224" t="s">
        <v>570</v>
      </c>
      <c r="CE200" s="23"/>
      <c r="CF200" s="127" t="s">
        <v>829</v>
      </c>
      <c r="CG200" s="23"/>
      <c r="CH200" s="23"/>
      <c r="CI200" s="23"/>
      <c r="CJ200" s="23"/>
      <c r="CK200" s="23"/>
      <c r="CL200" s="23"/>
      <c r="CM200" s="23"/>
      <c r="CN200" s="23"/>
      <c r="CO200" s="23"/>
      <c r="CP200" s="23"/>
      <c r="CQ200" s="23"/>
      <c r="CR200" s="127" t="s">
        <v>829</v>
      </c>
      <c r="CS200" s="13" t="s">
        <v>570</v>
      </c>
      <c r="CT200" s="86"/>
      <c r="CU200" s="86"/>
      <c r="CV200" s="23">
        <v>42348</v>
      </c>
      <c r="CW200" s="30">
        <f>AQ200*0.5</f>
        <v>140952.38500000001</v>
      </c>
      <c r="CX200" s="170" t="s">
        <v>1293</v>
      </c>
      <c r="CY200" s="23">
        <v>42671</v>
      </c>
      <c r="CZ200" s="30">
        <f>10618.18-1061.81</f>
        <v>9556.3700000000008</v>
      </c>
      <c r="DA200" s="170" t="s">
        <v>1294</v>
      </c>
      <c r="DB200" s="23">
        <v>42671</v>
      </c>
      <c r="DC200" s="30">
        <f>16378.79-1637.88</f>
        <v>14740.91</v>
      </c>
      <c r="DD200" s="170" t="s">
        <v>1295</v>
      </c>
      <c r="DE200" s="23">
        <v>42671</v>
      </c>
      <c r="DF200" s="30">
        <f>15090.67-1509.07</f>
        <v>13581.6</v>
      </c>
      <c r="DG200" s="170" t="s">
        <v>1296</v>
      </c>
      <c r="DH200" s="23">
        <v>42671</v>
      </c>
      <c r="DI200" s="30">
        <f>28997.64-2899.76</f>
        <v>26097.879999999997</v>
      </c>
      <c r="DJ200" s="241" t="s">
        <v>1297</v>
      </c>
      <c r="DK200" s="23">
        <v>42741</v>
      </c>
      <c r="DL200" s="30">
        <f>14603.01-1460.3</f>
        <v>13142.710000000001</v>
      </c>
      <c r="DM200" s="198" t="s">
        <v>1298</v>
      </c>
      <c r="DN200" s="23">
        <v>42741</v>
      </c>
      <c r="DO200" s="30">
        <f>25564.38-2556.44</f>
        <v>23007.940000000002</v>
      </c>
      <c r="DP200" s="170" t="s">
        <v>1299</v>
      </c>
      <c r="DQ200" s="23">
        <v>42775</v>
      </c>
      <c r="DR200" s="30">
        <f>9986.26-998.63-231.38</f>
        <v>8756.2500000000018</v>
      </c>
      <c r="DS200" s="170" t="s">
        <v>1300</v>
      </c>
      <c r="DT200" s="23">
        <v>42775</v>
      </c>
      <c r="DU200" s="30">
        <f>19506.85-1950.69</f>
        <v>17556.16</v>
      </c>
      <c r="DV200" s="30"/>
      <c r="DW200" s="13"/>
      <c r="DX200" s="13"/>
      <c r="DY200" s="31">
        <f t="shared" si="96"/>
        <v>267392.20500000002</v>
      </c>
      <c r="DZ200" s="13"/>
      <c r="EA200" s="13"/>
      <c r="EB200" s="13"/>
      <c r="EC200" s="13"/>
      <c r="ED200" s="13"/>
      <c r="EE200" s="13"/>
      <c r="EF200" s="13"/>
      <c r="EG200" s="13" t="s">
        <v>486</v>
      </c>
      <c r="EH200" s="13" t="s">
        <v>588</v>
      </c>
      <c r="EI200" s="23">
        <f t="shared" si="98"/>
        <v>42349</v>
      </c>
      <c r="EJ200" s="23">
        <f t="shared" si="99"/>
        <v>42649</v>
      </c>
      <c r="EK200" s="23"/>
      <c r="EL200" s="23"/>
      <c r="EM200" s="23"/>
      <c r="EN200" s="23"/>
      <c r="EO200" s="23"/>
      <c r="EP200" s="23"/>
      <c r="EQ200" s="23"/>
      <c r="ER200" s="23"/>
      <c r="ES200" s="23"/>
      <c r="ET200" s="23"/>
      <c r="EU200" s="23"/>
      <c r="EV200" s="23"/>
      <c r="EW200" s="23"/>
      <c r="EX200" s="23"/>
      <c r="EY200" s="23"/>
      <c r="EZ200" s="23"/>
      <c r="FA200" s="23"/>
      <c r="FB200" s="23"/>
      <c r="FC200" s="23"/>
      <c r="FD200" s="23"/>
      <c r="FE200" s="23"/>
      <c r="FF200" s="23"/>
      <c r="FG200" s="23"/>
      <c r="FH200" s="23"/>
      <c r="FI200" s="23"/>
      <c r="FJ200" s="23"/>
      <c r="FK200" s="23"/>
      <c r="FL200" s="23"/>
      <c r="FM200" s="23"/>
      <c r="FN200" s="23"/>
      <c r="FO200" s="23"/>
      <c r="FP200" s="23"/>
      <c r="FQ200" s="25">
        <v>0.5</v>
      </c>
      <c r="FR200" s="25">
        <v>0.5</v>
      </c>
      <c r="FS200" s="25">
        <v>0.5</v>
      </c>
      <c r="FT200" s="25">
        <v>0.8</v>
      </c>
      <c r="FU200" s="25">
        <v>0.9</v>
      </c>
      <c r="FV200" s="25">
        <v>0.9</v>
      </c>
      <c r="FW200" s="25">
        <v>0.9</v>
      </c>
      <c r="FX200" s="25">
        <v>0.9</v>
      </c>
      <c r="FY200" s="25">
        <v>0.9</v>
      </c>
      <c r="FZ200" s="25">
        <v>1</v>
      </c>
      <c r="GA200" s="25">
        <v>1</v>
      </c>
      <c r="GB200" s="25">
        <v>1</v>
      </c>
      <c r="GC200" s="25">
        <v>1</v>
      </c>
      <c r="GD200" s="25">
        <v>1</v>
      </c>
      <c r="GE200" s="25">
        <v>1</v>
      </c>
      <c r="GF200" s="25">
        <v>1</v>
      </c>
      <c r="GG200" s="25">
        <v>1</v>
      </c>
      <c r="GH200" s="25">
        <v>1</v>
      </c>
      <c r="GI200" s="25">
        <v>1</v>
      </c>
      <c r="GJ200" s="25">
        <v>1</v>
      </c>
      <c r="GK200" s="25">
        <v>1</v>
      </c>
      <c r="GL200" s="25">
        <v>1</v>
      </c>
      <c r="GM200" s="25">
        <v>1</v>
      </c>
      <c r="GN200" s="25">
        <v>1</v>
      </c>
      <c r="GO200" s="25">
        <v>1</v>
      </c>
      <c r="GP200" s="25">
        <v>1</v>
      </c>
      <c r="GQ200" s="25">
        <v>1</v>
      </c>
      <c r="GR200" s="25">
        <v>1</v>
      </c>
      <c r="GS200" s="25">
        <v>1</v>
      </c>
      <c r="GT200" s="25">
        <v>1</v>
      </c>
      <c r="GU200" s="25">
        <v>1</v>
      </c>
      <c r="GV200" s="25" t="s">
        <v>455</v>
      </c>
      <c r="GW200" s="25" t="s">
        <v>455</v>
      </c>
      <c r="GX200" s="25" t="s">
        <v>455</v>
      </c>
      <c r="GY200" s="25" t="s">
        <v>455</v>
      </c>
      <c r="GZ200" s="25" t="s">
        <v>455</v>
      </c>
      <c r="HA200" s="25" t="s">
        <v>455</v>
      </c>
      <c r="HB200" s="25" t="s">
        <v>455</v>
      </c>
      <c r="HC200" s="25" t="s">
        <v>455</v>
      </c>
      <c r="HD200" s="25" t="s">
        <v>455</v>
      </c>
      <c r="HE200" s="25" t="s">
        <v>455</v>
      </c>
      <c r="HF200" s="25" t="s">
        <v>455</v>
      </c>
      <c r="HG200" s="25" t="s">
        <v>455</v>
      </c>
      <c r="HH200" s="25" t="s">
        <v>455</v>
      </c>
      <c r="HI200" s="25"/>
      <c r="HJ200" s="25"/>
      <c r="HK200" s="25"/>
      <c r="HL200" s="25"/>
      <c r="HM200" s="84"/>
      <c r="HN200" s="84"/>
      <c r="HO200" s="84"/>
      <c r="HP200" s="84"/>
      <c r="HQ200" s="84"/>
      <c r="HR200" s="84"/>
      <c r="HS200" s="84"/>
      <c r="HT200" s="84"/>
      <c r="HU200" s="13"/>
      <c r="HV200" s="13"/>
      <c r="HW200" s="32"/>
      <c r="HX200" s="55"/>
      <c r="HY200" s="55"/>
      <c r="HZ200" s="55"/>
      <c r="IA200" s="55"/>
      <c r="IB200" s="55"/>
      <c r="IC200" s="55"/>
      <c r="ID200" s="55"/>
      <c r="IE200" s="55"/>
      <c r="IF200" s="107">
        <v>281904.77</v>
      </c>
      <c r="IG200" s="107">
        <v>281466.79000000004</v>
      </c>
      <c r="IH200" s="250">
        <f t="shared" si="95"/>
        <v>24.789999999979045</v>
      </c>
      <c r="II200" s="55"/>
      <c r="IJ200" s="55"/>
      <c r="IK200" s="55"/>
      <c r="IL200" s="55"/>
      <c r="IM200" s="55"/>
      <c r="IN200" s="55"/>
      <c r="IO200" s="55"/>
      <c r="IP200" s="55"/>
      <c r="IQ200" s="55"/>
      <c r="IR200" s="55"/>
      <c r="IS200" s="55"/>
      <c r="IT200" s="55"/>
      <c r="IU200" s="55"/>
      <c r="IV200" s="55"/>
      <c r="IW200" s="55"/>
      <c r="IX200" s="55"/>
      <c r="IY200" s="55"/>
      <c r="IZ200" s="55"/>
      <c r="JA200" s="55"/>
      <c r="JB200" s="55"/>
      <c r="JC200" s="55"/>
      <c r="JD200" s="55">
        <v>2017</v>
      </c>
    </row>
    <row r="201" spans="1:264" s="5" customFormat="1" ht="24.95" hidden="1" customHeight="1">
      <c r="A201" s="26" t="s">
        <v>175</v>
      </c>
      <c r="B201" s="26" t="s">
        <v>27</v>
      </c>
      <c r="C201" s="13" t="s">
        <v>349</v>
      </c>
      <c r="D201" s="13" t="s">
        <v>380</v>
      </c>
      <c r="E201" s="16" t="s">
        <v>360</v>
      </c>
      <c r="F201" s="13" t="s">
        <v>360</v>
      </c>
      <c r="G201" s="39" t="s">
        <v>354</v>
      </c>
      <c r="H201" s="13" t="s">
        <v>1552</v>
      </c>
      <c r="I201" s="388"/>
      <c r="J201" s="40">
        <v>1</v>
      </c>
      <c r="K201" s="49" t="s">
        <v>375</v>
      </c>
      <c r="L201" s="314" t="s">
        <v>176</v>
      </c>
      <c r="M201" s="15" t="s">
        <v>177</v>
      </c>
      <c r="N201" s="69" t="s">
        <v>1920</v>
      </c>
      <c r="O201" s="13" t="s">
        <v>3</v>
      </c>
      <c r="P201" s="13" t="s">
        <v>4</v>
      </c>
      <c r="Q201" s="22" t="s">
        <v>1118</v>
      </c>
      <c r="R201" s="26" t="s">
        <v>488</v>
      </c>
      <c r="S201" s="13" t="s">
        <v>491</v>
      </c>
      <c r="T201" s="13" t="s">
        <v>1387</v>
      </c>
      <c r="U201" s="13" t="s">
        <v>479</v>
      </c>
      <c r="V201" s="173" t="s">
        <v>492</v>
      </c>
      <c r="W201" s="173"/>
      <c r="X201" s="173"/>
      <c r="Y201" s="173"/>
      <c r="Z201" s="173"/>
      <c r="AA201" s="86"/>
      <c r="AB201" s="87">
        <v>309951.27</v>
      </c>
      <c r="AC201" s="86">
        <v>309951.27</v>
      </c>
      <c r="AD201" s="86">
        <v>309951.27</v>
      </c>
      <c r="AE201" s="29">
        <v>0</v>
      </c>
      <c r="AF201" s="29">
        <f t="shared" si="100"/>
        <v>309951.27</v>
      </c>
      <c r="AG201" s="25">
        <v>0.12</v>
      </c>
      <c r="AH201" s="29">
        <f t="shared" si="82"/>
        <v>37194.152399999999</v>
      </c>
      <c r="AI201" s="29">
        <f t="shared" si="93"/>
        <v>0</v>
      </c>
      <c r="AJ201" s="29">
        <f t="shared" si="83"/>
        <v>347145.42240000004</v>
      </c>
      <c r="AK201" s="29">
        <v>306561.78999999998</v>
      </c>
      <c r="AL201" s="29">
        <f>AC201-AK201</f>
        <v>3389.4800000000396</v>
      </c>
      <c r="AM201" s="29"/>
      <c r="AN201" s="86">
        <v>310000</v>
      </c>
      <c r="AO201" s="86">
        <v>310000</v>
      </c>
      <c r="AP201" s="86">
        <v>309951.25</v>
      </c>
      <c r="AQ201" s="86">
        <v>309951.25</v>
      </c>
      <c r="AR201" s="86"/>
      <c r="AS201" s="86"/>
      <c r="AT201" s="86"/>
      <c r="AU201" s="86"/>
      <c r="AV201" s="86"/>
      <c r="AW201" s="86"/>
      <c r="AX201" s="86"/>
      <c r="AY201" s="86"/>
      <c r="AZ201" s="86"/>
      <c r="BA201" s="86"/>
      <c r="BB201" s="86"/>
      <c r="BC201" s="86"/>
      <c r="BD201" s="86"/>
      <c r="BE201" s="86"/>
      <c r="BF201" s="29">
        <f t="shared" si="97"/>
        <v>2.0000000018626451E-2</v>
      </c>
      <c r="BG201" s="29">
        <f t="shared" si="94"/>
        <v>2.0000000018626451E-2</v>
      </c>
      <c r="BH201" s="37" t="s">
        <v>594</v>
      </c>
      <c r="BI201" s="29" t="s">
        <v>570</v>
      </c>
      <c r="BJ201" s="29" t="s">
        <v>570</v>
      </c>
      <c r="BK201" s="29" t="s">
        <v>570</v>
      </c>
      <c r="BL201" s="29" t="s">
        <v>570</v>
      </c>
      <c r="BM201" s="29" t="s">
        <v>570</v>
      </c>
      <c r="BN201" s="102">
        <v>42205</v>
      </c>
      <c r="BO201" s="102">
        <v>42227</v>
      </c>
      <c r="BP201" s="102">
        <v>42600</v>
      </c>
      <c r="BQ201" s="102">
        <v>42236</v>
      </c>
      <c r="BR201" s="102" t="s">
        <v>570</v>
      </c>
      <c r="BS201" s="23">
        <v>42251</v>
      </c>
      <c r="BT201" s="23">
        <v>42258</v>
      </c>
      <c r="BU201" s="13" t="s">
        <v>570</v>
      </c>
      <c r="BV201" s="13" t="s">
        <v>570</v>
      </c>
      <c r="BW201" s="224" t="s">
        <v>570</v>
      </c>
      <c r="BX201" s="102" t="s">
        <v>570</v>
      </c>
      <c r="BY201" s="102" t="s">
        <v>570</v>
      </c>
      <c r="BZ201" s="23">
        <v>42299</v>
      </c>
      <c r="CA201" s="23">
        <v>42326</v>
      </c>
      <c r="CB201" s="224" t="s">
        <v>570</v>
      </c>
      <c r="CC201" s="224" t="s">
        <v>570</v>
      </c>
      <c r="CD201" s="224" t="s">
        <v>570</v>
      </c>
      <c r="CE201" s="23"/>
      <c r="CF201" s="127" t="s">
        <v>829</v>
      </c>
      <c r="CG201" s="23"/>
      <c r="CH201" s="23"/>
      <c r="CI201" s="23"/>
      <c r="CJ201" s="23"/>
      <c r="CK201" s="23"/>
      <c r="CL201" s="23"/>
      <c r="CM201" s="23"/>
      <c r="CN201" s="23"/>
      <c r="CO201" s="23"/>
      <c r="CP201" s="23"/>
      <c r="CQ201" s="23"/>
      <c r="CR201" s="127" t="s">
        <v>829</v>
      </c>
      <c r="CS201" s="13" t="s">
        <v>570</v>
      </c>
      <c r="CT201" s="86"/>
      <c r="CU201" s="86"/>
      <c r="CV201" s="23">
        <v>42348</v>
      </c>
      <c r="CW201" s="30">
        <f>AQ201*0.5</f>
        <v>154975.625</v>
      </c>
      <c r="CX201" s="170" t="s">
        <v>1301</v>
      </c>
      <c r="CY201" s="23">
        <v>42660</v>
      </c>
      <c r="CZ201" s="30">
        <f>16270.96-1627.1</f>
        <v>14643.859999999999</v>
      </c>
      <c r="DA201" s="170" t="s">
        <v>1302</v>
      </c>
      <c r="DB201" s="23">
        <v>42660</v>
      </c>
      <c r="DC201" s="30">
        <f>28565.3-2856.53</f>
        <v>25708.77</v>
      </c>
      <c r="DD201" s="170" t="s">
        <v>1303</v>
      </c>
      <c r="DE201" s="23">
        <v>42660</v>
      </c>
      <c r="DF201" s="30">
        <f>14199.83-1419.98</f>
        <v>12779.85</v>
      </c>
      <c r="DG201" s="170" t="s">
        <v>1304</v>
      </c>
      <c r="DH201" s="23">
        <v>42660</v>
      </c>
      <c r="DI201" s="30">
        <f>16386.64-1638.66</f>
        <v>14747.98</v>
      </c>
      <c r="DJ201" s="174" t="s">
        <v>1305</v>
      </c>
      <c r="DK201" s="23">
        <v>42741</v>
      </c>
      <c r="DL201" s="30">
        <f>43097.93-4309.79</f>
        <v>38788.14</v>
      </c>
      <c r="DM201" s="174" t="s">
        <v>1306</v>
      </c>
      <c r="DN201" s="23">
        <v>42741</v>
      </c>
      <c r="DO201" s="30">
        <f>5095.57-509.56</f>
        <v>4586.0099999999993</v>
      </c>
      <c r="DP201" s="170" t="s">
        <v>1307</v>
      </c>
      <c r="DQ201" s="23">
        <v>42775</v>
      </c>
      <c r="DR201" s="30">
        <f>19261.15-1926.12-1898.09</f>
        <v>15436.940000000002</v>
      </c>
      <c r="DS201" s="170" t="s">
        <v>1308</v>
      </c>
      <c r="DT201" s="23">
        <v>42775</v>
      </c>
      <c r="DU201" s="30">
        <f>10403.5-1040.35</f>
        <v>9363.15</v>
      </c>
      <c r="DV201" s="30"/>
      <c r="DW201" s="13"/>
      <c r="DX201" s="13"/>
      <c r="DY201" s="31">
        <f t="shared" si="96"/>
        <v>291030.32500000001</v>
      </c>
      <c r="DZ201" s="13"/>
      <c r="EA201" s="13"/>
      <c r="EB201" s="13"/>
      <c r="EC201" s="13"/>
      <c r="ED201" s="13"/>
      <c r="EE201" s="13"/>
      <c r="EF201" s="13"/>
      <c r="EG201" s="13" t="s">
        <v>486</v>
      </c>
      <c r="EH201" s="13" t="s">
        <v>588</v>
      </c>
      <c r="EI201" s="23">
        <f t="shared" si="98"/>
        <v>42349</v>
      </c>
      <c r="EJ201" s="23">
        <f t="shared" si="99"/>
        <v>42649</v>
      </c>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5">
        <v>0.5</v>
      </c>
      <c r="FR201" s="25">
        <v>0.5</v>
      </c>
      <c r="FS201" s="25">
        <v>0.5</v>
      </c>
      <c r="FT201" s="25">
        <v>0.8</v>
      </c>
      <c r="FU201" s="25">
        <v>0.9</v>
      </c>
      <c r="FV201" s="25">
        <v>0.9</v>
      </c>
      <c r="FW201" s="25">
        <v>0.9</v>
      </c>
      <c r="FX201" s="25">
        <v>0.9</v>
      </c>
      <c r="FY201" s="25">
        <v>0.9</v>
      </c>
      <c r="FZ201" s="25">
        <v>1</v>
      </c>
      <c r="GA201" s="25">
        <v>1</v>
      </c>
      <c r="GB201" s="25">
        <v>1</v>
      </c>
      <c r="GC201" s="25">
        <v>1</v>
      </c>
      <c r="GD201" s="25">
        <v>1</v>
      </c>
      <c r="GE201" s="25">
        <v>1</v>
      </c>
      <c r="GF201" s="25">
        <v>1</v>
      </c>
      <c r="GG201" s="25">
        <v>1</v>
      </c>
      <c r="GH201" s="25">
        <v>1</v>
      </c>
      <c r="GI201" s="25">
        <v>1</v>
      </c>
      <c r="GJ201" s="25">
        <v>1</v>
      </c>
      <c r="GK201" s="25">
        <v>1</v>
      </c>
      <c r="GL201" s="25">
        <v>1</v>
      </c>
      <c r="GM201" s="25">
        <v>1</v>
      </c>
      <c r="GN201" s="25">
        <v>1</v>
      </c>
      <c r="GO201" s="25">
        <v>1</v>
      </c>
      <c r="GP201" s="25">
        <v>1</v>
      </c>
      <c r="GQ201" s="25">
        <v>1</v>
      </c>
      <c r="GR201" s="25">
        <v>1</v>
      </c>
      <c r="GS201" s="25">
        <v>1</v>
      </c>
      <c r="GT201" s="25">
        <v>1</v>
      </c>
      <c r="GU201" s="25">
        <v>1</v>
      </c>
      <c r="GV201" s="25" t="s">
        <v>455</v>
      </c>
      <c r="GW201" s="25" t="s">
        <v>455</v>
      </c>
      <c r="GX201" s="25" t="s">
        <v>455</v>
      </c>
      <c r="GY201" s="25" t="s">
        <v>455</v>
      </c>
      <c r="GZ201" s="25" t="s">
        <v>455</v>
      </c>
      <c r="HA201" s="25" t="s">
        <v>455</v>
      </c>
      <c r="HB201" s="25" t="s">
        <v>455</v>
      </c>
      <c r="HC201" s="25" t="s">
        <v>455</v>
      </c>
      <c r="HD201" s="25" t="s">
        <v>455</v>
      </c>
      <c r="HE201" s="25" t="s">
        <v>455</v>
      </c>
      <c r="HF201" s="25" t="s">
        <v>455</v>
      </c>
      <c r="HG201" s="25" t="s">
        <v>455</v>
      </c>
      <c r="HH201" s="25" t="s">
        <v>455</v>
      </c>
      <c r="HI201" s="25"/>
      <c r="HJ201" s="25"/>
      <c r="HK201" s="25"/>
      <c r="HL201" s="25"/>
      <c r="HM201" s="84"/>
      <c r="HN201" s="84"/>
      <c r="HO201" s="84"/>
      <c r="HP201" s="84"/>
      <c r="HQ201" s="84"/>
      <c r="HR201" s="84"/>
      <c r="HS201" s="84"/>
      <c r="HT201" s="84"/>
      <c r="HU201" s="13"/>
      <c r="HV201" s="13"/>
      <c r="HW201" s="32"/>
      <c r="HX201" s="55"/>
      <c r="HY201" s="55"/>
      <c r="HZ201" s="55"/>
      <c r="IA201" s="55"/>
      <c r="IB201" s="55"/>
      <c r="IC201" s="55"/>
      <c r="ID201" s="55"/>
      <c r="IE201" s="55"/>
      <c r="IF201" s="107">
        <v>309951.27</v>
      </c>
      <c r="IG201" s="107">
        <v>306358.42000000004</v>
      </c>
      <c r="IH201" s="250">
        <f t="shared" si="95"/>
        <v>203.36999999993714</v>
      </c>
      <c r="II201" s="55"/>
      <c r="IJ201" s="55"/>
      <c r="IK201" s="55"/>
      <c r="IL201" s="55"/>
      <c r="IM201" s="55"/>
      <c r="IN201" s="55"/>
      <c r="IO201" s="55"/>
      <c r="IP201" s="55"/>
      <c r="IQ201" s="55"/>
      <c r="IR201" s="55"/>
      <c r="IS201" s="55"/>
      <c r="IT201" s="55"/>
      <c r="IU201" s="55"/>
      <c r="IV201" s="55"/>
      <c r="IW201" s="55"/>
      <c r="IX201" s="55"/>
      <c r="IY201" s="55"/>
      <c r="IZ201" s="55"/>
      <c r="JA201" s="55"/>
      <c r="JB201" s="55"/>
      <c r="JC201" s="55"/>
      <c r="JD201" s="55">
        <v>2017</v>
      </c>
    </row>
    <row r="202" spans="1:264" s="5" customFormat="1" ht="24.95" hidden="1" customHeight="1">
      <c r="A202" s="26" t="s">
        <v>175</v>
      </c>
      <c r="B202" s="26" t="s">
        <v>27</v>
      </c>
      <c r="C202" s="13" t="s">
        <v>349</v>
      </c>
      <c r="D202" s="13" t="s">
        <v>380</v>
      </c>
      <c r="E202" s="16" t="s">
        <v>360</v>
      </c>
      <c r="F202" s="13" t="s">
        <v>360</v>
      </c>
      <c r="G202" s="39" t="s">
        <v>354</v>
      </c>
      <c r="H202" s="13" t="s">
        <v>1552</v>
      </c>
      <c r="I202" s="388"/>
      <c r="J202" s="40">
        <v>1</v>
      </c>
      <c r="K202" s="49" t="s">
        <v>375</v>
      </c>
      <c r="L202" s="314" t="s">
        <v>176</v>
      </c>
      <c r="M202" s="15" t="s">
        <v>177</v>
      </c>
      <c r="N202" s="69" t="s">
        <v>1921</v>
      </c>
      <c r="O202" s="13" t="s">
        <v>3</v>
      </c>
      <c r="P202" s="13" t="s">
        <v>4</v>
      </c>
      <c r="Q202" s="22" t="s">
        <v>1118</v>
      </c>
      <c r="R202" s="26" t="s">
        <v>489</v>
      </c>
      <c r="S202" s="26" t="s">
        <v>493</v>
      </c>
      <c r="T202" s="13" t="s">
        <v>1387</v>
      </c>
      <c r="U202" s="26" t="s">
        <v>477</v>
      </c>
      <c r="V202" s="173" t="s">
        <v>490</v>
      </c>
      <c r="W202" s="173"/>
      <c r="X202" s="173"/>
      <c r="Y202" s="173"/>
      <c r="Z202" s="173"/>
      <c r="AA202" s="86"/>
      <c r="AB202" s="87">
        <v>281904.77</v>
      </c>
      <c r="AC202" s="86">
        <v>281904.77</v>
      </c>
      <c r="AD202" s="86">
        <v>281904.77</v>
      </c>
      <c r="AE202" s="29">
        <v>0</v>
      </c>
      <c r="AF202" s="29">
        <f t="shared" si="100"/>
        <v>281904.77</v>
      </c>
      <c r="AG202" s="25">
        <v>0.12</v>
      </c>
      <c r="AH202" s="29">
        <f t="shared" si="82"/>
        <v>33828.572400000005</v>
      </c>
      <c r="AI202" s="29">
        <f t="shared" si="93"/>
        <v>0</v>
      </c>
      <c r="AJ202" s="29">
        <f t="shared" si="83"/>
        <v>315733.34240000002</v>
      </c>
      <c r="AK202" s="29">
        <v>281805.3</v>
      </c>
      <c r="AL202" s="29">
        <f>AC202-AK202</f>
        <v>99.470000000030268</v>
      </c>
      <c r="AM202" s="29"/>
      <c r="AN202" s="86">
        <v>310000</v>
      </c>
      <c r="AO202" s="86">
        <v>310000</v>
      </c>
      <c r="AP202" s="86">
        <v>281904.77</v>
      </c>
      <c r="AQ202" s="86">
        <v>281904.77</v>
      </c>
      <c r="AR202" s="86"/>
      <c r="AS202" s="86"/>
      <c r="AT202" s="86"/>
      <c r="AU202" s="86"/>
      <c r="AV202" s="86"/>
      <c r="AW202" s="86"/>
      <c r="AX202" s="86"/>
      <c r="AY202" s="86"/>
      <c r="AZ202" s="86"/>
      <c r="BA202" s="86"/>
      <c r="BB202" s="86"/>
      <c r="BC202" s="86"/>
      <c r="BD202" s="86"/>
      <c r="BE202" s="86"/>
      <c r="BF202" s="29">
        <f t="shared" si="97"/>
        <v>0</v>
      </c>
      <c r="BG202" s="29">
        <f t="shared" si="94"/>
        <v>0</v>
      </c>
      <c r="BH202" s="37" t="s">
        <v>594</v>
      </c>
      <c r="BI202" s="29" t="s">
        <v>570</v>
      </c>
      <c r="BJ202" s="29" t="s">
        <v>570</v>
      </c>
      <c r="BK202" s="29" t="s">
        <v>570</v>
      </c>
      <c r="BL202" s="29" t="s">
        <v>570</v>
      </c>
      <c r="BM202" s="29" t="s">
        <v>570</v>
      </c>
      <c r="BN202" s="102">
        <v>42205</v>
      </c>
      <c r="BO202" s="102">
        <v>42227</v>
      </c>
      <c r="BP202" s="102">
        <v>42600</v>
      </c>
      <c r="BQ202" s="102">
        <v>42236</v>
      </c>
      <c r="BR202" s="102" t="s">
        <v>570</v>
      </c>
      <c r="BS202" s="23">
        <v>42251</v>
      </c>
      <c r="BT202" s="23">
        <v>42258</v>
      </c>
      <c r="BU202" s="13" t="s">
        <v>570</v>
      </c>
      <c r="BV202" s="13" t="s">
        <v>570</v>
      </c>
      <c r="BW202" s="224" t="s">
        <v>570</v>
      </c>
      <c r="BX202" s="102" t="s">
        <v>570</v>
      </c>
      <c r="BY202" s="102" t="s">
        <v>570</v>
      </c>
      <c r="BZ202" s="23">
        <v>42299</v>
      </c>
      <c r="CA202" s="23">
        <v>42326</v>
      </c>
      <c r="CB202" s="224" t="s">
        <v>570</v>
      </c>
      <c r="CC202" s="224" t="s">
        <v>570</v>
      </c>
      <c r="CD202" s="224" t="s">
        <v>570</v>
      </c>
      <c r="CE202" s="23"/>
      <c r="CF202" s="127" t="s">
        <v>829</v>
      </c>
      <c r="CG202" s="23"/>
      <c r="CH202" s="23"/>
      <c r="CI202" s="23"/>
      <c r="CJ202" s="23"/>
      <c r="CK202" s="23"/>
      <c r="CL202" s="23"/>
      <c r="CM202" s="23"/>
      <c r="CN202" s="23"/>
      <c r="CO202" s="23"/>
      <c r="CP202" s="23"/>
      <c r="CQ202" s="23"/>
      <c r="CR202" s="127" t="s">
        <v>829</v>
      </c>
      <c r="CS202" s="13" t="s">
        <v>570</v>
      </c>
      <c r="CT202" s="86"/>
      <c r="CU202" s="86"/>
      <c r="CV202" s="23">
        <v>42348</v>
      </c>
      <c r="CW202" s="30">
        <f>AQ202*0.5</f>
        <v>140952.38500000001</v>
      </c>
      <c r="CX202" s="174" t="s">
        <v>1309</v>
      </c>
      <c r="CY202" s="23">
        <v>42685</v>
      </c>
      <c r="CZ202" s="30">
        <f>11148.42-1114.84</f>
        <v>10033.58</v>
      </c>
      <c r="DA202" s="174" t="s">
        <v>1310</v>
      </c>
      <c r="DB202" s="23">
        <v>42685</v>
      </c>
      <c r="DC202" s="30">
        <f>16706.6-1670.66</f>
        <v>15035.939999999999</v>
      </c>
      <c r="DD202" s="174" t="s">
        <v>1311</v>
      </c>
      <c r="DE202" s="23">
        <v>42686</v>
      </c>
      <c r="DF202" s="30">
        <f>12817.33-1281.73</f>
        <v>11535.6</v>
      </c>
      <c r="DG202" s="174" t="s">
        <v>1312</v>
      </c>
      <c r="DH202" s="23">
        <v>42686</v>
      </c>
      <c r="DI202" s="30">
        <f>28678.35-2867.83</f>
        <v>25810.519999999997</v>
      </c>
      <c r="DJ202" s="241" t="s">
        <v>1313</v>
      </c>
      <c r="DK202" s="23">
        <v>42741</v>
      </c>
      <c r="DL202" s="30">
        <f>16288.86-1628.89</f>
        <v>14659.970000000001</v>
      </c>
      <c r="DM202" s="241" t="s">
        <v>1314</v>
      </c>
      <c r="DN202" s="23">
        <v>42741</v>
      </c>
      <c r="DO202" s="30">
        <f>26072.03-2607.2</f>
        <v>23464.829999999998</v>
      </c>
      <c r="DP202" s="170" t="s">
        <v>1315</v>
      </c>
      <c r="DQ202" s="23">
        <v>42775</v>
      </c>
      <c r="DR202" s="30">
        <f>10838.64-1083.86-55.67</f>
        <v>9699.1099999999988</v>
      </c>
      <c r="DS202" s="170" t="s">
        <v>1316</v>
      </c>
      <c r="DT202" s="23">
        <v>42775</v>
      </c>
      <c r="DU202" s="30">
        <f>18352.4-1835.24</f>
        <v>16517.16</v>
      </c>
      <c r="DV202" s="30"/>
      <c r="DW202" s="13"/>
      <c r="DX202" s="13"/>
      <c r="DY202" s="31">
        <f t="shared" si="96"/>
        <v>267709.09499999997</v>
      </c>
      <c r="DZ202" s="13"/>
      <c r="EA202" s="13"/>
      <c r="EB202" s="13"/>
      <c r="EC202" s="13"/>
      <c r="ED202" s="13"/>
      <c r="EE202" s="13"/>
      <c r="EF202" s="13"/>
      <c r="EG202" s="13" t="s">
        <v>486</v>
      </c>
      <c r="EH202" s="13" t="s">
        <v>588</v>
      </c>
      <c r="EI202" s="23">
        <f t="shared" si="98"/>
        <v>42349</v>
      </c>
      <c r="EJ202" s="23">
        <f t="shared" si="99"/>
        <v>42649</v>
      </c>
      <c r="EK202" s="23"/>
      <c r="EL202" s="23"/>
      <c r="EM202" s="23"/>
      <c r="EN202" s="23"/>
      <c r="EO202" s="23"/>
      <c r="EP202" s="23"/>
      <c r="EQ202" s="23"/>
      <c r="ER202" s="23"/>
      <c r="ES202" s="23"/>
      <c r="ET202" s="23"/>
      <c r="EU202" s="23"/>
      <c r="EV202" s="23"/>
      <c r="EW202" s="23"/>
      <c r="EX202" s="23"/>
      <c r="EY202" s="23"/>
      <c r="EZ202" s="23"/>
      <c r="FA202" s="23"/>
      <c r="FB202" s="23"/>
      <c r="FC202" s="23"/>
      <c r="FD202" s="23"/>
      <c r="FE202" s="23"/>
      <c r="FF202" s="23"/>
      <c r="FG202" s="23"/>
      <c r="FH202" s="23"/>
      <c r="FI202" s="23"/>
      <c r="FJ202" s="23"/>
      <c r="FK202" s="23"/>
      <c r="FL202" s="23"/>
      <c r="FM202" s="23"/>
      <c r="FN202" s="23"/>
      <c r="FO202" s="23"/>
      <c r="FP202" s="23"/>
      <c r="FQ202" s="25"/>
      <c r="FR202" s="25">
        <v>0.5</v>
      </c>
      <c r="FS202" s="25">
        <v>0.5</v>
      </c>
      <c r="FT202" s="25">
        <v>0.8</v>
      </c>
      <c r="FU202" s="25">
        <v>0.9</v>
      </c>
      <c r="FV202" s="25">
        <v>0.9</v>
      </c>
      <c r="FW202" s="25">
        <v>0.9</v>
      </c>
      <c r="FX202" s="25">
        <v>0.9</v>
      </c>
      <c r="FY202" s="25">
        <v>0.9</v>
      </c>
      <c r="FZ202" s="25">
        <v>1</v>
      </c>
      <c r="GA202" s="25">
        <v>1</v>
      </c>
      <c r="GB202" s="25">
        <v>1</v>
      </c>
      <c r="GC202" s="25">
        <v>1</v>
      </c>
      <c r="GD202" s="25">
        <v>1</v>
      </c>
      <c r="GE202" s="25">
        <v>1</v>
      </c>
      <c r="GF202" s="25">
        <v>1</v>
      </c>
      <c r="GG202" s="25">
        <v>1</v>
      </c>
      <c r="GH202" s="25">
        <v>1</v>
      </c>
      <c r="GI202" s="25">
        <v>1</v>
      </c>
      <c r="GJ202" s="25">
        <v>1</v>
      </c>
      <c r="GK202" s="25">
        <v>1</v>
      </c>
      <c r="GL202" s="25">
        <v>1</v>
      </c>
      <c r="GM202" s="25">
        <v>1</v>
      </c>
      <c r="GN202" s="25">
        <v>1</v>
      </c>
      <c r="GO202" s="25">
        <v>1</v>
      </c>
      <c r="GP202" s="25">
        <v>1</v>
      </c>
      <c r="GQ202" s="25">
        <v>1</v>
      </c>
      <c r="GR202" s="25">
        <v>1</v>
      </c>
      <c r="GS202" s="25">
        <v>1</v>
      </c>
      <c r="GT202" s="25">
        <v>1</v>
      </c>
      <c r="GU202" s="25">
        <v>1</v>
      </c>
      <c r="GV202" s="25" t="s">
        <v>455</v>
      </c>
      <c r="GW202" s="25" t="s">
        <v>455</v>
      </c>
      <c r="GX202" s="25" t="s">
        <v>455</v>
      </c>
      <c r="GY202" s="25" t="s">
        <v>455</v>
      </c>
      <c r="GZ202" s="25" t="s">
        <v>455</v>
      </c>
      <c r="HA202" s="25" t="s">
        <v>455</v>
      </c>
      <c r="HB202" s="25" t="s">
        <v>455</v>
      </c>
      <c r="HC202" s="25" t="s">
        <v>455</v>
      </c>
      <c r="HD202" s="25" t="s">
        <v>455</v>
      </c>
      <c r="HE202" s="25" t="s">
        <v>455</v>
      </c>
      <c r="HF202" s="25" t="s">
        <v>455</v>
      </c>
      <c r="HG202" s="25" t="s">
        <v>455</v>
      </c>
      <c r="HH202" s="25" t="s">
        <v>455</v>
      </c>
      <c r="HI202" s="25"/>
      <c r="HJ202" s="25"/>
      <c r="HK202" s="25"/>
      <c r="HL202" s="25"/>
      <c r="HM202" s="84"/>
      <c r="HN202" s="84"/>
      <c r="HO202" s="84"/>
      <c r="HP202" s="84"/>
      <c r="HQ202" s="84"/>
      <c r="HR202" s="84"/>
      <c r="HS202" s="84"/>
      <c r="HT202" s="84"/>
      <c r="HU202" s="13"/>
      <c r="HV202" s="13"/>
      <c r="HW202" s="32"/>
      <c r="HX202" s="55"/>
      <c r="HY202" s="55"/>
      <c r="HZ202" s="55"/>
      <c r="IA202" s="55"/>
      <c r="IB202" s="55"/>
      <c r="IC202" s="55"/>
      <c r="ID202" s="55"/>
      <c r="IE202" s="55"/>
      <c r="IF202" s="107">
        <v>281904.77</v>
      </c>
      <c r="IG202" s="107">
        <v>281799.33999999997</v>
      </c>
      <c r="IH202" s="250">
        <f t="shared" si="95"/>
        <v>5.9600000000209548</v>
      </c>
      <c r="II202" s="55"/>
      <c r="IJ202" s="55"/>
      <c r="IK202" s="55"/>
      <c r="IL202" s="55"/>
      <c r="IM202" s="55"/>
      <c r="IN202" s="55"/>
      <c r="IO202" s="55"/>
      <c r="IP202" s="55"/>
      <c r="IQ202" s="55"/>
      <c r="IR202" s="55"/>
      <c r="IS202" s="55"/>
      <c r="IT202" s="55"/>
      <c r="IU202" s="55"/>
      <c r="IV202" s="55"/>
      <c r="IW202" s="55"/>
      <c r="IX202" s="55"/>
      <c r="IY202" s="55"/>
      <c r="IZ202" s="55"/>
      <c r="JA202" s="55"/>
      <c r="JB202" s="55"/>
      <c r="JC202" s="55"/>
      <c r="JD202" s="55">
        <v>2017</v>
      </c>
    </row>
    <row r="203" spans="1:264" s="5" customFormat="1" ht="54.75" hidden="1" customHeight="1">
      <c r="A203" s="26" t="s">
        <v>175</v>
      </c>
      <c r="B203" s="26" t="s">
        <v>27</v>
      </c>
      <c r="C203" s="13" t="s">
        <v>349</v>
      </c>
      <c r="D203" s="13" t="s">
        <v>380</v>
      </c>
      <c r="E203" s="16" t="s">
        <v>360</v>
      </c>
      <c r="F203" s="13" t="s">
        <v>360</v>
      </c>
      <c r="G203" s="39" t="s">
        <v>354</v>
      </c>
      <c r="H203" s="13" t="s">
        <v>1552</v>
      </c>
      <c r="I203" s="388" t="s">
        <v>179</v>
      </c>
      <c r="J203" s="40">
        <v>2</v>
      </c>
      <c r="K203" s="49" t="s">
        <v>375</v>
      </c>
      <c r="L203" s="314" t="s">
        <v>178</v>
      </c>
      <c r="M203" s="15" t="s">
        <v>179</v>
      </c>
      <c r="N203" s="69" t="s">
        <v>1922</v>
      </c>
      <c r="O203" s="13" t="s">
        <v>3</v>
      </c>
      <c r="P203" s="13" t="s">
        <v>4</v>
      </c>
      <c r="Q203" s="22" t="s">
        <v>1118</v>
      </c>
      <c r="R203" s="26" t="s">
        <v>494</v>
      </c>
      <c r="S203" s="26" t="s">
        <v>497</v>
      </c>
      <c r="T203" s="13" t="s">
        <v>1387</v>
      </c>
      <c r="U203" s="13" t="s">
        <v>479</v>
      </c>
      <c r="V203" s="173" t="s">
        <v>498</v>
      </c>
      <c r="W203" s="173"/>
      <c r="X203" s="173"/>
      <c r="Y203" s="173"/>
      <c r="Z203" s="173"/>
      <c r="AA203" s="86"/>
      <c r="AB203" s="87">
        <v>561905.13</v>
      </c>
      <c r="AC203" s="86">
        <v>561905.13</v>
      </c>
      <c r="AD203" s="86">
        <v>561905.13</v>
      </c>
      <c r="AE203" s="29">
        <v>0</v>
      </c>
      <c r="AF203" s="29">
        <f t="shared" si="100"/>
        <v>561905.13</v>
      </c>
      <c r="AG203" s="25">
        <v>0.12</v>
      </c>
      <c r="AH203" s="29">
        <f t="shared" si="82"/>
        <v>67428.615600000005</v>
      </c>
      <c r="AI203" s="29">
        <f t="shared" si="93"/>
        <v>0</v>
      </c>
      <c r="AJ203" s="29">
        <f t="shared" si="83"/>
        <v>629333.74560000002</v>
      </c>
      <c r="AK203" s="29">
        <v>525300.4</v>
      </c>
      <c r="AL203" s="29">
        <f>AB203-AK203</f>
        <v>36604.729999999981</v>
      </c>
      <c r="AM203" s="29"/>
      <c r="AN203" s="86">
        <v>617317.92000000004</v>
      </c>
      <c r="AO203" s="86">
        <v>617317.92000000004</v>
      </c>
      <c r="AP203" s="86">
        <v>561905.12</v>
      </c>
      <c r="AQ203" s="86">
        <v>561905.12</v>
      </c>
      <c r="AR203" s="86"/>
      <c r="AS203" s="86"/>
      <c r="AT203" s="86"/>
      <c r="AU203" s="86"/>
      <c r="AV203" s="86"/>
      <c r="AW203" s="86"/>
      <c r="AX203" s="86"/>
      <c r="AY203" s="86"/>
      <c r="AZ203" s="86"/>
      <c r="BA203" s="86"/>
      <c r="BB203" s="86"/>
      <c r="BC203" s="86"/>
      <c r="BD203" s="86"/>
      <c r="BE203" s="86"/>
      <c r="BF203" s="29">
        <f t="shared" si="97"/>
        <v>1.0000000009313226E-2</v>
      </c>
      <c r="BG203" s="29">
        <f t="shared" si="94"/>
        <v>1.0000000009313226E-2</v>
      </c>
      <c r="BH203" s="37" t="s">
        <v>594</v>
      </c>
      <c r="BI203" s="29" t="s">
        <v>570</v>
      </c>
      <c r="BJ203" s="29" t="s">
        <v>570</v>
      </c>
      <c r="BK203" s="29" t="s">
        <v>570</v>
      </c>
      <c r="BL203" s="29" t="s">
        <v>570</v>
      </c>
      <c r="BM203" s="29" t="s">
        <v>570</v>
      </c>
      <c r="BN203" s="102">
        <v>42205</v>
      </c>
      <c r="BO203" s="102">
        <v>42227</v>
      </c>
      <c r="BP203" s="102">
        <v>42234</v>
      </c>
      <c r="BQ203" s="102">
        <v>42236</v>
      </c>
      <c r="BR203" s="102" t="s">
        <v>570</v>
      </c>
      <c r="BS203" s="23">
        <v>42251</v>
      </c>
      <c r="BT203" s="23">
        <v>42258</v>
      </c>
      <c r="BU203" s="13" t="s">
        <v>570</v>
      </c>
      <c r="BV203" s="13" t="s">
        <v>570</v>
      </c>
      <c r="BW203" s="224" t="s">
        <v>570</v>
      </c>
      <c r="BX203" s="102" t="s">
        <v>570</v>
      </c>
      <c r="BY203" s="102" t="s">
        <v>570</v>
      </c>
      <c r="BZ203" s="13" t="s">
        <v>503</v>
      </c>
      <c r="CA203" s="23">
        <v>42338</v>
      </c>
      <c r="CB203" s="224" t="s">
        <v>570</v>
      </c>
      <c r="CC203" s="224" t="s">
        <v>570</v>
      </c>
      <c r="CD203" s="224" t="s">
        <v>570</v>
      </c>
      <c r="CE203" s="23"/>
      <c r="CF203" s="127" t="s">
        <v>829</v>
      </c>
      <c r="CG203" s="23"/>
      <c r="CH203" s="23"/>
      <c r="CI203" s="23"/>
      <c r="CJ203" s="23"/>
      <c r="CK203" s="23"/>
      <c r="CL203" s="23"/>
      <c r="CM203" s="23"/>
      <c r="CN203" s="23"/>
      <c r="CO203" s="23"/>
      <c r="CP203" s="23"/>
      <c r="CQ203" s="23"/>
      <c r="CR203" s="127" t="s">
        <v>829</v>
      </c>
      <c r="CS203" s="13" t="s">
        <v>570</v>
      </c>
      <c r="CT203" s="86"/>
      <c r="CU203" s="86"/>
      <c r="CV203" s="23">
        <v>42384</v>
      </c>
      <c r="CW203" s="30">
        <v>280952.58</v>
      </c>
      <c r="CX203" s="241" t="s">
        <v>1317</v>
      </c>
      <c r="CY203" s="23">
        <v>42703</v>
      </c>
      <c r="CZ203" s="30">
        <v>58635.07</v>
      </c>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31">
        <f t="shared" si="96"/>
        <v>339587.65</v>
      </c>
      <c r="DZ203" s="13"/>
      <c r="EA203" s="13"/>
      <c r="EB203" s="13"/>
      <c r="EC203" s="13"/>
      <c r="ED203" s="13"/>
      <c r="EE203" s="13"/>
      <c r="EF203" s="13"/>
      <c r="EG203" s="13">
        <v>365</v>
      </c>
      <c r="EH203" s="13" t="s">
        <v>588</v>
      </c>
      <c r="EI203" s="23">
        <f t="shared" si="98"/>
        <v>42385</v>
      </c>
      <c r="EJ203" s="23">
        <f t="shared" si="99"/>
        <v>42750</v>
      </c>
      <c r="EK203" s="23"/>
      <c r="EL203" s="23"/>
      <c r="EM203" s="23"/>
      <c r="EN203" s="23"/>
      <c r="EO203" s="23"/>
      <c r="EP203" s="23"/>
      <c r="EQ203" s="23"/>
      <c r="ER203" s="23"/>
      <c r="ES203" s="23"/>
      <c r="ET203" s="23"/>
      <c r="EU203" s="23"/>
      <c r="EV203" s="23"/>
      <c r="EW203" s="23"/>
      <c r="EX203" s="23"/>
      <c r="EY203" s="23"/>
      <c r="EZ203" s="23"/>
      <c r="FA203" s="23"/>
      <c r="FB203" s="23"/>
      <c r="FC203" s="23"/>
      <c r="FD203" s="23"/>
      <c r="FE203" s="23"/>
      <c r="FF203" s="23"/>
      <c r="FG203" s="23"/>
      <c r="FH203" s="23"/>
      <c r="FI203" s="23"/>
      <c r="FJ203" s="23"/>
      <c r="FK203" s="23"/>
      <c r="FL203" s="23"/>
      <c r="FM203" s="23"/>
      <c r="FN203" s="23"/>
      <c r="FO203" s="23"/>
      <c r="FP203" s="23"/>
      <c r="FQ203" s="23"/>
      <c r="FR203" s="25">
        <v>0.2</v>
      </c>
      <c r="FS203" s="25">
        <v>0.2</v>
      </c>
      <c r="FT203" s="25">
        <v>0.5</v>
      </c>
      <c r="FU203" s="25">
        <v>0.5</v>
      </c>
      <c r="FV203" s="25">
        <v>0.75</v>
      </c>
      <c r="FW203" s="25">
        <v>0.75</v>
      </c>
      <c r="FX203" s="25">
        <v>0.75</v>
      </c>
      <c r="FY203" s="25">
        <v>0.75</v>
      </c>
      <c r="FZ203" s="25">
        <v>0.75</v>
      </c>
      <c r="GA203" s="25">
        <v>0.75</v>
      </c>
      <c r="GB203" s="25">
        <v>0.87</v>
      </c>
      <c r="GC203" s="25">
        <v>1</v>
      </c>
      <c r="GD203" s="25">
        <v>1</v>
      </c>
      <c r="GE203" s="25">
        <v>1</v>
      </c>
      <c r="GF203" s="25">
        <v>1</v>
      </c>
      <c r="GG203" s="25">
        <v>1</v>
      </c>
      <c r="GH203" s="25">
        <v>1</v>
      </c>
      <c r="GI203" s="25">
        <v>1</v>
      </c>
      <c r="GJ203" s="25">
        <v>1</v>
      </c>
      <c r="GK203" s="25">
        <v>1</v>
      </c>
      <c r="GL203" s="25">
        <v>1</v>
      </c>
      <c r="GM203" s="25">
        <v>1</v>
      </c>
      <c r="GN203" s="25">
        <v>1</v>
      </c>
      <c r="GO203" s="25">
        <v>1</v>
      </c>
      <c r="GP203" s="25">
        <v>1</v>
      </c>
      <c r="GQ203" s="25">
        <v>1</v>
      </c>
      <c r="GR203" s="25">
        <v>1</v>
      </c>
      <c r="GS203" s="25">
        <v>1</v>
      </c>
      <c r="GT203" s="25">
        <v>1</v>
      </c>
      <c r="GU203" s="25">
        <v>1</v>
      </c>
      <c r="GV203" s="25" t="s">
        <v>1588</v>
      </c>
      <c r="GW203" s="25" t="s">
        <v>1588</v>
      </c>
      <c r="GX203" s="25" t="s">
        <v>455</v>
      </c>
      <c r="GY203" s="25" t="s">
        <v>455</v>
      </c>
      <c r="GZ203" s="25" t="s">
        <v>455</v>
      </c>
      <c r="HA203" s="25" t="s">
        <v>455</v>
      </c>
      <c r="HB203" s="25" t="s">
        <v>455</v>
      </c>
      <c r="HC203" s="25" t="s">
        <v>455</v>
      </c>
      <c r="HD203" s="25" t="s">
        <v>455</v>
      </c>
      <c r="HE203" s="25" t="s">
        <v>455</v>
      </c>
      <c r="HF203" s="25" t="s">
        <v>455</v>
      </c>
      <c r="HG203" s="25" t="s">
        <v>455</v>
      </c>
      <c r="HH203" s="25" t="s">
        <v>455</v>
      </c>
      <c r="HI203" s="25"/>
      <c r="HJ203" s="25"/>
      <c r="HK203" s="25"/>
      <c r="HL203" s="25"/>
      <c r="HM203" s="84"/>
      <c r="HN203" s="84"/>
      <c r="HO203" s="84"/>
      <c r="HP203" s="84"/>
      <c r="HQ203" s="84"/>
      <c r="HR203" s="84"/>
      <c r="HS203" s="84"/>
      <c r="HT203" s="84"/>
      <c r="HU203" s="13"/>
      <c r="HV203" s="13"/>
      <c r="HW203" s="32"/>
      <c r="HX203" s="55"/>
      <c r="HY203" s="55"/>
      <c r="HZ203" s="55"/>
      <c r="IA203" s="55"/>
      <c r="IB203" s="55"/>
      <c r="IC203" s="55"/>
      <c r="ID203" s="55"/>
      <c r="IE203" s="55"/>
      <c r="IF203" s="107">
        <v>561905.13</v>
      </c>
      <c r="IG203" s="107">
        <v>525300.4</v>
      </c>
      <c r="IH203" s="250">
        <f t="shared" si="95"/>
        <v>0</v>
      </c>
      <c r="II203" s="55"/>
      <c r="IJ203" s="55"/>
      <c r="IK203" s="55"/>
      <c r="IL203" s="55"/>
      <c r="IM203" s="55"/>
      <c r="IN203" s="55"/>
      <c r="IO203" s="55"/>
      <c r="IP203" s="55"/>
      <c r="IQ203" s="55"/>
      <c r="IR203" s="55"/>
      <c r="IS203" s="55"/>
      <c r="IT203" s="55"/>
      <c r="IU203" s="55"/>
      <c r="IV203" s="55"/>
      <c r="IW203" s="55"/>
      <c r="IX203" s="55"/>
      <c r="IY203" s="55"/>
      <c r="IZ203" s="55"/>
      <c r="JA203" s="55"/>
      <c r="JB203" s="55"/>
      <c r="JC203" s="55"/>
      <c r="JD203" s="55">
        <v>2017</v>
      </c>
    </row>
    <row r="204" spans="1:264" s="5" customFormat="1" ht="48.75" hidden="1" customHeight="1">
      <c r="A204" s="26" t="s">
        <v>175</v>
      </c>
      <c r="B204" s="26" t="s">
        <v>27</v>
      </c>
      <c r="C204" s="13" t="s">
        <v>349</v>
      </c>
      <c r="D204" s="13" t="s">
        <v>380</v>
      </c>
      <c r="E204" s="16" t="s">
        <v>360</v>
      </c>
      <c r="F204" s="13" t="s">
        <v>360</v>
      </c>
      <c r="G204" s="39" t="s">
        <v>354</v>
      </c>
      <c r="H204" s="13" t="s">
        <v>1552</v>
      </c>
      <c r="I204" s="388"/>
      <c r="J204" s="40">
        <v>3</v>
      </c>
      <c r="K204" s="49" t="s">
        <v>375</v>
      </c>
      <c r="L204" s="314" t="s">
        <v>178</v>
      </c>
      <c r="M204" s="15" t="s">
        <v>179</v>
      </c>
      <c r="N204" s="69" t="s">
        <v>1923</v>
      </c>
      <c r="O204" s="13" t="s">
        <v>3</v>
      </c>
      <c r="P204" s="13" t="s">
        <v>4</v>
      </c>
      <c r="Q204" s="22" t="s">
        <v>1118</v>
      </c>
      <c r="R204" s="26" t="s">
        <v>495</v>
      </c>
      <c r="S204" s="26" t="s">
        <v>499</v>
      </c>
      <c r="T204" s="13" t="s">
        <v>1387</v>
      </c>
      <c r="U204" s="13" t="s">
        <v>479</v>
      </c>
      <c r="V204" s="175" t="s">
        <v>500</v>
      </c>
      <c r="W204" s="175"/>
      <c r="X204" s="175"/>
      <c r="Y204" s="175"/>
      <c r="Z204" s="175"/>
      <c r="AA204" s="86"/>
      <c r="AB204" s="87">
        <v>402475.28</v>
      </c>
      <c r="AC204" s="86">
        <v>402475.28</v>
      </c>
      <c r="AD204" s="86">
        <v>402475.28</v>
      </c>
      <c r="AE204" s="29">
        <v>0</v>
      </c>
      <c r="AF204" s="29">
        <f t="shared" si="100"/>
        <v>402475.28</v>
      </c>
      <c r="AG204" s="25">
        <v>0.12</v>
      </c>
      <c r="AH204" s="29">
        <f t="shared" si="82"/>
        <v>48297.033600000002</v>
      </c>
      <c r="AI204" s="29">
        <f t="shared" si="93"/>
        <v>0</v>
      </c>
      <c r="AJ204" s="29">
        <f t="shared" si="83"/>
        <v>450772.31360000005</v>
      </c>
      <c r="AK204" s="29">
        <v>397905.38</v>
      </c>
      <c r="AL204" s="29">
        <f>AB204-AK204</f>
        <v>4569.9000000000233</v>
      </c>
      <c r="AM204" s="29"/>
      <c r="AN204" s="86">
        <v>500345.14</v>
      </c>
      <c r="AO204" s="86">
        <v>500345.14</v>
      </c>
      <c r="AP204" s="86">
        <v>402475.27</v>
      </c>
      <c r="AQ204" s="86">
        <v>402475.27</v>
      </c>
      <c r="AR204" s="86"/>
      <c r="AS204" s="86"/>
      <c r="AT204" s="86"/>
      <c r="AU204" s="86"/>
      <c r="AV204" s="86"/>
      <c r="AW204" s="86"/>
      <c r="AX204" s="86"/>
      <c r="AY204" s="86"/>
      <c r="AZ204" s="86"/>
      <c r="BA204" s="86"/>
      <c r="BB204" s="86"/>
      <c r="BC204" s="86"/>
      <c r="BD204" s="86"/>
      <c r="BE204" s="86"/>
      <c r="BF204" s="29">
        <f t="shared" si="97"/>
        <v>1.0000000009313226E-2</v>
      </c>
      <c r="BG204" s="29">
        <f t="shared" si="94"/>
        <v>1.0000000009313226E-2</v>
      </c>
      <c r="BH204" s="37" t="s">
        <v>594</v>
      </c>
      <c r="BI204" s="29" t="s">
        <v>570</v>
      </c>
      <c r="BJ204" s="29" t="s">
        <v>570</v>
      </c>
      <c r="BK204" s="29" t="s">
        <v>570</v>
      </c>
      <c r="BL204" s="29" t="s">
        <v>570</v>
      </c>
      <c r="BM204" s="29" t="s">
        <v>570</v>
      </c>
      <c r="BN204" s="102">
        <v>42205</v>
      </c>
      <c r="BO204" s="102">
        <v>42227</v>
      </c>
      <c r="BP204" s="102">
        <v>42234</v>
      </c>
      <c r="BQ204" s="102">
        <v>42236</v>
      </c>
      <c r="BR204" s="102" t="s">
        <v>570</v>
      </c>
      <c r="BS204" s="23">
        <v>42251</v>
      </c>
      <c r="BT204" s="23">
        <v>42258</v>
      </c>
      <c r="BU204" s="13" t="s">
        <v>570</v>
      </c>
      <c r="BV204" s="13" t="s">
        <v>570</v>
      </c>
      <c r="BW204" s="224" t="s">
        <v>570</v>
      </c>
      <c r="BX204" s="102" t="s">
        <v>570</v>
      </c>
      <c r="BY204" s="102" t="s">
        <v>570</v>
      </c>
      <c r="BZ204" s="13" t="s">
        <v>503</v>
      </c>
      <c r="CA204" s="23">
        <v>42346</v>
      </c>
      <c r="CB204" s="224" t="s">
        <v>570</v>
      </c>
      <c r="CC204" s="224" t="s">
        <v>570</v>
      </c>
      <c r="CD204" s="224" t="s">
        <v>570</v>
      </c>
      <c r="CE204" s="23"/>
      <c r="CF204" s="127" t="s">
        <v>829</v>
      </c>
      <c r="CG204" s="23"/>
      <c r="CH204" s="23"/>
      <c r="CI204" s="23"/>
      <c r="CJ204" s="23"/>
      <c r="CK204" s="23"/>
      <c r="CL204" s="23"/>
      <c r="CM204" s="23"/>
      <c r="CN204" s="23"/>
      <c r="CO204" s="23"/>
      <c r="CP204" s="23"/>
      <c r="CQ204" s="23"/>
      <c r="CR204" s="127" t="s">
        <v>829</v>
      </c>
      <c r="CS204" s="13" t="s">
        <v>570</v>
      </c>
      <c r="CT204" s="86"/>
      <c r="CU204" s="86"/>
      <c r="CV204" s="23">
        <v>42391</v>
      </c>
      <c r="CW204" s="30">
        <v>201237.63</v>
      </c>
      <c r="CX204" s="174" t="s">
        <v>1318</v>
      </c>
      <c r="CY204" s="23">
        <v>42692</v>
      </c>
      <c r="CZ204" s="30">
        <f>136312.54-68156.28-6815.63</f>
        <v>61340.630000000012</v>
      </c>
      <c r="DA204" s="170" t="s">
        <v>1319</v>
      </c>
      <c r="DB204" s="23">
        <v>42773</v>
      </c>
      <c r="DC204" s="30">
        <f>79571.38-39785.7-3978.57</f>
        <v>35807.110000000008</v>
      </c>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31">
        <f t="shared" si="96"/>
        <v>298385.37</v>
      </c>
      <c r="DZ204" s="13"/>
      <c r="EA204" s="13"/>
      <c r="EB204" s="13"/>
      <c r="EC204" s="13"/>
      <c r="ED204" s="13"/>
      <c r="EE204" s="13"/>
      <c r="EF204" s="13"/>
      <c r="EG204" s="13">
        <v>365</v>
      </c>
      <c r="EH204" s="13" t="s">
        <v>588</v>
      </c>
      <c r="EI204" s="23">
        <f t="shared" si="98"/>
        <v>42392</v>
      </c>
      <c r="EJ204" s="23">
        <f t="shared" si="99"/>
        <v>42757</v>
      </c>
      <c r="EK204" s="23"/>
      <c r="EL204" s="23"/>
      <c r="EM204" s="23"/>
      <c r="EN204" s="23"/>
      <c r="EO204" s="23"/>
      <c r="EP204" s="23"/>
      <c r="EQ204" s="23"/>
      <c r="ER204" s="23"/>
      <c r="ES204" s="23"/>
      <c r="ET204" s="23"/>
      <c r="EU204" s="23"/>
      <c r="EV204" s="23"/>
      <c r="EW204" s="23"/>
      <c r="EX204" s="23"/>
      <c r="EY204" s="23"/>
      <c r="EZ204" s="23"/>
      <c r="FA204" s="23"/>
      <c r="FB204" s="23"/>
      <c r="FC204" s="23"/>
      <c r="FD204" s="23"/>
      <c r="FE204" s="23"/>
      <c r="FF204" s="23"/>
      <c r="FG204" s="23"/>
      <c r="FH204" s="23"/>
      <c r="FI204" s="23"/>
      <c r="FJ204" s="23"/>
      <c r="FK204" s="23"/>
      <c r="FL204" s="23"/>
      <c r="FM204" s="23"/>
      <c r="FN204" s="23"/>
      <c r="FO204" s="23"/>
      <c r="FP204" s="23"/>
      <c r="FQ204" s="23"/>
      <c r="FR204" s="25">
        <v>0.2</v>
      </c>
      <c r="FS204" s="25">
        <v>0.2</v>
      </c>
      <c r="FT204" s="25">
        <v>0.2</v>
      </c>
      <c r="FU204" s="25">
        <v>0.5</v>
      </c>
      <c r="FV204" s="25">
        <v>0.51500000000000001</v>
      </c>
      <c r="FW204" s="25">
        <v>0.51500000000000001</v>
      </c>
      <c r="FX204" s="25">
        <v>0.51500000000000001</v>
      </c>
      <c r="FY204" s="25">
        <v>0.51500000000000001</v>
      </c>
      <c r="FZ204" s="25">
        <v>0.89</v>
      </c>
      <c r="GA204" s="25">
        <v>0.89</v>
      </c>
      <c r="GB204" s="25">
        <v>0.89</v>
      </c>
      <c r="GC204" s="25">
        <v>1</v>
      </c>
      <c r="GD204" s="25">
        <v>1</v>
      </c>
      <c r="GE204" s="25">
        <v>1</v>
      </c>
      <c r="GF204" s="25">
        <v>1</v>
      </c>
      <c r="GG204" s="25">
        <v>1</v>
      </c>
      <c r="GH204" s="25">
        <v>1</v>
      </c>
      <c r="GI204" s="25">
        <v>1</v>
      </c>
      <c r="GJ204" s="25">
        <v>1</v>
      </c>
      <c r="GK204" s="25">
        <v>1</v>
      </c>
      <c r="GL204" s="25">
        <v>1</v>
      </c>
      <c r="GM204" s="25">
        <v>1</v>
      </c>
      <c r="GN204" s="25">
        <v>1</v>
      </c>
      <c r="GO204" s="25">
        <v>1</v>
      </c>
      <c r="GP204" s="25">
        <v>1</v>
      </c>
      <c r="GQ204" s="25">
        <v>1</v>
      </c>
      <c r="GR204" s="25">
        <v>1</v>
      </c>
      <c r="GS204" s="25">
        <v>1</v>
      </c>
      <c r="GT204" s="25">
        <v>1</v>
      </c>
      <c r="GU204" s="25">
        <v>1</v>
      </c>
      <c r="GV204" s="25" t="s">
        <v>1588</v>
      </c>
      <c r="GW204" s="25" t="s">
        <v>1588</v>
      </c>
      <c r="GX204" s="25" t="s">
        <v>455</v>
      </c>
      <c r="GY204" s="25" t="s">
        <v>455</v>
      </c>
      <c r="GZ204" s="25" t="s">
        <v>455</v>
      </c>
      <c r="HA204" s="25" t="s">
        <v>455</v>
      </c>
      <c r="HB204" s="25" t="s">
        <v>455</v>
      </c>
      <c r="HC204" s="25" t="s">
        <v>455</v>
      </c>
      <c r="HD204" s="25" t="s">
        <v>455</v>
      </c>
      <c r="HE204" s="25" t="s">
        <v>455</v>
      </c>
      <c r="HF204" s="25" t="s">
        <v>455</v>
      </c>
      <c r="HG204" s="25" t="s">
        <v>455</v>
      </c>
      <c r="HH204" s="25" t="s">
        <v>455</v>
      </c>
      <c r="HI204" s="25"/>
      <c r="HJ204" s="25"/>
      <c r="HK204" s="25"/>
      <c r="HL204" s="25"/>
      <c r="HM204" s="84"/>
      <c r="HN204" s="84"/>
      <c r="HO204" s="84"/>
      <c r="HP204" s="84"/>
      <c r="HQ204" s="84"/>
      <c r="HR204" s="84"/>
      <c r="HS204" s="84"/>
      <c r="HT204" s="84"/>
      <c r="HU204" s="13"/>
      <c r="HV204" s="13"/>
      <c r="HW204" s="32"/>
      <c r="HX204" s="55"/>
      <c r="HY204" s="55"/>
      <c r="HZ204" s="55"/>
      <c r="IA204" s="55"/>
      <c r="IB204" s="55"/>
      <c r="IC204" s="55"/>
      <c r="ID204" s="55"/>
      <c r="IE204" s="55"/>
      <c r="IF204" s="107">
        <v>402475.28</v>
      </c>
      <c r="IG204" s="107">
        <v>397905.38</v>
      </c>
      <c r="IH204" s="250">
        <f t="shared" si="95"/>
        <v>0</v>
      </c>
      <c r="II204" s="55"/>
      <c r="IJ204" s="55"/>
      <c r="IK204" s="55"/>
      <c r="IL204" s="55"/>
      <c r="IM204" s="55"/>
      <c r="IN204" s="55"/>
      <c r="IO204" s="55"/>
      <c r="IP204" s="55"/>
      <c r="IQ204" s="55"/>
      <c r="IR204" s="55"/>
      <c r="IS204" s="55"/>
      <c r="IT204" s="55"/>
      <c r="IU204" s="55"/>
      <c r="IV204" s="55"/>
      <c r="IW204" s="55"/>
      <c r="IX204" s="55"/>
      <c r="IY204" s="55"/>
      <c r="IZ204" s="55"/>
      <c r="JA204" s="55"/>
      <c r="JB204" s="55"/>
      <c r="JC204" s="55"/>
      <c r="JD204" s="55">
        <v>2017</v>
      </c>
    </row>
    <row r="205" spans="1:264" s="5" customFormat="1" ht="48" hidden="1" customHeight="1">
      <c r="A205" s="26" t="s">
        <v>175</v>
      </c>
      <c r="B205" s="26" t="s">
        <v>27</v>
      </c>
      <c r="C205" s="13" t="s">
        <v>349</v>
      </c>
      <c r="D205" s="13" t="s">
        <v>380</v>
      </c>
      <c r="E205" s="16" t="s">
        <v>360</v>
      </c>
      <c r="F205" s="13" t="s">
        <v>360</v>
      </c>
      <c r="G205" s="39" t="s">
        <v>354</v>
      </c>
      <c r="H205" s="13" t="s">
        <v>1552</v>
      </c>
      <c r="I205" s="388"/>
      <c r="J205" s="40">
        <v>4</v>
      </c>
      <c r="K205" s="49" t="s">
        <v>375</v>
      </c>
      <c r="L205" s="314" t="s">
        <v>178</v>
      </c>
      <c r="M205" s="15" t="s">
        <v>179</v>
      </c>
      <c r="N205" s="69" t="s">
        <v>1924</v>
      </c>
      <c r="O205" s="13" t="s">
        <v>3</v>
      </c>
      <c r="P205" s="13" t="s">
        <v>4</v>
      </c>
      <c r="Q205" s="22" t="s">
        <v>1118</v>
      </c>
      <c r="R205" s="26" t="s">
        <v>496</v>
      </c>
      <c r="S205" s="26" t="s">
        <v>501</v>
      </c>
      <c r="T205" s="13" t="s">
        <v>1387</v>
      </c>
      <c r="U205" s="13" t="s">
        <v>479</v>
      </c>
      <c r="V205" s="175" t="s">
        <v>502</v>
      </c>
      <c r="W205" s="13" t="s">
        <v>969</v>
      </c>
      <c r="X205" s="13" t="s">
        <v>969</v>
      </c>
      <c r="Y205" s="13" t="s">
        <v>969</v>
      </c>
      <c r="Z205" s="13" t="s">
        <v>969</v>
      </c>
      <c r="AA205" s="86"/>
      <c r="AB205" s="87">
        <v>770149.21</v>
      </c>
      <c r="AC205" s="86">
        <v>770149.21</v>
      </c>
      <c r="AD205" s="86">
        <v>770149.21</v>
      </c>
      <c r="AE205" s="29">
        <v>0</v>
      </c>
      <c r="AF205" s="29">
        <f t="shared" si="100"/>
        <v>770149.21</v>
      </c>
      <c r="AG205" s="25">
        <v>0.12</v>
      </c>
      <c r="AH205" s="29">
        <f t="shared" si="82"/>
        <v>92417.905199999994</v>
      </c>
      <c r="AI205" s="29">
        <f t="shared" si="93"/>
        <v>0</v>
      </c>
      <c r="AJ205" s="29">
        <f t="shared" si="83"/>
        <v>862567.1152</v>
      </c>
      <c r="AK205" s="29">
        <v>733698.67999999993</v>
      </c>
      <c r="AL205" s="29">
        <f>AB205-AK205</f>
        <v>36450.530000000028</v>
      </c>
      <c r="AM205" s="29"/>
      <c r="AN205" s="86">
        <v>787351.01</v>
      </c>
      <c r="AO205" s="86">
        <v>787351.01</v>
      </c>
      <c r="AP205" s="86">
        <v>770149.21</v>
      </c>
      <c r="AQ205" s="86">
        <v>770149.21</v>
      </c>
      <c r="AR205" s="86"/>
      <c r="AS205" s="86"/>
      <c r="AT205" s="86"/>
      <c r="AU205" s="86"/>
      <c r="AV205" s="86"/>
      <c r="AW205" s="86"/>
      <c r="AX205" s="86"/>
      <c r="AY205" s="86"/>
      <c r="AZ205" s="86"/>
      <c r="BA205" s="86"/>
      <c r="BB205" s="86"/>
      <c r="BC205" s="86"/>
      <c r="BD205" s="86"/>
      <c r="BE205" s="86"/>
      <c r="BF205" s="29">
        <f t="shared" si="97"/>
        <v>0</v>
      </c>
      <c r="BG205" s="29">
        <f t="shared" si="94"/>
        <v>0</v>
      </c>
      <c r="BH205" s="37" t="s">
        <v>594</v>
      </c>
      <c r="BI205" s="29" t="s">
        <v>570</v>
      </c>
      <c r="BJ205" s="29" t="s">
        <v>570</v>
      </c>
      <c r="BK205" s="29" t="s">
        <v>570</v>
      </c>
      <c r="BL205" s="29" t="s">
        <v>570</v>
      </c>
      <c r="BM205" s="29" t="s">
        <v>570</v>
      </c>
      <c r="BN205" s="102">
        <v>42205</v>
      </c>
      <c r="BO205" s="102">
        <v>42227</v>
      </c>
      <c r="BP205" s="102">
        <v>42234</v>
      </c>
      <c r="BQ205" s="102">
        <v>42236</v>
      </c>
      <c r="BR205" s="102" t="s">
        <v>570</v>
      </c>
      <c r="BS205" s="23">
        <v>42251</v>
      </c>
      <c r="BT205" s="23">
        <v>42258</v>
      </c>
      <c r="BU205" s="13" t="s">
        <v>570</v>
      </c>
      <c r="BV205" s="13" t="s">
        <v>570</v>
      </c>
      <c r="BW205" s="224" t="s">
        <v>570</v>
      </c>
      <c r="BX205" s="102" t="s">
        <v>570</v>
      </c>
      <c r="BY205" s="102" t="s">
        <v>570</v>
      </c>
      <c r="BZ205" s="13" t="s">
        <v>503</v>
      </c>
      <c r="CA205" s="23">
        <v>42374</v>
      </c>
      <c r="CB205" s="224" t="s">
        <v>570</v>
      </c>
      <c r="CC205" s="224" t="s">
        <v>570</v>
      </c>
      <c r="CD205" s="224" t="s">
        <v>570</v>
      </c>
      <c r="CE205" s="23"/>
      <c r="CF205" s="127" t="s">
        <v>829</v>
      </c>
      <c r="CG205" s="23"/>
      <c r="CH205" s="23"/>
      <c r="CI205" s="23"/>
      <c r="CJ205" s="23"/>
      <c r="CK205" s="23"/>
      <c r="CL205" s="23"/>
      <c r="CM205" s="23"/>
      <c r="CN205" s="23"/>
      <c r="CO205" s="23"/>
      <c r="CP205" s="23"/>
      <c r="CQ205" s="23"/>
      <c r="CR205" s="127" t="s">
        <v>829</v>
      </c>
      <c r="CS205" s="13" t="s">
        <v>570</v>
      </c>
      <c r="CT205" s="86"/>
      <c r="CU205" s="86"/>
      <c r="CV205" s="23">
        <v>42391</v>
      </c>
      <c r="CW205" s="30">
        <v>385074.6</v>
      </c>
      <c r="CX205" s="242" t="s">
        <v>1320</v>
      </c>
      <c r="CY205" s="23">
        <v>42692</v>
      </c>
      <c r="CZ205" s="30">
        <f>157329.52-78664.76-7866.48</f>
        <v>70798.28</v>
      </c>
      <c r="DA205" s="242" t="s">
        <v>1321</v>
      </c>
      <c r="DB205" s="23">
        <v>42748</v>
      </c>
      <c r="DC205" s="30">
        <f>112151.34-56075.67-5607.57</f>
        <v>50468.1</v>
      </c>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31">
        <f t="shared" si="96"/>
        <v>506340.98</v>
      </c>
      <c r="DZ205" s="13"/>
      <c r="EA205" s="13"/>
      <c r="EB205" s="13"/>
      <c r="EC205" s="13"/>
      <c r="ED205" s="13"/>
      <c r="EE205" s="13"/>
      <c r="EF205" s="13"/>
      <c r="EG205" s="13">
        <v>365</v>
      </c>
      <c r="EH205" s="13" t="s">
        <v>588</v>
      </c>
      <c r="EI205" s="23">
        <f t="shared" si="98"/>
        <v>42392</v>
      </c>
      <c r="EJ205" s="23">
        <f t="shared" si="99"/>
        <v>42757</v>
      </c>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5">
        <v>0.2</v>
      </c>
      <c r="FS205" s="25">
        <v>0.2</v>
      </c>
      <c r="FT205" s="25">
        <v>0.5</v>
      </c>
      <c r="FU205" s="25">
        <v>0.5</v>
      </c>
      <c r="FV205" s="25">
        <v>0.54</v>
      </c>
      <c r="FW205" s="25">
        <v>0.54</v>
      </c>
      <c r="FX205" s="25">
        <v>0.54</v>
      </c>
      <c r="FY205" s="25">
        <v>0.8</v>
      </c>
      <c r="FZ205" s="25">
        <v>0.8</v>
      </c>
      <c r="GA205" s="25">
        <v>0.8</v>
      </c>
      <c r="GB205" s="25">
        <v>0.8</v>
      </c>
      <c r="GC205" s="25">
        <v>1</v>
      </c>
      <c r="GD205" s="25">
        <v>1</v>
      </c>
      <c r="GE205" s="25">
        <v>1</v>
      </c>
      <c r="GF205" s="25">
        <v>1</v>
      </c>
      <c r="GG205" s="25">
        <v>1</v>
      </c>
      <c r="GH205" s="25">
        <v>1</v>
      </c>
      <c r="GI205" s="25">
        <v>1</v>
      </c>
      <c r="GJ205" s="25">
        <v>1</v>
      </c>
      <c r="GK205" s="25">
        <v>1</v>
      </c>
      <c r="GL205" s="25">
        <v>1</v>
      </c>
      <c r="GM205" s="25">
        <v>1</v>
      </c>
      <c r="GN205" s="25">
        <v>1</v>
      </c>
      <c r="GO205" s="25">
        <v>1</v>
      </c>
      <c r="GP205" s="25">
        <v>1</v>
      </c>
      <c r="GQ205" s="25">
        <v>1</v>
      </c>
      <c r="GR205" s="25">
        <v>1</v>
      </c>
      <c r="GS205" s="25">
        <v>1</v>
      </c>
      <c r="GT205" s="25">
        <v>1</v>
      </c>
      <c r="GU205" s="25">
        <v>1</v>
      </c>
      <c r="GV205" s="25" t="s">
        <v>1588</v>
      </c>
      <c r="GW205" s="25" t="s">
        <v>1588</v>
      </c>
      <c r="GX205" s="25" t="s">
        <v>455</v>
      </c>
      <c r="GY205" s="25" t="s">
        <v>455</v>
      </c>
      <c r="GZ205" s="25" t="s">
        <v>455</v>
      </c>
      <c r="HA205" s="25" t="s">
        <v>455</v>
      </c>
      <c r="HB205" s="25" t="s">
        <v>455</v>
      </c>
      <c r="HC205" s="25" t="s">
        <v>455</v>
      </c>
      <c r="HD205" s="25" t="s">
        <v>455</v>
      </c>
      <c r="HE205" s="25" t="s">
        <v>455</v>
      </c>
      <c r="HF205" s="25" t="s">
        <v>455</v>
      </c>
      <c r="HG205" s="25" t="s">
        <v>455</v>
      </c>
      <c r="HH205" s="25" t="s">
        <v>455</v>
      </c>
      <c r="HI205" s="25"/>
      <c r="HJ205" s="25"/>
      <c r="HK205" s="25"/>
      <c r="HL205" s="25"/>
      <c r="HM205" s="84"/>
      <c r="HN205" s="84"/>
      <c r="HO205" s="84"/>
      <c r="HP205" s="84"/>
      <c r="HQ205" s="84"/>
      <c r="HR205" s="84"/>
      <c r="HS205" s="84"/>
      <c r="HT205" s="84"/>
      <c r="HU205" s="13"/>
      <c r="HV205" s="13"/>
      <c r="HW205" s="32"/>
      <c r="HX205" s="55"/>
      <c r="HY205" s="55"/>
      <c r="HZ205" s="55"/>
      <c r="IA205" s="55"/>
      <c r="IB205" s="55"/>
      <c r="IC205" s="55"/>
      <c r="ID205" s="55"/>
      <c r="IE205" s="55"/>
      <c r="IF205" s="107">
        <v>770149.21</v>
      </c>
      <c r="IG205" s="107">
        <v>733698.67999999993</v>
      </c>
      <c r="IH205" s="250">
        <f t="shared" si="95"/>
        <v>0</v>
      </c>
      <c r="II205" s="55"/>
      <c r="IJ205" s="55"/>
      <c r="IK205" s="55"/>
      <c r="IL205" s="55"/>
      <c r="IM205" s="55"/>
      <c r="IN205" s="55"/>
      <c r="IO205" s="55"/>
      <c r="IP205" s="55"/>
      <c r="IQ205" s="55"/>
      <c r="IR205" s="55"/>
      <c r="IS205" s="55"/>
      <c r="IT205" s="55"/>
      <c r="IU205" s="55"/>
      <c r="IV205" s="55"/>
      <c r="IW205" s="55"/>
      <c r="IX205" s="55"/>
      <c r="IY205" s="55"/>
      <c r="IZ205" s="55"/>
      <c r="JA205" s="55"/>
      <c r="JB205" s="55"/>
      <c r="JC205" s="55"/>
      <c r="JD205" s="55">
        <v>2017</v>
      </c>
    </row>
    <row r="206" spans="1:264" s="5" customFormat="1" ht="55.5" hidden="1" customHeight="1">
      <c r="A206" s="26" t="s">
        <v>175</v>
      </c>
      <c r="B206" s="26" t="s">
        <v>27</v>
      </c>
      <c r="C206" s="13" t="s">
        <v>349</v>
      </c>
      <c r="D206" s="13" t="s">
        <v>380</v>
      </c>
      <c r="E206" s="16" t="s">
        <v>360</v>
      </c>
      <c r="F206" s="13" t="s">
        <v>360</v>
      </c>
      <c r="G206" s="39" t="s">
        <v>354</v>
      </c>
      <c r="H206" s="13" t="s">
        <v>1552</v>
      </c>
      <c r="I206" s="47" t="s">
        <v>929</v>
      </c>
      <c r="J206" s="40">
        <v>9</v>
      </c>
      <c r="K206" s="49" t="s">
        <v>375</v>
      </c>
      <c r="L206" s="314" t="s">
        <v>180</v>
      </c>
      <c r="M206" s="15" t="s">
        <v>181</v>
      </c>
      <c r="N206" s="69" t="s">
        <v>1925</v>
      </c>
      <c r="O206" s="13" t="s">
        <v>3</v>
      </c>
      <c r="P206" s="13" t="s">
        <v>4</v>
      </c>
      <c r="Q206" s="22" t="s">
        <v>1118</v>
      </c>
      <c r="R206" s="22" t="s">
        <v>505</v>
      </c>
      <c r="S206" s="13" t="s">
        <v>504</v>
      </c>
      <c r="T206" s="13" t="s">
        <v>1387</v>
      </c>
      <c r="U206" s="13" t="s">
        <v>479</v>
      </c>
      <c r="V206" s="173" t="s">
        <v>506</v>
      </c>
      <c r="W206" s="173"/>
      <c r="X206" s="173"/>
      <c r="Y206" s="173"/>
      <c r="Z206" s="173"/>
      <c r="AA206" s="86"/>
      <c r="AB206" s="87">
        <v>381888.6</v>
      </c>
      <c r="AC206" s="86">
        <v>381888.6</v>
      </c>
      <c r="AD206" s="86">
        <v>381888.6</v>
      </c>
      <c r="AE206" s="29">
        <v>0</v>
      </c>
      <c r="AF206" s="29">
        <f t="shared" si="100"/>
        <v>381888.6</v>
      </c>
      <c r="AG206" s="25">
        <v>0.12</v>
      </c>
      <c r="AH206" s="29">
        <f t="shared" si="82"/>
        <v>45826.631999999998</v>
      </c>
      <c r="AI206" s="29">
        <f t="shared" si="93"/>
        <v>0</v>
      </c>
      <c r="AJ206" s="29">
        <f t="shared" si="83"/>
        <v>427715.23200000002</v>
      </c>
      <c r="AK206" s="29">
        <v>381758.29</v>
      </c>
      <c r="AL206" s="29">
        <f>AB206-AK206</f>
        <v>130.30999999999767</v>
      </c>
      <c r="AM206" s="29"/>
      <c r="AN206" s="86">
        <v>399319.22</v>
      </c>
      <c r="AO206" s="86">
        <v>399319.22</v>
      </c>
      <c r="AP206" s="86">
        <v>381888.6</v>
      </c>
      <c r="AQ206" s="86">
        <v>381888.6</v>
      </c>
      <c r="AR206" s="86"/>
      <c r="AS206" s="86"/>
      <c r="AT206" s="86"/>
      <c r="AU206" s="86"/>
      <c r="AV206" s="86"/>
      <c r="AW206" s="86"/>
      <c r="AX206" s="86"/>
      <c r="AY206" s="86"/>
      <c r="AZ206" s="86"/>
      <c r="BA206" s="86"/>
      <c r="BB206" s="86"/>
      <c r="BC206" s="86"/>
      <c r="BD206" s="86"/>
      <c r="BE206" s="86"/>
      <c r="BF206" s="29">
        <f t="shared" si="97"/>
        <v>0</v>
      </c>
      <c r="BG206" s="29">
        <f t="shared" si="94"/>
        <v>0</v>
      </c>
      <c r="BH206" s="37" t="s">
        <v>594</v>
      </c>
      <c r="BI206" s="29" t="s">
        <v>570</v>
      </c>
      <c r="BJ206" s="29" t="s">
        <v>570</v>
      </c>
      <c r="BK206" s="29" t="s">
        <v>570</v>
      </c>
      <c r="BL206" s="29" t="s">
        <v>570</v>
      </c>
      <c r="BM206" s="29" t="s">
        <v>570</v>
      </c>
      <c r="BN206" s="23">
        <v>42206</v>
      </c>
      <c r="BO206" s="23">
        <v>42228</v>
      </c>
      <c r="BP206" s="23">
        <v>42235</v>
      </c>
      <c r="BQ206" s="23">
        <v>42237</v>
      </c>
      <c r="BR206" s="102" t="s">
        <v>570</v>
      </c>
      <c r="BS206" s="23">
        <v>42254</v>
      </c>
      <c r="BT206" s="23">
        <v>42261</v>
      </c>
      <c r="BU206" s="13" t="s">
        <v>570</v>
      </c>
      <c r="BV206" s="13" t="s">
        <v>570</v>
      </c>
      <c r="BW206" s="224" t="s">
        <v>570</v>
      </c>
      <c r="BX206" s="102" t="s">
        <v>570</v>
      </c>
      <c r="BY206" s="102" t="s">
        <v>570</v>
      </c>
      <c r="BZ206" s="13" t="s">
        <v>503</v>
      </c>
      <c r="CA206" s="23">
        <v>42335</v>
      </c>
      <c r="CB206" s="224" t="s">
        <v>570</v>
      </c>
      <c r="CC206" s="224" t="s">
        <v>570</v>
      </c>
      <c r="CD206" s="224" t="s">
        <v>570</v>
      </c>
      <c r="CE206" s="23"/>
      <c r="CF206" s="127" t="s">
        <v>829</v>
      </c>
      <c r="CG206" s="23"/>
      <c r="CH206" s="23"/>
      <c r="CI206" s="23"/>
      <c r="CJ206" s="23"/>
      <c r="CK206" s="23"/>
      <c r="CL206" s="23"/>
      <c r="CM206" s="23"/>
      <c r="CN206" s="23"/>
      <c r="CO206" s="23"/>
      <c r="CP206" s="23"/>
      <c r="CQ206" s="23"/>
      <c r="CR206" s="127" t="s">
        <v>829</v>
      </c>
      <c r="CS206" s="13" t="s">
        <v>570</v>
      </c>
      <c r="CT206" s="86"/>
      <c r="CU206" s="86"/>
      <c r="CV206" s="23">
        <v>42362</v>
      </c>
      <c r="CW206" s="30">
        <f>AQ206*0.5</f>
        <v>190944.3</v>
      </c>
      <c r="CX206" s="171" t="s">
        <v>1018</v>
      </c>
      <c r="CY206" s="23">
        <v>42698</v>
      </c>
      <c r="CZ206" s="30">
        <f>102423.48-51211.77-5121.17</f>
        <v>46090.54</v>
      </c>
      <c r="DA206" s="171" t="s">
        <v>1019</v>
      </c>
      <c r="DB206" s="23">
        <v>42733</v>
      </c>
      <c r="DC206" s="30">
        <f>90945.74-45472.91-4547.29</f>
        <v>40925.54</v>
      </c>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31">
        <f t="shared" si="96"/>
        <v>277960.38</v>
      </c>
      <c r="DZ206" s="13"/>
      <c r="EA206" s="13"/>
      <c r="EB206" s="13"/>
      <c r="EC206" s="13"/>
      <c r="ED206" s="13"/>
      <c r="EE206" s="13"/>
      <c r="EF206" s="13"/>
      <c r="EG206" s="13">
        <v>365</v>
      </c>
      <c r="EH206" s="13" t="s">
        <v>588</v>
      </c>
      <c r="EI206" s="23">
        <f t="shared" si="98"/>
        <v>42363</v>
      </c>
      <c r="EJ206" s="23">
        <f t="shared" si="99"/>
        <v>42728</v>
      </c>
      <c r="EK206" s="23"/>
      <c r="EL206" s="23"/>
      <c r="EM206" s="23"/>
      <c r="EN206" s="23"/>
      <c r="EO206" s="23"/>
      <c r="EP206" s="23"/>
      <c r="EQ206" s="23"/>
      <c r="ER206" s="23"/>
      <c r="ES206" s="23"/>
      <c r="ET206" s="23"/>
      <c r="EU206" s="23"/>
      <c r="EV206" s="23"/>
      <c r="EW206" s="23"/>
      <c r="EX206" s="23"/>
      <c r="EY206" s="23"/>
      <c r="EZ206" s="23"/>
      <c r="FA206" s="23"/>
      <c r="FB206" s="23"/>
      <c r="FC206" s="23"/>
      <c r="FD206" s="23"/>
      <c r="FE206" s="23"/>
      <c r="FF206" s="23"/>
      <c r="FG206" s="23"/>
      <c r="FH206" s="23"/>
      <c r="FI206" s="23"/>
      <c r="FJ206" s="23"/>
      <c r="FK206" s="23"/>
      <c r="FL206" s="23"/>
      <c r="FM206" s="23"/>
      <c r="FN206" s="23"/>
      <c r="FO206" s="23"/>
      <c r="FP206" s="23"/>
      <c r="FQ206" s="23"/>
      <c r="FR206" s="25">
        <v>0.2</v>
      </c>
      <c r="FS206" s="25">
        <v>0.5</v>
      </c>
      <c r="FT206" s="25">
        <v>0.5</v>
      </c>
      <c r="FU206" s="25">
        <v>0.5</v>
      </c>
      <c r="FV206" s="25">
        <v>0.7</v>
      </c>
      <c r="FW206" s="25">
        <v>0.7</v>
      </c>
      <c r="FX206" s="25">
        <v>0.7</v>
      </c>
      <c r="FY206" s="25">
        <v>0.9</v>
      </c>
      <c r="FZ206" s="25">
        <v>1</v>
      </c>
      <c r="GA206" s="25">
        <v>1</v>
      </c>
      <c r="GB206" s="25">
        <v>1</v>
      </c>
      <c r="GC206" s="25">
        <v>1</v>
      </c>
      <c r="GD206" s="25">
        <v>1</v>
      </c>
      <c r="GE206" s="25">
        <v>1</v>
      </c>
      <c r="GF206" s="25">
        <v>1</v>
      </c>
      <c r="GG206" s="25">
        <v>1</v>
      </c>
      <c r="GH206" s="25">
        <v>1</v>
      </c>
      <c r="GI206" s="25">
        <v>1</v>
      </c>
      <c r="GJ206" s="25">
        <v>1</v>
      </c>
      <c r="GK206" s="25">
        <v>1</v>
      </c>
      <c r="GL206" s="25">
        <v>1</v>
      </c>
      <c r="GM206" s="25">
        <v>1</v>
      </c>
      <c r="GN206" s="25">
        <v>1</v>
      </c>
      <c r="GO206" s="25">
        <v>1</v>
      </c>
      <c r="GP206" s="25">
        <v>1</v>
      </c>
      <c r="GQ206" s="25">
        <v>1</v>
      </c>
      <c r="GR206" s="25">
        <v>1</v>
      </c>
      <c r="GS206" s="25">
        <v>1</v>
      </c>
      <c r="GT206" s="25">
        <v>1</v>
      </c>
      <c r="GU206" s="25">
        <v>1</v>
      </c>
      <c r="GV206" s="25" t="s">
        <v>455</v>
      </c>
      <c r="GW206" s="25" t="s">
        <v>455</v>
      </c>
      <c r="GX206" s="25" t="s">
        <v>455</v>
      </c>
      <c r="GY206" s="25" t="s">
        <v>455</v>
      </c>
      <c r="GZ206" s="25" t="s">
        <v>455</v>
      </c>
      <c r="HA206" s="25" t="s">
        <v>455</v>
      </c>
      <c r="HB206" s="25" t="s">
        <v>455</v>
      </c>
      <c r="HC206" s="25" t="s">
        <v>455</v>
      </c>
      <c r="HD206" s="25" t="s">
        <v>455</v>
      </c>
      <c r="HE206" s="25" t="s">
        <v>455</v>
      </c>
      <c r="HF206" s="25" t="s">
        <v>455</v>
      </c>
      <c r="HG206" s="25" t="s">
        <v>455</v>
      </c>
      <c r="HH206" s="25" t="s">
        <v>455</v>
      </c>
      <c r="HI206" s="25"/>
      <c r="HJ206" s="25"/>
      <c r="HK206" s="25"/>
      <c r="HL206" s="25"/>
      <c r="HM206" s="84"/>
      <c r="HN206" s="84"/>
      <c r="HO206" s="84"/>
      <c r="HP206" s="84"/>
      <c r="HQ206" s="84"/>
      <c r="HR206" s="84"/>
      <c r="HS206" s="84"/>
      <c r="HT206" s="84"/>
      <c r="HU206" s="13"/>
      <c r="HV206" s="13"/>
      <c r="HW206" s="32"/>
      <c r="HX206" s="55"/>
      <c r="HY206" s="55"/>
      <c r="HZ206" s="55"/>
      <c r="IA206" s="55"/>
      <c r="IB206" s="55"/>
      <c r="IC206" s="55"/>
      <c r="ID206" s="55"/>
      <c r="IE206" s="55"/>
      <c r="IF206" s="107">
        <v>381888.6</v>
      </c>
      <c r="IG206" s="107">
        <v>381758.29</v>
      </c>
      <c r="IH206" s="250">
        <f t="shared" si="95"/>
        <v>0</v>
      </c>
      <c r="II206" s="55"/>
      <c r="IJ206" s="55"/>
      <c r="IK206" s="55"/>
      <c r="IL206" s="55"/>
      <c r="IM206" s="55"/>
      <c r="IN206" s="55"/>
      <c r="IO206" s="55"/>
      <c r="IP206" s="55"/>
      <c r="IQ206" s="55"/>
      <c r="IR206" s="55"/>
      <c r="IS206" s="55"/>
      <c r="IT206" s="55"/>
      <c r="IU206" s="55"/>
      <c r="IV206" s="55"/>
      <c r="IW206" s="55"/>
      <c r="IX206" s="55"/>
      <c r="IY206" s="55"/>
      <c r="IZ206" s="55"/>
      <c r="JA206" s="55"/>
      <c r="JB206" s="55"/>
      <c r="JC206" s="55"/>
      <c r="JD206" s="55">
        <v>2017</v>
      </c>
    </row>
    <row r="207" spans="1:264" s="5" customFormat="1" ht="48" hidden="1" customHeight="1">
      <c r="A207" s="26" t="s">
        <v>175</v>
      </c>
      <c r="B207" s="26" t="s">
        <v>27</v>
      </c>
      <c r="C207" s="13" t="s">
        <v>349</v>
      </c>
      <c r="D207" s="13" t="s">
        <v>380</v>
      </c>
      <c r="E207" s="16" t="s">
        <v>360</v>
      </c>
      <c r="F207" s="13" t="s">
        <v>360</v>
      </c>
      <c r="G207" s="39" t="s">
        <v>354</v>
      </c>
      <c r="H207" s="13" t="s">
        <v>1552</v>
      </c>
      <c r="I207" s="47" t="s">
        <v>930</v>
      </c>
      <c r="J207" s="40">
        <v>10</v>
      </c>
      <c r="K207" s="49" t="s">
        <v>375</v>
      </c>
      <c r="L207" s="314" t="s">
        <v>180</v>
      </c>
      <c r="M207" s="15" t="s">
        <v>181</v>
      </c>
      <c r="N207" s="47" t="s">
        <v>1926</v>
      </c>
      <c r="O207" s="13"/>
      <c r="P207" s="13" t="s">
        <v>4</v>
      </c>
      <c r="Q207" s="22" t="s">
        <v>794</v>
      </c>
      <c r="R207" s="22"/>
      <c r="S207" s="13"/>
      <c r="T207" s="13"/>
      <c r="U207" s="26"/>
      <c r="V207" s="173"/>
      <c r="W207" s="173"/>
      <c r="X207" s="173"/>
      <c r="Y207" s="173"/>
      <c r="Z207" s="173"/>
      <c r="AA207" s="86"/>
      <c r="AB207" s="87">
        <v>0</v>
      </c>
      <c r="AC207" s="29">
        <v>0</v>
      </c>
      <c r="AD207" s="86"/>
      <c r="AE207" s="29">
        <v>0</v>
      </c>
      <c r="AF207" s="29">
        <f t="shared" si="100"/>
        <v>0</v>
      </c>
      <c r="AG207" s="25">
        <v>0.12</v>
      </c>
      <c r="AH207" s="29">
        <f t="shared" si="82"/>
        <v>0</v>
      </c>
      <c r="AI207" s="29">
        <f t="shared" si="93"/>
        <v>0</v>
      </c>
      <c r="AJ207" s="29">
        <f t="shared" si="83"/>
        <v>0</v>
      </c>
      <c r="AK207" s="29"/>
      <c r="AL207" s="29"/>
      <c r="AM207" s="29"/>
      <c r="AN207" s="86"/>
      <c r="AO207" s="86"/>
      <c r="AP207" s="86"/>
      <c r="AQ207" s="86"/>
      <c r="AR207" s="86"/>
      <c r="AS207" s="86"/>
      <c r="AT207" s="86"/>
      <c r="AU207" s="86"/>
      <c r="AV207" s="86"/>
      <c r="AW207" s="86"/>
      <c r="AX207" s="86"/>
      <c r="AY207" s="86"/>
      <c r="AZ207" s="86"/>
      <c r="BA207" s="86"/>
      <c r="BB207" s="86"/>
      <c r="BC207" s="86"/>
      <c r="BD207" s="86"/>
      <c r="BE207" s="86"/>
      <c r="BF207" s="86"/>
      <c r="BG207" s="29">
        <f t="shared" si="94"/>
        <v>0</v>
      </c>
      <c r="BH207" s="37"/>
      <c r="BI207" s="37"/>
      <c r="BJ207" s="29" t="s">
        <v>570</v>
      </c>
      <c r="BK207" s="29" t="s">
        <v>570</v>
      </c>
      <c r="BL207" s="29" t="s">
        <v>570</v>
      </c>
      <c r="BM207" s="29" t="s">
        <v>570</v>
      </c>
      <c r="BN207" s="23"/>
      <c r="BO207" s="23"/>
      <c r="BP207" s="23"/>
      <c r="BQ207" s="23"/>
      <c r="BR207" s="102"/>
      <c r="BS207" s="23"/>
      <c r="BT207" s="23"/>
      <c r="BU207" s="13" t="s">
        <v>570</v>
      </c>
      <c r="BV207" s="13" t="s">
        <v>570</v>
      </c>
      <c r="BW207" s="102"/>
      <c r="BX207" s="102"/>
      <c r="BY207" s="102"/>
      <c r="BZ207" s="13"/>
      <c r="CA207" s="23"/>
      <c r="CB207" s="23"/>
      <c r="CC207" s="23"/>
      <c r="CD207" s="23"/>
      <c r="CE207" s="23"/>
      <c r="CF207" s="23"/>
      <c r="CG207" s="23"/>
      <c r="CH207" s="23"/>
      <c r="CI207" s="23"/>
      <c r="CJ207" s="23"/>
      <c r="CK207" s="23"/>
      <c r="CL207" s="23"/>
      <c r="CM207" s="23"/>
      <c r="CN207" s="23"/>
      <c r="CO207" s="23"/>
      <c r="CP207" s="23"/>
      <c r="CQ207" s="23"/>
      <c r="CR207" s="23"/>
      <c r="CS207" s="23"/>
      <c r="CT207" s="86"/>
      <c r="CU207" s="86"/>
      <c r="CV207" s="23"/>
      <c r="CW207" s="30"/>
      <c r="CX207" s="30"/>
      <c r="CY207" s="23"/>
      <c r="CZ207" s="30"/>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31">
        <f t="shared" si="96"/>
        <v>0</v>
      </c>
      <c r="DZ207" s="13"/>
      <c r="EA207" s="13"/>
      <c r="EB207" s="13"/>
      <c r="EC207" s="13"/>
      <c r="ED207" s="13"/>
      <c r="EE207" s="13"/>
      <c r="EF207" s="13"/>
      <c r="EG207" s="13"/>
      <c r="EH207" s="13"/>
      <c r="EI207" s="23"/>
      <c r="EJ207" s="23"/>
      <c r="EK207" s="23"/>
      <c r="EL207" s="23"/>
      <c r="EM207" s="23"/>
      <c r="EN207" s="23"/>
      <c r="EO207" s="23"/>
      <c r="EP207" s="23"/>
      <c r="EQ207" s="23"/>
      <c r="ER207" s="23"/>
      <c r="ES207" s="23"/>
      <c r="ET207" s="23"/>
      <c r="EU207" s="23"/>
      <c r="EV207" s="23"/>
      <c r="EW207" s="23"/>
      <c r="EX207" s="23"/>
      <c r="EY207" s="23"/>
      <c r="EZ207" s="23"/>
      <c r="FA207" s="23"/>
      <c r="FB207" s="23"/>
      <c r="FC207" s="23"/>
      <c r="FD207" s="23"/>
      <c r="FE207" s="23"/>
      <c r="FF207" s="23"/>
      <c r="FG207" s="23"/>
      <c r="FH207" s="23"/>
      <c r="FI207" s="23"/>
      <c r="FJ207" s="23"/>
      <c r="FK207" s="23"/>
      <c r="FL207" s="23"/>
      <c r="FM207" s="23"/>
      <c r="FN207" s="23"/>
      <c r="FO207" s="23"/>
      <c r="FP207" s="23"/>
      <c r="FQ207" s="23"/>
      <c r="FR207" s="23"/>
      <c r="FS207" s="23"/>
      <c r="FT207" s="23"/>
      <c r="FU207" s="25"/>
      <c r="FV207" s="25">
        <v>1</v>
      </c>
      <c r="FW207" s="25">
        <v>1</v>
      </c>
      <c r="FX207" s="25">
        <v>1</v>
      </c>
      <c r="FY207" s="25">
        <v>0</v>
      </c>
      <c r="FZ207" s="25">
        <v>0</v>
      </c>
      <c r="GA207" s="25">
        <v>1</v>
      </c>
      <c r="GB207" s="25">
        <v>1</v>
      </c>
      <c r="GC207" s="25">
        <v>1</v>
      </c>
      <c r="GD207" s="25">
        <v>1</v>
      </c>
      <c r="GE207" s="25">
        <v>1</v>
      </c>
      <c r="GF207" s="25">
        <v>1</v>
      </c>
      <c r="GG207" s="25">
        <v>1</v>
      </c>
      <c r="GH207" s="25">
        <v>1</v>
      </c>
      <c r="GI207" s="25">
        <v>1</v>
      </c>
      <c r="GJ207" s="25">
        <v>1</v>
      </c>
      <c r="GK207" s="25">
        <v>1</v>
      </c>
      <c r="GL207" s="25">
        <v>1</v>
      </c>
      <c r="GM207" s="25">
        <v>1</v>
      </c>
      <c r="GN207" s="25">
        <v>1</v>
      </c>
      <c r="GO207" s="25">
        <v>1</v>
      </c>
      <c r="GP207" s="25">
        <v>1</v>
      </c>
      <c r="GQ207" s="25">
        <v>1</v>
      </c>
      <c r="GR207" s="25">
        <v>1</v>
      </c>
      <c r="GS207" s="25">
        <v>1</v>
      </c>
      <c r="GT207" s="25">
        <v>1</v>
      </c>
      <c r="GU207" s="25">
        <v>1</v>
      </c>
      <c r="GV207" s="25" t="s">
        <v>455</v>
      </c>
      <c r="GW207" s="25" t="s">
        <v>455</v>
      </c>
      <c r="GX207" s="25" t="s">
        <v>455</v>
      </c>
      <c r="GY207" s="25" t="s">
        <v>455</v>
      </c>
      <c r="GZ207" s="25" t="s">
        <v>455</v>
      </c>
      <c r="HA207" s="25" t="s">
        <v>455</v>
      </c>
      <c r="HB207" s="25" t="s">
        <v>455</v>
      </c>
      <c r="HC207" s="25" t="s">
        <v>455</v>
      </c>
      <c r="HD207" s="25" t="s">
        <v>455</v>
      </c>
      <c r="HE207" s="25" t="s">
        <v>455</v>
      </c>
      <c r="HF207" s="25" t="s">
        <v>455</v>
      </c>
      <c r="HG207" s="25" t="s">
        <v>455</v>
      </c>
      <c r="HH207" s="25" t="s">
        <v>455</v>
      </c>
      <c r="HI207" s="25"/>
      <c r="HJ207" s="25"/>
      <c r="HK207" s="25"/>
      <c r="HL207" s="25"/>
      <c r="HM207" s="84"/>
      <c r="HN207" s="84"/>
      <c r="HO207" s="84"/>
      <c r="HP207" s="84"/>
      <c r="HQ207" s="84"/>
      <c r="HR207" s="84"/>
      <c r="HS207" s="84"/>
      <c r="HT207" s="84"/>
      <c r="HU207" s="13" t="s">
        <v>1515</v>
      </c>
      <c r="HV207" s="13"/>
      <c r="HW207" s="32"/>
      <c r="HX207" s="55"/>
      <c r="HY207" s="55"/>
      <c r="HZ207" s="55"/>
      <c r="IA207" s="55"/>
      <c r="IB207" s="55"/>
      <c r="IC207" s="55"/>
      <c r="ID207" s="55"/>
      <c r="IE207" s="55"/>
      <c r="IF207" s="107">
        <v>0</v>
      </c>
      <c r="IG207" s="107"/>
      <c r="IH207" s="250">
        <f t="shared" si="95"/>
        <v>0</v>
      </c>
      <c r="II207" s="55"/>
      <c r="IJ207" s="55"/>
      <c r="IK207" s="55"/>
      <c r="IL207" s="55"/>
      <c r="IM207" s="55"/>
      <c r="IN207" s="55"/>
      <c r="IO207" s="55"/>
      <c r="IP207" s="55"/>
      <c r="IQ207" s="55"/>
      <c r="IR207" s="55"/>
      <c r="IS207" s="55"/>
      <c r="IT207" s="55"/>
      <c r="IU207" s="55"/>
      <c r="IV207" s="55"/>
      <c r="IW207" s="55"/>
      <c r="IX207" s="55"/>
      <c r="IY207" s="55"/>
      <c r="IZ207" s="55"/>
      <c r="JA207" s="55"/>
      <c r="JB207" s="55"/>
      <c r="JC207" s="55"/>
      <c r="JD207" s="55">
        <v>2017</v>
      </c>
    </row>
    <row r="208" spans="1:264" s="5" customFormat="1" ht="57" hidden="1" customHeight="1">
      <c r="A208" s="26" t="s">
        <v>175</v>
      </c>
      <c r="B208" s="26" t="s">
        <v>27</v>
      </c>
      <c r="C208" s="13" t="s">
        <v>349</v>
      </c>
      <c r="D208" s="13" t="s">
        <v>380</v>
      </c>
      <c r="E208" s="16" t="s">
        <v>360</v>
      </c>
      <c r="F208" s="13" t="s">
        <v>360</v>
      </c>
      <c r="G208" s="39" t="s">
        <v>354</v>
      </c>
      <c r="H208" s="13" t="s">
        <v>1552</v>
      </c>
      <c r="I208" s="313" t="s">
        <v>340</v>
      </c>
      <c r="J208" s="40">
        <v>6</v>
      </c>
      <c r="K208" s="49" t="s">
        <v>375</v>
      </c>
      <c r="L208" s="314" t="s">
        <v>182</v>
      </c>
      <c r="M208" s="15" t="s">
        <v>340</v>
      </c>
      <c r="N208" s="20" t="s">
        <v>1927</v>
      </c>
      <c r="O208" s="13" t="s">
        <v>3</v>
      </c>
      <c r="P208" s="13" t="s">
        <v>4</v>
      </c>
      <c r="Q208" s="22" t="s">
        <v>1118</v>
      </c>
      <c r="R208" s="13" t="s">
        <v>536</v>
      </c>
      <c r="S208" s="26" t="s">
        <v>507</v>
      </c>
      <c r="T208" s="13" t="s">
        <v>1387</v>
      </c>
      <c r="U208" s="13" t="s">
        <v>477</v>
      </c>
      <c r="V208" s="173" t="s">
        <v>508</v>
      </c>
      <c r="W208" s="13" t="s">
        <v>969</v>
      </c>
      <c r="X208" s="13" t="s">
        <v>969</v>
      </c>
      <c r="Y208" s="13" t="s">
        <v>969</v>
      </c>
      <c r="Z208" s="13" t="s">
        <v>969</v>
      </c>
      <c r="AA208" s="29"/>
      <c r="AB208" s="29">
        <v>264108.08</v>
      </c>
      <c r="AC208" s="29">
        <v>0</v>
      </c>
      <c r="AD208" s="29">
        <v>264108.08</v>
      </c>
      <c r="AE208" s="29">
        <v>0</v>
      </c>
      <c r="AF208" s="29">
        <f t="shared" si="100"/>
        <v>264108.08</v>
      </c>
      <c r="AG208" s="25">
        <v>0.12</v>
      </c>
      <c r="AH208" s="29">
        <f t="shared" si="82"/>
        <v>31692.9696</v>
      </c>
      <c r="AI208" s="29">
        <f t="shared" si="93"/>
        <v>0</v>
      </c>
      <c r="AJ208" s="29">
        <f t="shared" si="83"/>
        <v>295801.04960000003</v>
      </c>
      <c r="AK208" s="29">
        <v>264100.57</v>
      </c>
      <c r="AL208" s="29">
        <f>AB208-AK208</f>
        <v>7.5100000000093132</v>
      </c>
      <c r="AM208" s="126"/>
      <c r="AN208" s="86"/>
      <c r="AO208" s="86">
        <v>287280.43</v>
      </c>
      <c r="AP208" s="29"/>
      <c r="AQ208" s="29">
        <v>264108.08</v>
      </c>
      <c r="AR208" s="29"/>
      <c r="AS208" s="29"/>
      <c r="AT208" s="29"/>
      <c r="AU208" s="29"/>
      <c r="AV208" s="29"/>
      <c r="AW208" s="29"/>
      <c r="AX208" s="29"/>
      <c r="AY208" s="29"/>
      <c r="AZ208" s="29"/>
      <c r="BA208" s="29"/>
      <c r="BB208" s="29"/>
      <c r="BC208" s="29"/>
      <c r="BD208" s="29"/>
      <c r="BE208" s="29"/>
      <c r="BF208" s="29">
        <f>AB208-AQ208</f>
        <v>0</v>
      </c>
      <c r="BG208" s="29">
        <f t="shared" si="94"/>
        <v>0</v>
      </c>
      <c r="BH208" s="37" t="s">
        <v>594</v>
      </c>
      <c r="BI208" s="29" t="s">
        <v>570</v>
      </c>
      <c r="BJ208" s="29" t="s">
        <v>570</v>
      </c>
      <c r="BK208" s="29" t="s">
        <v>570</v>
      </c>
      <c r="BL208" s="29" t="s">
        <v>570</v>
      </c>
      <c r="BM208" s="29" t="s">
        <v>570</v>
      </c>
      <c r="BN208" s="102">
        <v>42319</v>
      </c>
      <c r="BO208" s="102">
        <v>42334</v>
      </c>
      <c r="BP208" s="102">
        <v>42341</v>
      </c>
      <c r="BQ208" s="102">
        <v>42349</v>
      </c>
      <c r="BR208" s="102" t="s">
        <v>570</v>
      </c>
      <c r="BS208" s="23">
        <v>42368</v>
      </c>
      <c r="BT208" s="23">
        <v>42376</v>
      </c>
      <c r="BU208" s="13" t="s">
        <v>570</v>
      </c>
      <c r="BV208" s="13" t="s">
        <v>570</v>
      </c>
      <c r="BW208" s="224" t="s">
        <v>570</v>
      </c>
      <c r="BX208" s="102" t="s">
        <v>570</v>
      </c>
      <c r="BY208" s="102" t="s">
        <v>570</v>
      </c>
      <c r="BZ208" s="23">
        <v>42384</v>
      </c>
      <c r="CA208" s="102">
        <v>42420</v>
      </c>
      <c r="CB208" s="224" t="s">
        <v>570</v>
      </c>
      <c r="CC208" s="224" t="s">
        <v>570</v>
      </c>
      <c r="CD208" s="224" t="s">
        <v>570</v>
      </c>
      <c r="CE208" s="102"/>
      <c r="CF208" s="127" t="s">
        <v>829</v>
      </c>
      <c r="CG208" s="102"/>
      <c r="CH208" s="102"/>
      <c r="CI208" s="102"/>
      <c r="CJ208" s="102"/>
      <c r="CK208" s="102"/>
      <c r="CL208" s="102"/>
      <c r="CM208" s="102"/>
      <c r="CN208" s="102"/>
      <c r="CO208" s="102"/>
      <c r="CP208" s="102"/>
      <c r="CQ208" s="102"/>
      <c r="CR208" s="127" t="s">
        <v>829</v>
      </c>
      <c r="CS208" s="13" t="s">
        <v>570</v>
      </c>
      <c r="CT208" s="29"/>
      <c r="CU208" s="29"/>
      <c r="CV208" s="23">
        <v>42446</v>
      </c>
      <c r="CW208" s="30">
        <f>AQ208*0.5</f>
        <v>132054.04</v>
      </c>
      <c r="CX208" s="134" t="s">
        <v>1490</v>
      </c>
      <c r="CY208" s="23">
        <v>42682</v>
      </c>
      <c r="CZ208" s="30">
        <f>118619.58-59309.8-5930.98</f>
        <v>53378.8</v>
      </c>
      <c r="DA208" s="174" t="s">
        <v>1491</v>
      </c>
      <c r="DB208" s="88">
        <v>42851</v>
      </c>
      <c r="DC208" s="89">
        <v>11714.97</v>
      </c>
      <c r="DD208" s="174" t="s">
        <v>1492</v>
      </c>
      <c r="DE208" s="88">
        <v>42851</v>
      </c>
      <c r="DF208" s="89">
        <v>36806.960000000006</v>
      </c>
      <c r="DG208" s="13"/>
      <c r="DH208" s="13"/>
      <c r="DI208" s="13"/>
      <c r="DJ208" s="13"/>
      <c r="DK208" s="13"/>
      <c r="DL208" s="13"/>
      <c r="DM208" s="13"/>
      <c r="DN208" s="13"/>
      <c r="DO208" s="13"/>
      <c r="DP208" s="13"/>
      <c r="DQ208" s="13"/>
      <c r="DR208" s="13"/>
      <c r="DS208" s="13"/>
      <c r="DT208" s="13"/>
      <c r="DU208" s="13"/>
      <c r="DV208" s="13"/>
      <c r="DW208" s="13"/>
      <c r="DX208" s="13"/>
      <c r="DY208" s="31">
        <f t="shared" si="96"/>
        <v>233954.77000000002</v>
      </c>
      <c r="DZ208" s="13"/>
      <c r="EA208" s="13"/>
      <c r="EB208" s="13"/>
      <c r="EC208" s="13"/>
      <c r="ED208" s="13"/>
      <c r="EE208" s="13"/>
      <c r="EF208" s="13"/>
      <c r="EG208" s="13">
        <v>365</v>
      </c>
      <c r="EH208" s="13" t="s">
        <v>588</v>
      </c>
      <c r="EI208" s="23">
        <f>CV208+1</f>
        <v>42447</v>
      </c>
      <c r="EJ208" s="23">
        <f>EI208+EG208</f>
        <v>42812</v>
      </c>
      <c r="EK208" s="23"/>
      <c r="EL208" s="23"/>
      <c r="EM208" s="23"/>
      <c r="EN208" s="23"/>
      <c r="EO208" s="23"/>
      <c r="EP208" s="23"/>
      <c r="EQ208" s="23"/>
      <c r="ER208" s="23"/>
      <c r="ES208" s="23"/>
      <c r="ET208" s="23"/>
      <c r="EU208" s="23"/>
      <c r="EV208" s="23"/>
      <c r="EW208" s="23"/>
      <c r="EX208" s="23"/>
      <c r="EY208" s="23"/>
      <c r="EZ208" s="23"/>
      <c r="FA208" s="23"/>
      <c r="FB208" s="23"/>
      <c r="FC208" s="23"/>
      <c r="FD208" s="23"/>
      <c r="FE208" s="23"/>
      <c r="FF208" s="23"/>
      <c r="FG208" s="23"/>
      <c r="FH208" s="23"/>
      <c r="FI208" s="23"/>
      <c r="FJ208" s="23"/>
      <c r="FK208" s="23"/>
      <c r="FL208" s="23"/>
      <c r="FM208" s="23"/>
      <c r="FN208" s="23"/>
      <c r="FO208" s="23"/>
      <c r="FP208" s="23"/>
      <c r="FQ208" s="23"/>
      <c r="FR208" s="25">
        <v>0.2</v>
      </c>
      <c r="FS208" s="25">
        <v>0.2</v>
      </c>
      <c r="FT208" s="25">
        <v>0.5</v>
      </c>
      <c r="FU208" s="25">
        <v>0.5</v>
      </c>
      <c r="FV208" s="25">
        <v>0.8</v>
      </c>
      <c r="FW208" s="25">
        <v>0.8</v>
      </c>
      <c r="FX208" s="25">
        <v>0.8</v>
      </c>
      <c r="FY208" s="25">
        <v>0.9</v>
      </c>
      <c r="FZ208" s="25">
        <v>0.97499999999999998</v>
      </c>
      <c r="GA208" s="25">
        <v>0.97499999999999998</v>
      </c>
      <c r="GB208" s="25">
        <v>1</v>
      </c>
      <c r="GC208" s="25">
        <v>1</v>
      </c>
      <c r="GD208" s="25">
        <v>1</v>
      </c>
      <c r="GE208" s="25">
        <v>1</v>
      </c>
      <c r="GF208" s="25">
        <v>1</v>
      </c>
      <c r="GG208" s="25">
        <v>1</v>
      </c>
      <c r="GH208" s="25">
        <v>1</v>
      </c>
      <c r="GI208" s="25">
        <v>1</v>
      </c>
      <c r="GJ208" s="25">
        <v>1</v>
      </c>
      <c r="GK208" s="25">
        <v>1</v>
      </c>
      <c r="GL208" s="25">
        <v>1</v>
      </c>
      <c r="GM208" s="25">
        <v>1</v>
      </c>
      <c r="GN208" s="25">
        <v>1</v>
      </c>
      <c r="GO208" s="25">
        <v>1</v>
      </c>
      <c r="GP208" s="25">
        <v>1</v>
      </c>
      <c r="GQ208" s="25">
        <v>1</v>
      </c>
      <c r="GR208" s="25">
        <v>1</v>
      </c>
      <c r="GS208" s="25">
        <v>1</v>
      </c>
      <c r="GT208" s="25">
        <v>1</v>
      </c>
      <c r="GU208" s="25">
        <v>1</v>
      </c>
      <c r="GV208" s="25" t="s">
        <v>455</v>
      </c>
      <c r="GW208" s="25" t="s">
        <v>455</v>
      </c>
      <c r="GX208" s="25" t="s">
        <v>455</v>
      </c>
      <c r="GY208" s="25" t="s">
        <v>455</v>
      </c>
      <c r="GZ208" s="25" t="s">
        <v>455</v>
      </c>
      <c r="HA208" s="25" t="s">
        <v>455</v>
      </c>
      <c r="HB208" s="25" t="s">
        <v>455</v>
      </c>
      <c r="HC208" s="25" t="s">
        <v>455</v>
      </c>
      <c r="HD208" s="25" t="s">
        <v>455</v>
      </c>
      <c r="HE208" s="25" t="s">
        <v>455</v>
      </c>
      <c r="HF208" s="25" t="s">
        <v>455</v>
      </c>
      <c r="HG208" s="25" t="s">
        <v>455</v>
      </c>
      <c r="HH208" s="25" t="s">
        <v>455</v>
      </c>
      <c r="HI208" s="25"/>
      <c r="HJ208" s="25"/>
      <c r="HK208" s="25"/>
      <c r="HL208" s="25"/>
      <c r="HM208" s="84"/>
      <c r="HN208" s="84"/>
      <c r="HO208" s="84"/>
      <c r="HP208" s="84"/>
      <c r="HQ208" s="84"/>
      <c r="HR208" s="84"/>
      <c r="HS208" s="84"/>
      <c r="HT208" s="84"/>
      <c r="HU208" s="13"/>
      <c r="HV208" s="13"/>
      <c r="HW208" s="32"/>
      <c r="HX208" s="55"/>
      <c r="HY208" s="55"/>
      <c r="HZ208" s="55"/>
      <c r="IA208" s="55"/>
      <c r="IB208" s="55"/>
      <c r="IC208" s="55"/>
      <c r="ID208" s="55"/>
      <c r="IE208" s="55"/>
      <c r="IF208" s="107">
        <v>264108.08</v>
      </c>
      <c r="IG208" s="107">
        <v>264100.57</v>
      </c>
      <c r="IH208" s="250">
        <f t="shared" si="95"/>
        <v>0</v>
      </c>
      <c r="II208" s="55"/>
      <c r="IJ208" s="55"/>
      <c r="IK208" s="55"/>
      <c r="IL208" s="55"/>
      <c r="IM208" s="55"/>
      <c r="IN208" s="55"/>
      <c r="IO208" s="55"/>
      <c r="IP208" s="55"/>
      <c r="IQ208" s="55"/>
      <c r="IR208" s="55"/>
      <c r="IS208" s="55"/>
      <c r="IT208" s="55"/>
      <c r="IU208" s="55"/>
      <c r="IV208" s="55"/>
      <c r="IW208" s="55"/>
      <c r="IX208" s="55"/>
      <c r="IY208" s="55"/>
      <c r="IZ208" s="55"/>
      <c r="JA208" s="55"/>
      <c r="JB208" s="55"/>
      <c r="JC208" s="55"/>
      <c r="JD208" s="55">
        <v>2017</v>
      </c>
    </row>
    <row r="209" spans="1:264" s="5" customFormat="1" ht="53.25" hidden="1" customHeight="1">
      <c r="A209" s="26" t="s">
        <v>175</v>
      </c>
      <c r="B209" s="26" t="s">
        <v>27</v>
      </c>
      <c r="C209" s="13" t="s">
        <v>349</v>
      </c>
      <c r="D209" s="13" t="s">
        <v>380</v>
      </c>
      <c r="E209" s="16" t="s">
        <v>360</v>
      </c>
      <c r="F209" s="13" t="s">
        <v>360</v>
      </c>
      <c r="G209" s="39" t="s">
        <v>354</v>
      </c>
      <c r="H209" s="13" t="s">
        <v>1552</v>
      </c>
      <c r="I209" s="313" t="s">
        <v>341</v>
      </c>
      <c r="J209" s="40">
        <v>5</v>
      </c>
      <c r="K209" s="49" t="s">
        <v>375</v>
      </c>
      <c r="L209" s="314" t="s">
        <v>182</v>
      </c>
      <c r="M209" s="15" t="s">
        <v>341</v>
      </c>
      <c r="N209" s="20" t="s">
        <v>1928</v>
      </c>
      <c r="O209" s="13" t="s">
        <v>3</v>
      </c>
      <c r="P209" s="13" t="s">
        <v>4</v>
      </c>
      <c r="Q209" s="22" t="s">
        <v>1118</v>
      </c>
      <c r="R209" s="13" t="s">
        <v>1110</v>
      </c>
      <c r="S209" s="26" t="s">
        <v>507</v>
      </c>
      <c r="T209" s="13" t="s">
        <v>1387</v>
      </c>
      <c r="U209" s="13" t="s">
        <v>477</v>
      </c>
      <c r="V209" s="173" t="s">
        <v>508</v>
      </c>
      <c r="W209" s="13" t="s">
        <v>969</v>
      </c>
      <c r="X209" s="13" t="s">
        <v>969</v>
      </c>
      <c r="Y209" s="173" t="s">
        <v>1111</v>
      </c>
      <c r="Z209" s="13" t="s">
        <v>969</v>
      </c>
      <c r="AA209" s="29"/>
      <c r="AB209" s="29">
        <v>165554.66</v>
      </c>
      <c r="AC209" s="29">
        <v>0</v>
      </c>
      <c r="AD209" s="29">
        <v>165554.66</v>
      </c>
      <c r="AE209" s="29">
        <v>0</v>
      </c>
      <c r="AF209" s="29">
        <f t="shared" si="100"/>
        <v>165554.66</v>
      </c>
      <c r="AG209" s="25">
        <v>0.12</v>
      </c>
      <c r="AH209" s="29">
        <f t="shared" si="82"/>
        <v>19866.5592</v>
      </c>
      <c r="AI209" s="29">
        <f t="shared" si="93"/>
        <v>0</v>
      </c>
      <c r="AJ209" s="29">
        <f t="shared" si="83"/>
        <v>185421.21920000002</v>
      </c>
      <c r="AK209" s="29">
        <v>165526.22000000003</v>
      </c>
      <c r="AL209" s="29">
        <f>AB209-AK209</f>
        <v>28.439999999973224</v>
      </c>
      <c r="AM209" s="29"/>
      <c r="AN209" s="86"/>
      <c r="AO209" s="86">
        <v>459410.8</v>
      </c>
      <c r="AP209" s="29"/>
      <c r="AQ209" s="29">
        <v>165554.66</v>
      </c>
      <c r="AR209" s="29"/>
      <c r="AS209" s="29"/>
      <c r="AT209" s="29"/>
      <c r="AU209" s="29"/>
      <c r="AV209" s="29"/>
      <c r="AW209" s="29"/>
      <c r="AX209" s="29"/>
      <c r="AY209" s="29"/>
      <c r="AZ209" s="29"/>
      <c r="BA209" s="29"/>
      <c r="BB209" s="29"/>
      <c r="BC209" s="29"/>
      <c r="BD209" s="29"/>
      <c r="BE209" s="29"/>
      <c r="BF209" s="29">
        <f>AB209-AQ209</f>
        <v>0</v>
      </c>
      <c r="BG209" s="29">
        <f t="shared" si="94"/>
        <v>0</v>
      </c>
      <c r="BH209" s="37" t="s">
        <v>594</v>
      </c>
      <c r="BI209" s="29" t="s">
        <v>570</v>
      </c>
      <c r="BJ209" s="29" t="s">
        <v>570</v>
      </c>
      <c r="BK209" s="29" t="s">
        <v>570</v>
      </c>
      <c r="BL209" s="29" t="s">
        <v>570</v>
      </c>
      <c r="BM209" s="29" t="s">
        <v>570</v>
      </c>
      <c r="BN209" s="102">
        <v>42319</v>
      </c>
      <c r="BO209" s="102">
        <v>42334</v>
      </c>
      <c r="BP209" s="102">
        <v>42341</v>
      </c>
      <c r="BQ209" s="102">
        <v>42349</v>
      </c>
      <c r="BR209" s="102" t="s">
        <v>570</v>
      </c>
      <c r="BS209" s="23">
        <v>42368</v>
      </c>
      <c r="BT209" s="23">
        <v>42376</v>
      </c>
      <c r="BU209" s="13" t="s">
        <v>570</v>
      </c>
      <c r="BV209" s="13" t="s">
        <v>570</v>
      </c>
      <c r="BW209" s="224" t="s">
        <v>570</v>
      </c>
      <c r="BX209" s="102" t="s">
        <v>570</v>
      </c>
      <c r="BY209" s="102" t="s">
        <v>570</v>
      </c>
      <c r="BZ209" s="23">
        <v>42384</v>
      </c>
      <c r="CA209" s="23">
        <v>42590</v>
      </c>
      <c r="CB209" s="224" t="s">
        <v>570</v>
      </c>
      <c r="CC209" s="224" t="s">
        <v>570</v>
      </c>
      <c r="CD209" s="224" t="s">
        <v>570</v>
      </c>
      <c r="CE209" s="13"/>
      <c r="CF209" s="127" t="s">
        <v>829</v>
      </c>
      <c r="CG209" s="13"/>
      <c r="CH209" s="13"/>
      <c r="CI209" s="13"/>
      <c r="CJ209" s="13"/>
      <c r="CK209" s="13"/>
      <c r="CL209" s="13"/>
      <c r="CM209" s="13"/>
      <c r="CN209" s="13"/>
      <c r="CO209" s="13"/>
      <c r="CP209" s="13"/>
      <c r="CQ209" s="13"/>
      <c r="CR209" s="127" t="s">
        <v>829</v>
      </c>
      <c r="CS209" s="13" t="s">
        <v>570</v>
      </c>
      <c r="CT209" s="29"/>
      <c r="CU209" s="29"/>
      <c r="CV209" s="23">
        <v>42600</v>
      </c>
      <c r="CW209" s="30">
        <f>AQ209*0.5</f>
        <v>82777.33</v>
      </c>
      <c r="CX209" s="170" t="s">
        <v>1290</v>
      </c>
      <c r="CY209" s="23">
        <v>42769</v>
      </c>
      <c r="CZ209" s="30">
        <f>80377.9-40188.95-4018.9</f>
        <v>36170.049999999996</v>
      </c>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31">
        <f t="shared" si="96"/>
        <v>118947.38</v>
      </c>
      <c r="DZ209" s="13"/>
      <c r="EA209" s="13"/>
      <c r="EB209" s="13"/>
      <c r="EC209" s="13"/>
      <c r="ED209" s="13"/>
      <c r="EE209" s="13"/>
      <c r="EF209" s="13"/>
      <c r="EG209" s="13">
        <v>365</v>
      </c>
      <c r="EH209" s="13" t="s">
        <v>588</v>
      </c>
      <c r="EI209" s="23">
        <f>CV209+1</f>
        <v>42601</v>
      </c>
      <c r="EJ209" s="23">
        <f>EI209+EG209</f>
        <v>42966</v>
      </c>
      <c r="EK209" s="23"/>
      <c r="EL209" s="23"/>
      <c r="EM209" s="23"/>
      <c r="EN209" s="23"/>
      <c r="EO209" s="23"/>
      <c r="EP209" s="23"/>
      <c r="EQ209" s="23"/>
      <c r="ER209" s="23"/>
      <c r="ES209" s="23"/>
      <c r="ET209" s="23"/>
      <c r="EU209" s="23"/>
      <c r="EV209" s="23"/>
      <c r="EW209" s="23"/>
      <c r="EX209" s="23"/>
      <c r="EY209" s="23"/>
      <c r="EZ209" s="23"/>
      <c r="FA209" s="23"/>
      <c r="FB209" s="23"/>
      <c r="FC209" s="23"/>
      <c r="FD209" s="23"/>
      <c r="FE209" s="23"/>
      <c r="FF209" s="23"/>
      <c r="FG209" s="23"/>
      <c r="FH209" s="23"/>
      <c r="FI209" s="23"/>
      <c r="FJ209" s="23"/>
      <c r="FK209" s="23"/>
      <c r="FL209" s="23"/>
      <c r="FM209" s="23"/>
      <c r="FN209" s="23"/>
      <c r="FO209" s="23"/>
      <c r="FP209" s="23"/>
      <c r="FQ209" s="23"/>
      <c r="FR209" s="25"/>
      <c r="FS209" s="25">
        <v>0.2</v>
      </c>
      <c r="FT209" s="25">
        <v>0.2</v>
      </c>
      <c r="FU209" s="25">
        <v>0.5</v>
      </c>
      <c r="FV209" s="25">
        <v>0.8</v>
      </c>
      <c r="FW209" s="25">
        <v>0.8</v>
      </c>
      <c r="FX209" s="25">
        <v>0.8</v>
      </c>
      <c r="FY209" s="25">
        <v>0.875</v>
      </c>
      <c r="FZ209" s="25">
        <v>0.9</v>
      </c>
      <c r="GA209" s="25">
        <v>0.9</v>
      </c>
      <c r="GB209" s="25">
        <v>0.9</v>
      </c>
      <c r="GC209" s="25">
        <v>0.9</v>
      </c>
      <c r="GD209" s="25">
        <v>1</v>
      </c>
      <c r="GE209" s="25">
        <v>1</v>
      </c>
      <c r="GF209" s="25">
        <v>1</v>
      </c>
      <c r="GG209" s="25">
        <v>1</v>
      </c>
      <c r="GH209" s="25">
        <v>1</v>
      </c>
      <c r="GI209" s="25">
        <v>1</v>
      </c>
      <c r="GJ209" s="25">
        <v>1</v>
      </c>
      <c r="GK209" s="25">
        <v>1</v>
      </c>
      <c r="GL209" s="25">
        <v>1</v>
      </c>
      <c r="GM209" s="25">
        <v>1</v>
      </c>
      <c r="GN209" s="25">
        <v>1</v>
      </c>
      <c r="GO209" s="25">
        <v>1</v>
      </c>
      <c r="GP209" s="25">
        <v>1</v>
      </c>
      <c r="GQ209" s="25">
        <v>1</v>
      </c>
      <c r="GR209" s="25">
        <v>1</v>
      </c>
      <c r="GS209" s="25">
        <v>1</v>
      </c>
      <c r="GT209" s="25">
        <v>1</v>
      </c>
      <c r="GU209" s="25">
        <v>1</v>
      </c>
      <c r="GV209" s="25" t="s">
        <v>1588</v>
      </c>
      <c r="GW209" s="25" t="s">
        <v>455</v>
      </c>
      <c r="GX209" s="25" t="s">
        <v>455</v>
      </c>
      <c r="GY209" s="25" t="s">
        <v>455</v>
      </c>
      <c r="GZ209" s="25" t="s">
        <v>455</v>
      </c>
      <c r="HA209" s="25" t="s">
        <v>455</v>
      </c>
      <c r="HB209" s="25" t="s">
        <v>455</v>
      </c>
      <c r="HC209" s="25" t="s">
        <v>455</v>
      </c>
      <c r="HD209" s="25" t="s">
        <v>455</v>
      </c>
      <c r="HE209" s="25" t="s">
        <v>455</v>
      </c>
      <c r="HF209" s="25" t="s">
        <v>455</v>
      </c>
      <c r="HG209" s="25" t="s">
        <v>455</v>
      </c>
      <c r="HH209" s="25" t="s">
        <v>455</v>
      </c>
      <c r="HI209" s="25"/>
      <c r="HJ209" s="25"/>
      <c r="HK209" s="25"/>
      <c r="HL209" s="25"/>
      <c r="HM209" s="84"/>
      <c r="HN209" s="84"/>
      <c r="HO209" s="84"/>
      <c r="HP209" s="84"/>
      <c r="HQ209" s="84"/>
      <c r="HR209" s="84"/>
      <c r="HS209" s="84"/>
      <c r="HT209" s="84"/>
      <c r="HU209" s="13" t="s">
        <v>385</v>
      </c>
      <c r="HV209" s="13"/>
      <c r="HW209" s="32"/>
      <c r="HX209" s="55"/>
      <c r="HY209" s="55"/>
      <c r="HZ209" s="55"/>
      <c r="IA209" s="55"/>
      <c r="IB209" s="55"/>
      <c r="IC209" s="55"/>
      <c r="ID209" s="55"/>
      <c r="IE209" s="55"/>
      <c r="IF209" s="107">
        <v>165554.66</v>
      </c>
      <c r="IG209" s="107">
        <v>165526.22000000003</v>
      </c>
      <c r="IH209" s="250">
        <f t="shared" si="95"/>
        <v>0</v>
      </c>
      <c r="II209" s="55"/>
      <c r="IJ209" s="55"/>
      <c r="IK209" s="55"/>
      <c r="IL209" s="55"/>
      <c r="IM209" s="55"/>
      <c r="IN209" s="55"/>
      <c r="IO209" s="55"/>
      <c r="IP209" s="55"/>
      <c r="IQ209" s="55"/>
      <c r="IR209" s="55"/>
      <c r="IS209" s="55"/>
      <c r="IT209" s="55"/>
      <c r="IU209" s="55"/>
      <c r="IV209" s="55"/>
      <c r="IW209" s="55"/>
      <c r="IX209" s="55"/>
      <c r="IY209" s="55"/>
      <c r="IZ209" s="55"/>
      <c r="JA209" s="55"/>
      <c r="JB209" s="55"/>
      <c r="JC209" s="55"/>
      <c r="JD209" s="55">
        <v>2017</v>
      </c>
    </row>
    <row r="210" spans="1:264" s="5" customFormat="1" ht="49.5" hidden="1" customHeight="1">
      <c r="A210" s="26" t="s">
        <v>175</v>
      </c>
      <c r="B210" s="26" t="s">
        <v>27</v>
      </c>
      <c r="C210" s="13" t="s">
        <v>349</v>
      </c>
      <c r="D210" s="13" t="s">
        <v>380</v>
      </c>
      <c r="E210" s="16" t="s">
        <v>360</v>
      </c>
      <c r="F210" s="13" t="s">
        <v>360</v>
      </c>
      <c r="G210" s="82" t="s">
        <v>354</v>
      </c>
      <c r="H210" s="13" t="s">
        <v>1552</v>
      </c>
      <c r="I210" s="313" t="s">
        <v>343</v>
      </c>
      <c r="J210" s="40">
        <v>7</v>
      </c>
      <c r="K210" s="49" t="s">
        <v>375</v>
      </c>
      <c r="L210" s="314" t="s">
        <v>182</v>
      </c>
      <c r="M210" s="15" t="s">
        <v>343</v>
      </c>
      <c r="N210" s="20" t="s">
        <v>1929</v>
      </c>
      <c r="O210" s="13" t="s">
        <v>3</v>
      </c>
      <c r="P210" s="13" t="s">
        <v>4</v>
      </c>
      <c r="Q210" s="22" t="s">
        <v>1118</v>
      </c>
      <c r="R210" s="13" t="s">
        <v>537</v>
      </c>
      <c r="S210" s="26" t="s">
        <v>509</v>
      </c>
      <c r="T210" s="13" t="s">
        <v>1387</v>
      </c>
      <c r="U210" s="13" t="s">
        <v>479</v>
      </c>
      <c r="V210" s="173" t="s">
        <v>510</v>
      </c>
      <c r="W210" s="13" t="s">
        <v>969</v>
      </c>
      <c r="X210" s="13" t="s">
        <v>969</v>
      </c>
      <c r="Y210" s="13" t="s">
        <v>969</v>
      </c>
      <c r="Z210" s="13" t="s">
        <v>969</v>
      </c>
      <c r="AA210" s="29"/>
      <c r="AB210" s="29">
        <v>306452.99</v>
      </c>
      <c r="AC210" s="29">
        <v>0</v>
      </c>
      <c r="AD210" s="29">
        <v>306452.99</v>
      </c>
      <c r="AE210" s="29">
        <v>0</v>
      </c>
      <c r="AF210" s="29">
        <f t="shared" si="100"/>
        <v>306452.99</v>
      </c>
      <c r="AG210" s="25">
        <v>0.12</v>
      </c>
      <c r="AH210" s="29">
        <f t="shared" si="82"/>
        <v>36774.358799999995</v>
      </c>
      <c r="AI210" s="29">
        <f t="shared" si="93"/>
        <v>0</v>
      </c>
      <c r="AJ210" s="29">
        <f t="shared" si="83"/>
        <v>343227.34880000004</v>
      </c>
      <c r="AK210" s="29">
        <v>301289.31</v>
      </c>
      <c r="AL210" s="29">
        <f>AB210-AK210</f>
        <v>5163.679999999993</v>
      </c>
      <c r="AM210" s="29"/>
      <c r="AN210" s="86"/>
      <c r="AO210" s="86">
        <v>322191.93</v>
      </c>
      <c r="AP210" s="29"/>
      <c r="AQ210" s="29">
        <v>306452.99</v>
      </c>
      <c r="AR210" s="29"/>
      <c r="AS210" s="29"/>
      <c r="AT210" s="29"/>
      <c r="AU210" s="29"/>
      <c r="AV210" s="29"/>
      <c r="AW210" s="29"/>
      <c r="AX210" s="29"/>
      <c r="AY210" s="29"/>
      <c r="AZ210" s="29"/>
      <c r="BA210" s="29"/>
      <c r="BB210" s="29"/>
      <c r="BC210" s="29"/>
      <c r="BD210" s="29"/>
      <c r="BE210" s="29"/>
      <c r="BF210" s="29">
        <f>AB210-AQ210</f>
        <v>0</v>
      </c>
      <c r="BG210" s="29">
        <f t="shared" si="94"/>
        <v>0</v>
      </c>
      <c r="BH210" s="37" t="s">
        <v>594</v>
      </c>
      <c r="BI210" s="29" t="s">
        <v>570</v>
      </c>
      <c r="BJ210" s="29" t="s">
        <v>570</v>
      </c>
      <c r="BK210" s="29" t="s">
        <v>570</v>
      </c>
      <c r="BL210" s="29" t="s">
        <v>570</v>
      </c>
      <c r="BM210" s="29" t="s">
        <v>570</v>
      </c>
      <c r="BN210" s="102">
        <v>42319</v>
      </c>
      <c r="BO210" s="102">
        <v>42334</v>
      </c>
      <c r="BP210" s="102">
        <v>42341</v>
      </c>
      <c r="BQ210" s="102">
        <v>42349</v>
      </c>
      <c r="BR210" s="102" t="s">
        <v>570</v>
      </c>
      <c r="BS210" s="23">
        <v>42368</v>
      </c>
      <c r="BT210" s="23">
        <v>42376</v>
      </c>
      <c r="BU210" s="13" t="s">
        <v>570</v>
      </c>
      <c r="BV210" s="13" t="s">
        <v>570</v>
      </c>
      <c r="BW210" s="224" t="s">
        <v>570</v>
      </c>
      <c r="BX210" s="102" t="s">
        <v>570</v>
      </c>
      <c r="BY210" s="102" t="s">
        <v>570</v>
      </c>
      <c r="BZ210" s="23">
        <v>42384</v>
      </c>
      <c r="CA210" s="102">
        <v>42423</v>
      </c>
      <c r="CB210" s="224" t="s">
        <v>570</v>
      </c>
      <c r="CC210" s="224" t="s">
        <v>570</v>
      </c>
      <c r="CD210" s="224" t="s">
        <v>570</v>
      </c>
      <c r="CE210" s="102"/>
      <c r="CF210" s="127" t="s">
        <v>829</v>
      </c>
      <c r="CG210" s="102"/>
      <c r="CH210" s="102"/>
      <c r="CI210" s="102"/>
      <c r="CJ210" s="102"/>
      <c r="CK210" s="102"/>
      <c r="CL210" s="102"/>
      <c r="CM210" s="102"/>
      <c r="CN210" s="102"/>
      <c r="CO210" s="102"/>
      <c r="CP210" s="102"/>
      <c r="CQ210" s="102"/>
      <c r="CR210" s="127" t="s">
        <v>829</v>
      </c>
      <c r="CS210" s="13" t="s">
        <v>570</v>
      </c>
      <c r="CT210" s="29"/>
      <c r="CU210" s="29"/>
      <c r="CV210" s="23">
        <v>42446</v>
      </c>
      <c r="CW210" s="30">
        <v>153226.49</v>
      </c>
      <c r="CX210" s="80" t="s">
        <v>1291</v>
      </c>
      <c r="CY210" s="102">
        <v>42669</v>
      </c>
      <c r="CZ210" s="30">
        <f>61916.88-30958.44-3095.85</f>
        <v>27862.59</v>
      </c>
      <c r="DA210" s="174" t="s">
        <v>1292</v>
      </c>
      <c r="DB210" s="102">
        <v>42741</v>
      </c>
      <c r="DC210" s="30">
        <f>123120.964-61560.48-6156.05</f>
        <v>55404.434000000001</v>
      </c>
      <c r="DD210" s="174" t="s">
        <v>1493</v>
      </c>
      <c r="DE210" s="88">
        <v>42853</v>
      </c>
      <c r="DF210" s="89">
        <v>36855.69</v>
      </c>
      <c r="DG210" s="13"/>
      <c r="DH210" s="13"/>
      <c r="DI210" s="13"/>
      <c r="DJ210" s="13"/>
      <c r="DK210" s="13"/>
      <c r="DL210" s="13"/>
      <c r="DM210" s="13"/>
      <c r="DN210" s="13"/>
      <c r="DO210" s="13"/>
      <c r="DP210" s="13"/>
      <c r="DQ210" s="13"/>
      <c r="DR210" s="13"/>
      <c r="DS210" s="13"/>
      <c r="DT210" s="13"/>
      <c r="DU210" s="13"/>
      <c r="DV210" s="13"/>
      <c r="DW210" s="13"/>
      <c r="DX210" s="13"/>
      <c r="DY210" s="31">
        <f t="shared" si="96"/>
        <v>273349.20400000003</v>
      </c>
      <c r="DZ210" s="13"/>
      <c r="EA210" s="13"/>
      <c r="EB210" s="13"/>
      <c r="EC210" s="13"/>
      <c r="ED210" s="13"/>
      <c r="EE210" s="13"/>
      <c r="EF210" s="13"/>
      <c r="EG210" s="13">
        <v>365</v>
      </c>
      <c r="EH210" s="13" t="s">
        <v>588</v>
      </c>
      <c r="EI210" s="23">
        <f>CV210+1</f>
        <v>42447</v>
      </c>
      <c r="EJ210" s="23">
        <f>EI210+EG210</f>
        <v>42812</v>
      </c>
      <c r="EK210" s="23"/>
      <c r="EL210" s="23"/>
      <c r="EM210" s="23"/>
      <c r="EN210" s="23"/>
      <c r="EO210" s="23"/>
      <c r="EP210" s="23"/>
      <c r="EQ210" s="23"/>
      <c r="ER210" s="23"/>
      <c r="ES210" s="23"/>
      <c r="ET210" s="23"/>
      <c r="EU210" s="23"/>
      <c r="EV210" s="23"/>
      <c r="EW210" s="23"/>
      <c r="EX210" s="23"/>
      <c r="EY210" s="23"/>
      <c r="EZ210" s="23"/>
      <c r="FA210" s="23"/>
      <c r="FB210" s="23"/>
      <c r="FC210" s="23"/>
      <c r="FD210" s="23"/>
      <c r="FE210" s="23"/>
      <c r="FF210" s="23"/>
      <c r="FG210" s="23"/>
      <c r="FH210" s="23"/>
      <c r="FI210" s="23"/>
      <c r="FJ210" s="23"/>
      <c r="FK210" s="23"/>
      <c r="FL210" s="23"/>
      <c r="FM210" s="23"/>
      <c r="FN210" s="23"/>
      <c r="FO210" s="23"/>
      <c r="FP210" s="23"/>
      <c r="FQ210" s="25">
        <v>0.2</v>
      </c>
      <c r="FR210" s="25">
        <v>0.2</v>
      </c>
      <c r="FS210" s="25">
        <v>0.2</v>
      </c>
      <c r="FT210" s="25">
        <v>0.5</v>
      </c>
      <c r="FU210" s="25">
        <v>0.5</v>
      </c>
      <c r="FV210" s="25">
        <v>0.75</v>
      </c>
      <c r="FW210" s="25">
        <v>0.75</v>
      </c>
      <c r="FX210" s="25">
        <v>0.75</v>
      </c>
      <c r="FY210" s="25">
        <v>0.88500000000000001</v>
      </c>
      <c r="FZ210" s="25">
        <v>0.88500000000000001</v>
      </c>
      <c r="GA210" s="25">
        <v>0.88500000000000001</v>
      </c>
      <c r="GB210" s="25">
        <v>0.97</v>
      </c>
      <c r="GC210" s="25">
        <v>0.97</v>
      </c>
      <c r="GD210" s="25">
        <v>1</v>
      </c>
      <c r="GE210" s="25">
        <v>1</v>
      </c>
      <c r="GF210" s="25">
        <v>1</v>
      </c>
      <c r="GG210" s="25">
        <v>1</v>
      </c>
      <c r="GH210" s="25">
        <v>1</v>
      </c>
      <c r="GI210" s="25">
        <v>1</v>
      </c>
      <c r="GJ210" s="25">
        <v>1</v>
      </c>
      <c r="GK210" s="25">
        <v>1</v>
      </c>
      <c r="GL210" s="25">
        <v>1</v>
      </c>
      <c r="GM210" s="25">
        <v>1</v>
      </c>
      <c r="GN210" s="25">
        <v>1</v>
      </c>
      <c r="GO210" s="25">
        <v>1</v>
      </c>
      <c r="GP210" s="25">
        <v>1</v>
      </c>
      <c r="GQ210" s="25">
        <v>1</v>
      </c>
      <c r="GR210" s="25">
        <v>1</v>
      </c>
      <c r="GS210" s="25">
        <v>1</v>
      </c>
      <c r="GT210" s="25">
        <v>1</v>
      </c>
      <c r="GU210" s="25">
        <v>1</v>
      </c>
      <c r="GV210" s="25" t="s">
        <v>1588</v>
      </c>
      <c r="GW210" s="25" t="s">
        <v>455</v>
      </c>
      <c r="GX210" s="25" t="s">
        <v>455</v>
      </c>
      <c r="GY210" s="25" t="s">
        <v>455</v>
      </c>
      <c r="GZ210" s="25" t="s">
        <v>455</v>
      </c>
      <c r="HA210" s="25" t="s">
        <v>455</v>
      </c>
      <c r="HB210" s="25" t="s">
        <v>455</v>
      </c>
      <c r="HC210" s="25" t="s">
        <v>455</v>
      </c>
      <c r="HD210" s="25" t="s">
        <v>455</v>
      </c>
      <c r="HE210" s="25" t="s">
        <v>455</v>
      </c>
      <c r="HF210" s="25" t="s">
        <v>455</v>
      </c>
      <c r="HG210" s="25" t="s">
        <v>455</v>
      </c>
      <c r="HH210" s="25" t="s">
        <v>455</v>
      </c>
      <c r="HI210" s="25"/>
      <c r="HJ210" s="25"/>
      <c r="HK210" s="25"/>
      <c r="HL210" s="25"/>
      <c r="HM210" s="84"/>
      <c r="HN210" s="84"/>
      <c r="HO210" s="84"/>
      <c r="HP210" s="84"/>
      <c r="HQ210" s="84"/>
      <c r="HR210" s="84"/>
      <c r="HS210" s="84"/>
      <c r="HT210" s="84"/>
      <c r="HU210" s="13" t="s">
        <v>342</v>
      </c>
      <c r="HV210" s="13"/>
      <c r="HW210" s="32"/>
      <c r="HX210" s="55"/>
      <c r="HY210" s="55"/>
      <c r="HZ210" s="55"/>
      <c r="IA210" s="55"/>
      <c r="IB210" s="55"/>
      <c r="IC210" s="55"/>
      <c r="ID210" s="55"/>
      <c r="IE210" s="55"/>
      <c r="IF210" s="107">
        <v>306452.99</v>
      </c>
      <c r="IG210" s="107">
        <v>301289.31</v>
      </c>
      <c r="IH210" s="250">
        <f t="shared" si="95"/>
        <v>0</v>
      </c>
      <c r="II210" s="55"/>
      <c r="IJ210" s="55"/>
      <c r="IK210" s="55"/>
      <c r="IL210" s="55"/>
      <c r="IM210" s="55"/>
      <c r="IN210" s="55"/>
      <c r="IO210" s="55"/>
      <c r="IP210" s="55"/>
      <c r="IQ210" s="55"/>
      <c r="IR210" s="55"/>
      <c r="IS210" s="55"/>
      <c r="IT210" s="55"/>
      <c r="IU210" s="55"/>
      <c r="IV210" s="55"/>
      <c r="IW210" s="55"/>
      <c r="IX210" s="55"/>
      <c r="IY210" s="55"/>
      <c r="IZ210" s="55"/>
      <c r="JA210" s="55"/>
      <c r="JB210" s="55"/>
      <c r="JC210" s="55"/>
      <c r="JD210" s="55">
        <v>2017</v>
      </c>
    </row>
    <row r="211" spans="1:264" s="5" customFormat="1" ht="47.25" hidden="1" customHeight="1">
      <c r="A211" s="26" t="s">
        <v>175</v>
      </c>
      <c r="B211" s="26" t="s">
        <v>27</v>
      </c>
      <c r="C211" s="13" t="s">
        <v>349</v>
      </c>
      <c r="D211" s="13" t="s">
        <v>380</v>
      </c>
      <c r="E211" s="16" t="s">
        <v>360</v>
      </c>
      <c r="F211" s="13" t="s">
        <v>360</v>
      </c>
      <c r="G211" s="82" t="s">
        <v>354</v>
      </c>
      <c r="H211" s="13" t="s">
        <v>1552</v>
      </c>
      <c r="I211" s="313" t="s">
        <v>928</v>
      </c>
      <c r="J211" s="40">
        <v>8</v>
      </c>
      <c r="K211" s="49" t="s">
        <v>375</v>
      </c>
      <c r="L211" s="314" t="s">
        <v>182</v>
      </c>
      <c r="M211" s="15" t="s">
        <v>928</v>
      </c>
      <c r="N211" s="313" t="s">
        <v>1930</v>
      </c>
      <c r="O211" s="13"/>
      <c r="P211" s="13" t="s">
        <v>4</v>
      </c>
      <c r="Q211" s="22" t="s">
        <v>794</v>
      </c>
      <c r="R211" s="13"/>
      <c r="S211" s="26"/>
      <c r="T211" s="26"/>
      <c r="U211" s="13"/>
      <c r="V211" s="173"/>
      <c r="W211" s="173"/>
      <c r="X211" s="173"/>
      <c r="Y211" s="173"/>
      <c r="Z211" s="173"/>
      <c r="AA211" s="29"/>
      <c r="AB211" s="29">
        <v>0</v>
      </c>
      <c r="AC211" s="29">
        <v>0</v>
      </c>
      <c r="AD211" s="29"/>
      <c r="AE211" s="29">
        <v>0</v>
      </c>
      <c r="AF211" s="29">
        <f t="shared" si="100"/>
        <v>0</v>
      </c>
      <c r="AG211" s="25">
        <v>0.12</v>
      </c>
      <c r="AH211" s="29">
        <f t="shared" si="82"/>
        <v>0</v>
      </c>
      <c r="AI211" s="29">
        <f t="shared" si="93"/>
        <v>0</v>
      </c>
      <c r="AJ211" s="29">
        <f t="shared" si="83"/>
        <v>0</v>
      </c>
      <c r="AK211" s="29"/>
      <c r="AL211" s="29"/>
      <c r="AM211" s="29"/>
      <c r="AN211" s="86"/>
      <c r="AO211" s="86"/>
      <c r="AP211" s="29"/>
      <c r="AQ211" s="29"/>
      <c r="AR211" s="29"/>
      <c r="AS211" s="29"/>
      <c r="AT211" s="29"/>
      <c r="AU211" s="29"/>
      <c r="AV211" s="29"/>
      <c r="AW211" s="29"/>
      <c r="AX211" s="29"/>
      <c r="AY211" s="29"/>
      <c r="AZ211" s="29"/>
      <c r="BA211" s="29"/>
      <c r="BB211" s="29"/>
      <c r="BC211" s="29"/>
      <c r="BD211" s="29"/>
      <c r="BE211" s="29"/>
      <c r="BF211" s="29"/>
      <c r="BG211" s="29">
        <f t="shared" si="94"/>
        <v>0</v>
      </c>
      <c r="BH211" s="37"/>
      <c r="BI211" s="37"/>
      <c r="BJ211" s="29" t="s">
        <v>570</v>
      </c>
      <c r="BK211" s="29" t="s">
        <v>570</v>
      </c>
      <c r="BL211" s="29" t="s">
        <v>570</v>
      </c>
      <c r="BM211" s="29" t="s">
        <v>570</v>
      </c>
      <c r="BN211" s="102"/>
      <c r="BO211" s="102"/>
      <c r="BP211" s="102"/>
      <c r="BQ211" s="102"/>
      <c r="BR211" s="102"/>
      <c r="BS211" s="23"/>
      <c r="BT211" s="23"/>
      <c r="BU211" s="13" t="s">
        <v>570</v>
      </c>
      <c r="BV211" s="13" t="s">
        <v>570</v>
      </c>
      <c r="BW211" s="102"/>
      <c r="BX211" s="102"/>
      <c r="BY211" s="102"/>
      <c r="BZ211" s="23"/>
      <c r="CA211" s="102"/>
      <c r="CB211" s="102"/>
      <c r="CC211" s="102"/>
      <c r="CD211" s="102"/>
      <c r="CE211" s="102"/>
      <c r="CF211" s="102"/>
      <c r="CG211" s="102"/>
      <c r="CH211" s="102"/>
      <c r="CI211" s="102"/>
      <c r="CJ211" s="102"/>
      <c r="CK211" s="102"/>
      <c r="CL211" s="102"/>
      <c r="CM211" s="102"/>
      <c r="CN211" s="102"/>
      <c r="CO211" s="102"/>
      <c r="CP211" s="102"/>
      <c r="CQ211" s="102"/>
      <c r="CR211" s="102"/>
      <c r="CS211" s="102"/>
      <c r="CT211" s="29"/>
      <c r="CU211" s="29"/>
      <c r="CV211" s="23"/>
      <c r="CW211" s="30"/>
      <c r="CX211" s="30"/>
      <c r="CY211" s="102"/>
      <c r="CZ211" s="30"/>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31">
        <f t="shared" si="96"/>
        <v>0</v>
      </c>
      <c r="DZ211" s="13"/>
      <c r="EA211" s="13"/>
      <c r="EB211" s="13"/>
      <c r="EC211" s="13"/>
      <c r="ED211" s="13"/>
      <c r="EE211" s="13"/>
      <c r="EF211" s="13"/>
      <c r="EG211" s="13"/>
      <c r="EH211" s="13"/>
      <c r="EI211" s="23"/>
      <c r="EJ211" s="23"/>
      <c r="EK211" s="23"/>
      <c r="EL211" s="23"/>
      <c r="EM211" s="23"/>
      <c r="EN211" s="23"/>
      <c r="EO211" s="23"/>
      <c r="EP211" s="23"/>
      <c r="EQ211" s="23"/>
      <c r="ER211" s="23"/>
      <c r="ES211" s="23"/>
      <c r="ET211" s="23"/>
      <c r="EU211" s="23"/>
      <c r="EV211" s="23"/>
      <c r="EW211" s="23"/>
      <c r="EX211" s="23"/>
      <c r="EY211" s="23"/>
      <c r="EZ211" s="23"/>
      <c r="FA211" s="23"/>
      <c r="FB211" s="23"/>
      <c r="FC211" s="23"/>
      <c r="FD211" s="23"/>
      <c r="FE211" s="23"/>
      <c r="FF211" s="23"/>
      <c r="FG211" s="23"/>
      <c r="FH211" s="23"/>
      <c r="FI211" s="23"/>
      <c r="FJ211" s="23"/>
      <c r="FK211" s="23"/>
      <c r="FL211" s="23"/>
      <c r="FM211" s="23"/>
      <c r="FN211" s="23"/>
      <c r="FO211" s="23"/>
      <c r="FP211" s="23"/>
      <c r="FQ211" s="23"/>
      <c r="FR211" s="25"/>
      <c r="FS211" s="25"/>
      <c r="FT211" s="25"/>
      <c r="FU211" s="25"/>
      <c r="FV211" s="25">
        <v>1</v>
      </c>
      <c r="FW211" s="25">
        <v>1</v>
      </c>
      <c r="FX211" s="25">
        <v>1</v>
      </c>
      <c r="FY211" s="25">
        <v>0</v>
      </c>
      <c r="FZ211" s="25">
        <v>0</v>
      </c>
      <c r="GA211" s="25">
        <v>0</v>
      </c>
      <c r="GB211" s="25">
        <v>0.4</v>
      </c>
      <c r="GC211" s="25">
        <v>0.4</v>
      </c>
      <c r="GD211" s="25">
        <v>1</v>
      </c>
      <c r="GE211" s="25">
        <v>1</v>
      </c>
      <c r="GF211" s="25">
        <v>1</v>
      </c>
      <c r="GG211" s="25">
        <v>1</v>
      </c>
      <c r="GH211" s="25">
        <v>1</v>
      </c>
      <c r="GI211" s="25">
        <v>1</v>
      </c>
      <c r="GJ211" s="25">
        <v>1</v>
      </c>
      <c r="GK211" s="25">
        <v>1</v>
      </c>
      <c r="GL211" s="25">
        <v>1</v>
      </c>
      <c r="GM211" s="25">
        <v>1</v>
      </c>
      <c r="GN211" s="25">
        <v>1</v>
      </c>
      <c r="GO211" s="25">
        <v>1</v>
      </c>
      <c r="GP211" s="25">
        <v>1</v>
      </c>
      <c r="GQ211" s="25">
        <v>1</v>
      </c>
      <c r="GR211" s="25">
        <v>1</v>
      </c>
      <c r="GS211" s="25">
        <v>1</v>
      </c>
      <c r="GT211" s="25">
        <v>1</v>
      </c>
      <c r="GU211" s="25">
        <v>1</v>
      </c>
      <c r="GV211" s="25" t="s">
        <v>1588</v>
      </c>
      <c r="GW211" s="25" t="s">
        <v>1588</v>
      </c>
      <c r="GX211" s="25" t="s">
        <v>1588</v>
      </c>
      <c r="GY211" s="25" t="s">
        <v>1588</v>
      </c>
      <c r="GZ211" s="25" t="s">
        <v>1588</v>
      </c>
      <c r="HA211" s="25" t="s">
        <v>1588</v>
      </c>
      <c r="HB211" s="25" t="s">
        <v>1588</v>
      </c>
      <c r="HC211" s="25" t="s">
        <v>1588</v>
      </c>
      <c r="HD211" s="25" t="s">
        <v>1588</v>
      </c>
      <c r="HE211" s="25" t="s">
        <v>1588</v>
      </c>
      <c r="HF211" s="25" t="s">
        <v>1588</v>
      </c>
      <c r="HG211" s="25" t="s">
        <v>1588</v>
      </c>
      <c r="HH211" s="25" t="s">
        <v>1588</v>
      </c>
      <c r="HI211" s="25"/>
      <c r="HJ211" s="25"/>
      <c r="HK211" s="25"/>
      <c r="HL211" s="25"/>
      <c r="HM211" s="84"/>
      <c r="HN211" s="84"/>
      <c r="HO211" s="84"/>
      <c r="HP211" s="84"/>
      <c r="HQ211" s="84"/>
      <c r="HR211" s="84"/>
      <c r="HS211" s="84"/>
      <c r="HT211" s="84"/>
      <c r="HU211" s="13" t="s">
        <v>1515</v>
      </c>
      <c r="HV211" s="13"/>
      <c r="HW211" s="32"/>
      <c r="HX211" s="55"/>
      <c r="HY211" s="55"/>
      <c r="HZ211" s="55"/>
      <c r="IA211" s="55"/>
      <c r="IB211" s="55"/>
      <c r="IC211" s="55"/>
      <c r="ID211" s="55"/>
      <c r="IE211" s="55"/>
      <c r="IF211" s="107">
        <v>0</v>
      </c>
      <c r="IG211" s="107"/>
      <c r="IH211" s="250">
        <f t="shared" si="95"/>
        <v>0</v>
      </c>
      <c r="II211" s="55"/>
      <c r="IJ211" s="55"/>
      <c r="IK211" s="55"/>
      <c r="IL211" s="55"/>
      <c r="IM211" s="55"/>
      <c r="IN211" s="55"/>
      <c r="IO211" s="55"/>
      <c r="IP211" s="55"/>
      <c r="IQ211" s="55"/>
      <c r="IR211" s="55"/>
      <c r="IS211" s="55"/>
      <c r="IT211" s="55"/>
      <c r="IU211" s="55"/>
      <c r="IV211" s="55"/>
      <c r="IW211" s="55"/>
      <c r="IX211" s="55"/>
      <c r="IY211" s="55"/>
      <c r="IZ211" s="55"/>
      <c r="JA211" s="55"/>
      <c r="JB211" s="55"/>
      <c r="JC211" s="55"/>
      <c r="JD211" s="55">
        <v>2017</v>
      </c>
    </row>
    <row r="212" spans="1:264" s="5" customFormat="1" ht="24.95" hidden="1" customHeight="1">
      <c r="A212" s="26" t="s">
        <v>183</v>
      </c>
      <c r="B212" s="26" t="s">
        <v>27</v>
      </c>
      <c r="C212" s="13" t="s">
        <v>349</v>
      </c>
      <c r="D212" s="13" t="s">
        <v>382</v>
      </c>
      <c r="E212" s="13" t="s">
        <v>350</v>
      </c>
      <c r="F212" s="13" t="s">
        <v>350</v>
      </c>
      <c r="G212" s="39" t="s">
        <v>354</v>
      </c>
      <c r="H212" s="13" t="s">
        <v>1553</v>
      </c>
      <c r="I212" s="313" t="s">
        <v>185</v>
      </c>
      <c r="J212" s="40">
        <v>1</v>
      </c>
      <c r="K212" s="49" t="s">
        <v>375</v>
      </c>
      <c r="L212" s="314" t="s">
        <v>184</v>
      </c>
      <c r="M212" s="15" t="s">
        <v>185</v>
      </c>
      <c r="N212" s="20"/>
      <c r="O212" s="13" t="s">
        <v>3</v>
      </c>
      <c r="P212" s="13" t="s">
        <v>4</v>
      </c>
      <c r="Q212" s="22" t="s">
        <v>1118</v>
      </c>
      <c r="R212" s="314" t="s">
        <v>184</v>
      </c>
      <c r="S212" s="13" t="s">
        <v>397</v>
      </c>
      <c r="T212" s="13" t="s">
        <v>1387</v>
      </c>
      <c r="U212" s="13" t="s">
        <v>479</v>
      </c>
      <c r="V212" s="24" t="s">
        <v>647</v>
      </c>
      <c r="W212" s="13"/>
      <c r="X212" s="13"/>
      <c r="Y212" s="13"/>
      <c r="Z212" s="13"/>
      <c r="AA212" s="29"/>
      <c r="AB212" s="29">
        <f>1620058-510514</f>
        <v>1109544</v>
      </c>
      <c r="AC212" s="29">
        <v>0</v>
      </c>
      <c r="AD212" s="29">
        <f>1620058-510514</f>
        <v>1109544</v>
      </c>
      <c r="AE212" s="29">
        <v>0</v>
      </c>
      <c r="AF212" s="29">
        <f t="shared" si="100"/>
        <v>1109544</v>
      </c>
      <c r="AG212" s="25">
        <v>0.12</v>
      </c>
      <c r="AH212" s="29">
        <f t="shared" si="82"/>
        <v>133145.28</v>
      </c>
      <c r="AI212" s="29">
        <f t="shared" si="93"/>
        <v>0</v>
      </c>
      <c r="AJ212" s="29">
        <f t="shared" si="83"/>
        <v>1242689.28</v>
      </c>
      <c r="AK212" s="29">
        <v>1109543.9999999998</v>
      </c>
      <c r="AL212" s="29">
        <f>AB212-AK212</f>
        <v>0</v>
      </c>
      <c r="AM212" s="126"/>
      <c r="AN212" s="29"/>
      <c r="AO212" s="29">
        <v>1620058</v>
      </c>
      <c r="AP212" s="29"/>
      <c r="AQ212" s="29">
        <v>1109544</v>
      </c>
      <c r="AR212" s="29"/>
      <c r="AS212" s="29"/>
      <c r="AT212" s="29"/>
      <c r="AU212" s="29"/>
      <c r="AV212" s="29"/>
      <c r="AW212" s="29"/>
      <c r="AX212" s="29"/>
      <c r="AY212" s="29"/>
      <c r="AZ212" s="29"/>
      <c r="BA212" s="29"/>
      <c r="BB212" s="29"/>
      <c r="BC212" s="29"/>
      <c r="BD212" s="29"/>
      <c r="BE212" s="29"/>
      <c r="BF212" s="29">
        <f>AB212-AQ212</f>
        <v>0</v>
      </c>
      <c r="BG212" s="29">
        <f t="shared" si="94"/>
        <v>0</v>
      </c>
      <c r="BH212" s="37" t="s">
        <v>594</v>
      </c>
      <c r="BI212" s="29" t="s">
        <v>570</v>
      </c>
      <c r="BJ212" s="29" t="s">
        <v>570</v>
      </c>
      <c r="BK212" s="29" t="s">
        <v>570</v>
      </c>
      <c r="BL212" s="29" t="s">
        <v>570</v>
      </c>
      <c r="BM212" s="29" t="s">
        <v>570</v>
      </c>
      <c r="BN212" s="23">
        <v>42264</v>
      </c>
      <c r="BO212" s="23">
        <v>42293</v>
      </c>
      <c r="BP212" s="23">
        <v>42299</v>
      </c>
      <c r="BQ212" s="23">
        <v>42304</v>
      </c>
      <c r="BR212" s="13" t="s">
        <v>570</v>
      </c>
      <c r="BS212" s="23">
        <v>42319</v>
      </c>
      <c r="BT212" s="23">
        <v>42326</v>
      </c>
      <c r="BU212" s="13" t="s">
        <v>570</v>
      </c>
      <c r="BV212" s="13" t="s">
        <v>570</v>
      </c>
      <c r="BW212" s="224" t="s">
        <v>570</v>
      </c>
      <c r="BX212" s="13" t="s">
        <v>503</v>
      </c>
      <c r="BY212" s="13" t="s">
        <v>570</v>
      </c>
      <c r="BZ212" s="13" t="s">
        <v>503</v>
      </c>
      <c r="CA212" s="23">
        <v>42338</v>
      </c>
      <c r="CB212" s="224" t="s">
        <v>570</v>
      </c>
      <c r="CC212" s="224" t="s">
        <v>570</v>
      </c>
      <c r="CD212" s="224" t="s">
        <v>570</v>
      </c>
      <c r="CE212" s="13"/>
      <c r="CF212" s="127" t="s">
        <v>829</v>
      </c>
      <c r="CG212" s="13"/>
      <c r="CH212" s="13"/>
      <c r="CI212" s="13"/>
      <c r="CJ212" s="13"/>
      <c r="CK212" s="13"/>
      <c r="CL212" s="13"/>
      <c r="CM212" s="13"/>
      <c r="CN212" s="13"/>
      <c r="CO212" s="13"/>
      <c r="CP212" s="13"/>
      <c r="CQ212" s="13"/>
      <c r="CR212" s="127" t="s">
        <v>829</v>
      </c>
      <c r="CS212" s="13" t="s">
        <v>570</v>
      </c>
      <c r="CT212" s="29" t="s">
        <v>452</v>
      </c>
      <c r="CU212" s="25">
        <v>0.05</v>
      </c>
      <c r="CV212" s="23">
        <v>42347</v>
      </c>
      <c r="CW212" s="30">
        <v>538350.5</v>
      </c>
      <c r="CX212" s="176" t="s">
        <v>1023</v>
      </c>
      <c r="CY212" s="102">
        <v>42726</v>
      </c>
      <c r="CZ212" s="30">
        <f>525430.09+55988.45-150738.14</f>
        <v>430680.39999999991</v>
      </c>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31">
        <f t="shared" si="96"/>
        <v>969030.89999999991</v>
      </c>
      <c r="DZ212" s="13"/>
      <c r="EA212" s="13"/>
      <c r="EB212" s="13"/>
      <c r="EC212" s="13"/>
      <c r="ED212" s="13"/>
      <c r="EE212" s="13"/>
      <c r="EF212" s="13"/>
      <c r="EG212" s="24">
        <v>210</v>
      </c>
      <c r="EH212" s="13" t="s">
        <v>588</v>
      </c>
      <c r="EI212" s="23">
        <f>CV212+1</f>
        <v>42348</v>
      </c>
      <c r="EJ212" s="23">
        <f>EI212+EG212</f>
        <v>42558</v>
      </c>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25">
        <v>2.5000000000000001E-2</v>
      </c>
      <c r="FI212" s="25">
        <v>0.05</v>
      </c>
      <c r="FJ212" s="25">
        <v>7.4999999999999997E-2</v>
      </c>
      <c r="FK212" s="25">
        <v>0.1</v>
      </c>
      <c r="FL212" s="25">
        <v>0.2</v>
      </c>
      <c r="FM212" s="25">
        <v>0.3</v>
      </c>
      <c r="FN212" s="25">
        <v>0.4</v>
      </c>
      <c r="FO212" s="25">
        <v>0.5</v>
      </c>
      <c r="FP212" s="25">
        <v>0.6</v>
      </c>
      <c r="FQ212" s="25">
        <v>0.7</v>
      </c>
      <c r="FR212" s="25">
        <v>0.8</v>
      </c>
      <c r="FS212" s="25">
        <v>0.9</v>
      </c>
      <c r="FT212" s="25">
        <v>0.95</v>
      </c>
      <c r="FU212" s="25">
        <v>0.95</v>
      </c>
      <c r="FV212" s="25">
        <v>0.95</v>
      </c>
      <c r="FW212" s="25">
        <v>0.95</v>
      </c>
      <c r="FX212" s="25">
        <v>0.95</v>
      </c>
      <c r="FY212" s="25">
        <v>1</v>
      </c>
      <c r="FZ212" s="25">
        <v>1</v>
      </c>
      <c r="GA212" s="25">
        <v>1</v>
      </c>
      <c r="GB212" s="25">
        <v>1</v>
      </c>
      <c r="GC212" s="25">
        <v>1</v>
      </c>
      <c r="GD212" s="25">
        <v>1</v>
      </c>
      <c r="GE212" s="25">
        <v>1</v>
      </c>
      <c r="GF212" s="25">
        <v>1</v>
      </c>
      <c r="GG212" s="25">
        <v>1</v>
      </c>
      <c r="GH212" s="25">
        <v>1</v>
      </c>
      <c r="GI212" s="25">
        <v>1</v>
      </c>
      <c r="GJ212" s="25">
        <v>1</v>
      </c>
      <c r="GK212" s="25">
        <v>1</v>
      </c>
      <c r="GL212" s="25">
        <v>1</v>
      </c>
      <c r="GM212" s="25">
        <v>1</v>
      </c>
      <c r="GN212" s="25">
        <v>1</v>
      </c>
      <c r="GO212" s="25">
        <v>1</v>
      </c>
      <c r="GP212" s="25">
        <v>1</v>
      </c>
      <c r="GQ212" s="25">
        <v>1</v>
      </c>
      <c r="GR212" s="25">
        <v>1</v>
      </c>
      <c r="GS212" s="25">
        <v>1</v>
      </c>
      <c r="GT212" s="25">
        <v>1</v>
      </c>
      <c r="GU212" s="25">
        <v>1</v>
      </c>
      <c r="GV212" s="25" t="s">
        <v>455</v>
      </c>
      <c r="GW212" s="25" t="s">
        <v>455</v>
      </c>
      <c r="GX212" s="25" t="s">
        <v>455</v>
      </c>
      <c r="GY212" s="25" t="s">
        <v>455</v>
      </c>
      <c r="GZ212" s="25" t="s">
        <v>455</v>
      </c>
      <c r="HA212" s="25" t="s">
        <v>455</v>
      </c>
      <c r="HB212" s="25" t="s">
        <v>455</v>
      </c>
      <c r="HC212" s="25" t="s">
        <v>455</v>
      </c>
      <c r="HD212" s="25" t="s">
        <v>455</v>
      </c>
      <c r="HE212" s="25" t="s">
        <v>455</v>
      </c>
      <c r="HF212" s="25" t="s">
        <v>455</v>
      </c>
      <c r="HG212" s="25" t="s">
        <v>455</v>
      </c>
      <c r="HH212" s="25" t="s">
        <v>455</v>
      </c>
      <c r="HI212" s="25"/>
      <c r="HJ212" s="25"/>
      <c r="HK212" s="25"/>
      <c r="HL212" s="25"/>
      <c r="HM212" s="84"/>
      <c r="HN212" s="84"/>
      <c r="HO212" s="84"/>
      <c r="HP212" s="84"/>
      <c r="HQ212" s="84"/>
      <c r="HR212" s="84"/>
      <c r="HS212" s="84"/>
      <c r="HT212" s="84"/>
      <c r="HU212" s="13"/>
      <c r="HV212" s="13"/>
      <c r="HW212" s="32"/>
      <c r="HX212" s="55"/>
      <c r="HY212" s="55"/>
      <c r="HZ212" s="55"/>
      <c r="IA212" s="55"/>
      <c r="IB212" s="55"/>
      <c r="IC212" s="55"/>
      <c r="ID212" s="55"/>
      <c r="IE212" s="55"/>
      <c r="IF212" s="107">
        <v>1620058</v>
      </c>
      <c r="IG212" s="107">
        <v>1109543.9999999998</v>
      </c>
      <c r="IH212" s="250">
        <f t="shared" si="95"/>
        <v>0</v>
      </c>
      <c r="II212" s="55"/>
      <c r="IJ212" s="55"/>
      <c r="IK212" s="55"/>
      <c r="IL212" s="55"/>
      <c r="IM212" s="55"/>
      <c r="IN212" s="55"/>
      <c r="IO212" s="55"/>
      <c r="IP212" s="55"/>
      <c r="IQ212" s="55"/>
      <c r="IR212" s="55"/>
      <c r="IS212" s="55"/>
      <c r="IT212" s="55"/>
      <c r="IU212" s="55"/>
      <c r="IV212" s="55"/>
      <c r="IW212" s="55"/>
      <c r="IX212" s="55"/>
      <c r="IY212" s="55"/>
      <c r="IZ212" s="55"/>
      <c r="JA212" s="55"/>
      <c r="JB212" s="55"/>
      <c r="JC212" s="55"/>
      <c r="JD212" s="55">
        <v>2016</v>
      </c>
    </row>
    <row r="213" spans="1:264" s="5" customFormat="1" ht="24.95" hidden="1" customHeight="1">
      <c r="A213" s="26" t="s">
        <v>183</v>
      </c>
      <c r="B213" s="26" t="s">
        <v>27</v>
      </c>
      <c r="C213" s="13" t="s">
        <v>349</v>
      </c>
      <c r="D213" s="13" t="s">
        <v>382</v>
      </c>
      <c r="E213" s="13" t="s">
        <v>350</v>
      </c>
      <c r="F213" s="13" t="s">
        <v>350</v>
      </c>
      <c r="G213" s="39" t="s">
        <v>351</v>
      </c>
      <c r="H213" s="13" t="s">
        <v>1553</v>
      </c>
      <c r="I213" s="313" t="s">
        <v>187</v>
      </c>
      <c r="J213" s="40">
        <v>2</v>
      </c>
      <c r="K213" s="49" t="s">
        <v>375</v>
      </c>
      <c r="L213" s="314" t="s">
        <v>186</v>
      </c>
      <c r="M213" s="15" t="s">
        <v>187</v>
      </c>
      <c r="N213" s="20"/>
      <c r="O213" s="13" t="s">
        <v>3</v>
      </c>
      <c r="P213" s="13" t="s">
        <v>4</v>
      </c>
      <c r="Q213" s="22" t="s">
        <v>1118</v>
      </c>
      <c r="R213" s="314" t="s">
        <v>186</v>
      </c>
      <c r="S213" s="22" t="s">
        <v>399</v>
      </c>
      <c r="T213" s="13" t="s">
        <v>1387</v>
      </c>
      <c r="U213" s="13" t="s">
        <v>479</v>
      </c>
      <c r="V213" s="24" t="s">
        <v>705</v>
      </c>
      <c r="W213" s="13"/>
      <c r="X213" s="13"/>
      <c r="Y213" s="13"/>
      <c r="Z213" s="13"/>
      <c r="AA213" s="29"/>
      <c r="AB213" s="29">
        <f>278257.14-42857.14</f>
        <v>235400</v>
      </c>
      <c r="AC213" s="29">
        <v>0</v>
      </c>
      <c r="AD213" s="29">
        <f>278257.14-42857.14</f>
        <v>235400</v>
      </c>
      <c r="AE213" s="29">
        <v>0</v>
      </c>
      <c r="AF213" s="29">
        <f t="shared" si="100"/>
        <v>235400</v>
      </c>
      <c r="AG213" s="25">
        <v>0.12</v>
      </c>
      <c r="AH213" s="29">
        <f t="shared" si="82"/>
        <v>28248</v>
      </c>
      <c r="AI213" s="29">
        <f t="shared" si="93"/>
        <v>0</v>
      </c>
      <c r="AJ213" s="29">
        <f t="shared" si="83"/>
        <v>263648</v>
      </c>
      <c r="AK213" s="29">
        <v>235400</v>
      </c>
      <c r="AL213" s="29">
        <f>AB213-AK213</f>
        <v>0</v>
      </c>
      <c r="AM213" s="126"/>
      <c r="AN213" s="29"/>
      <c r="AO213" s="29">
        <v>357142.86</v>
      </c>
      <c r="AP213" s="29"/>
      <c r="AQ213" s="29">
        <v>235400</v>
      </c>
      <c r="AR213" s="29"/>
      <c r="AS213" s="29"/>
      <c r="AT213" s="29"/>
      <c r="AU213" s="29"/>
      <c r="AV213" s="29"/>
      <c r="AW213" s="29"/>
      <c r="AX213" s="29"/>
      <c r="AY213" s="29"/>
      <c r="AZ213" s="29"/>
      <c r="BA213" s="29"/>
      <c r="BB213" s="29"/>
      <c r="BC213" s="29"/>
      <c r="BD213" s="29"/>
      <c r="BE213" s="29"/>
      <c r="BF213" s="29">
        <f>AB213-AQ213</f>
        <v>0</v>
      </c>
      <c r="BG213" s="29">
        <f t="shared" si="94"/>
        <v>0</v>
      </c>
      <c r="BH213" s="37" t="s">
        <v>594</v>
      </c>
      <c r="BI213" s="29" t="s">
        <v>570</v>
      </c>
      <c r="BJ213" s="29" t="s">
        <v>570</v>
      </c>
      <c r="BK213" s="29" t="s">
        <v>570</v>
      </c>
      <c r="BL213" s="29" t="s">
        <v>570</v>
      </c>
      <c r="BM213" s="29" t="s">
        <v>570</v>
      </c>
      <c r="BN213" s="23">
        <v>42235</v>
      </c>
      <c r="BO213" s="23">
        <v>42265</v>
      </c>
      <c r="BP213" s="23">
        <v>42270</v>
      </c>
      <c r="BQ213" s="23">
        <v>42275</v>
      </c>
      <c r="BR213" s="13" t="s">
        <v>570</v>
      </c>
      <c r="BS213" s="23">
        <v>42290</v>
      </c>
      <c r="BT213" s="23">
        <v>42297</v>
      </c>
      <c r="BU213" s="13" t="s">
        <v>570</v>
      </c>
      <c r="BV213" s="13" t="s">
        <v>570</v>
      </c>
      <c r="BW213" s="224" t="s">
        <v>570</v>
      </c>
      <c r="BX213" s="13" t="s">
        <v>503</v>
      </c>
      <c r="BY213" s="13" t="s">
        <v>570</v>
      </c>
      <c r="BZ213" s="23">
        <v>42299</v>
      </c>
      <c r="CA213" s="23">
        <v>42321</v>
      </c>
      <c r="CB213" s="224" t="s">
        <v>570</v>
      </c>
      <c r="CC213" s="224" t="s">
        <v>570</v>
      </c>
      <c r="CD213" s="224" t="s">
        <v>570</v>
      </c>
      <c r="CE213" s="13"/>
      <c r="CF213" s="127" t="s">
        <v>829</v>
      </c>
      <c r="CG213" s="13"/>
      <c r="CH213" s="13"/>
      <c r="CI213" s="13"/>
      <c r="CJ213" s="13"/>
      <c r="CK213" s="13"/>
      <c r="CL213" s="13"/>
      <c r="CM213" s="13"/>
      <c r="CN213" s="13"/>
      <c r="CO213" s="13"/>
      <c r="CP213" s="13"/>
      <c r="CQ213" s="13"/>
      <c r="CR213" s="127" t="s">
        <v>829</v>
      </c>
      <c r="CS213" s="13" t="s">
        <v>570</v>
      </c>
      <c r="CT213" s="29" t="s">
        <v>452</v>
      </c>
      <c r="CU213" s="25">
        <v>0.05</v>
      </c>
      <c r="CV213" s="23">
        <v>42538</v>
      </c>
      <c r="CW213" s="30">
        <f>AQ213*0.5</f>
        <v>117700</v>
      </c>
      <c r="CX213" s="176" t="s">
        <v>1024</v>
      </c>
      <c r="CY213" s="102">
        <v>42717</v>
      </c>
      <c r="CZ213" s="30">
        <f>235400-117700</f>
        <v>117700</v>
      </c>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31">
        <f t="shared" si="96"/>
        <v>235400</v>
      </c>
      <c r="DZ213" s="13"/>
      <c r="EA213" s="13"/>
      <c r="EB213" s="13"/>
      <c r="EC213" s="13"/>
      <c r="ED213" s="13"/>
      <c r="EE213" s="13"/>
      <c r="EF213" s="13"/>
      <c r="EG213" s="24">
        <v>210</v>
      </c>
      <c r="EH213" s="13" t="s">
        <v>588</v>
      </c>
      <c r="EI213" s="23">
        <f>CV213+1</f>
        <v>42539</v>
      </c>
      <c r="EJ213" s="23">
        <f>EI213+EG213</f>
        <v>42749</v>
      </c>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25"/>
      <c r="FI213" s="25"/>
      <c r="FJ213" s="25"/>
      <c r="FK213" s="25"/>
      <c r="FL213" s="25"/>
      <c r="FM213" s="25"/>
      <c r="FN213" s="25"/>
      <c r="FO213" s="25"/>
      <c r="FP213" s="25"/>
      <c r="FQ213" s="25"/>
      <c r="FR213" s="25"/>
      <c r="FS213" s="25">
        <v>1</v>
      </c>
      <c r="FT213" s="25">
        <v>1</v>
      </c>
      <c r="FU213" s="25">
        <v>1</v>
      </c>
      <c r="FV213" s="25">
        <v>1</v>
      </c>
      <c r="FW213" s="25">
        <v>1</v>
      </c>
      <c r="FX213" s="25">
        <v>1</v>
      </c>
      <c r="FY213" s="25">
        <v>1</v>
      </c>
      <c r="FZ213" s="25">
        <v>1</v>
      </c>
      <c r="GA213" s="25">
        <v>1</v>
      </c>
      <c r="GB213" s="25">
        <v>1</v>
      </c>
      <c r="GC213" s="25">
        <v>1</v>
      </c>
      <c r="GD213" s="25">
        <v>1</v>
      </c>
      <c r="GE213" s="25">
        <v>1</v>
      </c>
      <c r="GF213" s="25">
        <v>1</v>
      </c>
      <c r="GG213" s="25">
        <v>1</v>
      </c>
      <c r="GH213" s="25">
        <v>1</v>
      </c>
      <c r="GI213" s="25">
        <v>1</v>
      </c>
      <c r="GJ213" s="25">
        <v>1</v>
      </c>
      <c r="GK213" s="25">
        <v>1</v>
      </c>
      <c r="GL213" s="25">
        <v>1</v>
      </c>
      <c r="GM213" s="25">
        <v>1</v>
      </c>
      <c r="GN213" s="25">
        <v>1</v>
      </c>
      <c r="GO213" s="25">
        <v>1</v>
      </c>
      <c r="GP213" s="25">
        <v>1</v>
      </c>
      <c r="GQ213" s="25">
        <v>1</v>
      </c>
      <c r="GR213" s="25">
        <v>1</v>
      </c>
      <c r="GS213" s="25">
        <v>1</v>
      </c>
      <c r="GT213" s="25">
        <v>1</v>
      </c>
      <c r="GU213" s="25">
        <v>1</v>
      </c>
      <c r="GV213" s="25" t="s">
        <v>455</v>
      </c>
      <c r="GW213" s="25" t="s">
        <v>455</v>
      </c>
      <c r="GX213" s="25" t="s">
        <v>455</v>
      </c>
      <c r="GY213" s="25" t="s">
        <v>455</v>
      </c>
      <c r="GZ213" s="25" t="s">
        <v>455</v>
      </c>
      <c r="HA213" s="25" t="s">
        <v>455</v>
      </c>
      <c r="HB213" s="25" t="s">
        <v>455</v>
      </c>
      <c r="HC213" s="25" t="s">
        <v>455</v>
      </c>
      <c r="HD213" s="25" t="s">
        <v>455</v>
      </c>
      <c r="HE213" s="25" t="s">
        <v>455</v>
      </c>
      <c r="HF213" s="25" t="s">
        <v>455</v>
      </c>
      <c r="HG213" s="25" t="s">
        <v>455</v>
      </c>
      <c r="HH213" s="25" t="s">
        <v>455</v>
      </c>
      <c r="HI213" s="25"/>
      <c r="HJ213" s="25"/>
      <c r="HK213" s="25"/>
      <c r="HL213" s="25"/>
      <c r="HM213" s="84"/>
      <c r="HN213" s="84"/>
      <c r="HO213" s="84"/>
      <c r="HP213" s="84"/>
      <c r="HQ213" s="84"/>
      <c r="HR213" s="84"/>
      <c r="HS213" s="84"/>
      <c r="HT213" s="84"/>
      <c r="HU213" s="13"/>
      <c r="HV213" s="13"/>
      <c r="HW213" s="32"/>
      <c r="HX213" s="55"/>
      <c r="HY213" s="55"/>
      <c r="HZ213" s="55"/>
      <c r="IA213" s="55"/>
      <c r="IB213" s="55"/>
      <c r="IC213" s="55"/>
      <c r="ID213" s="55"/>
      <c r="IE213" s="55"/>
      <c r="IF213" s="107">
        <v>278257.14</v>
      </c>
      <c r="IG213" s="107">
        <v>235400</v>
      </c>
      <c r="IH213" s="250">
        <f t="shared" si="95"/>
        <v>0</v>
      </c>
      <c r="II213" s="55"/>
      <c r="IJ213" s="55"/>
      <c r="IK213" s="55"/>
      <c r="IL213" s="55"/>
      <c r="IM213" s="55"/>
      <c r="IN213" s="55"/>
      <c r="IO213" s="55"/>
      <c r="IP213" s="55"/>
      <c r="IQ213" s="55"/>
      <c r="IR213" s="55"/>
      <c r="IS213" s="55"/>
      <c r="IT213" s="55"/>
      <c r="IU213" s="55"/>
      <c r="IV213" s="55"/>
      <c r="IW213" s="55"/>
      <c r="IX213" s="55"/>
      <c r="IY213" s="55"/>
      <c r="IZ213" s="55"/>
      <c r="JA213" s="55"/>
      <c r="JB213" s="55"/>
      <c r="JC213" s="55"/>
      <c r="JD213" s="55">
        <v>2016</v>
      </c>
    </row>
    <row r="214" spans="1:264" s="5" customFormat="1" ht="42.75" hidden="1" customHeight="1">
      <c r="A214" s="26" t="s">
        <v>183</v>
      </c>
      <c r="B214" s="26" t="s">
        <v>27</v>
      </c>
      <c r="C214" s="13" t="s">
        <v>349</v>
      </c>
      <c r="D214" s="13" t="s">
        <v>382</v>
      </c>
      <c r="E214" s="13" t="s">
        <v>360</v>
      </c>
      <c r="F214" s="13" t="s">
        <v>360</v>
      </c>
      <c r="G214" s="39" t="s">
        <v>354</v>
      </c>
      <c r="H214" s="13" t="s">
        <v>1553</v>
      </c>
      <c r="I214" s="34" t="s">
        <v>1816</v>
      </c>
      <c r="J214" s="40"/>
      <c r="K214" s="49" t="s">
        <v>375</v>
      </c>
      <c r="L214" s="314" t="s">
        <v>1865</v>
      </c>
      <c r="M214" s="15" t="s">
        <v>1816</v>
      </c>
      <c r="N214" s="20"/>
      <c r="O214" s="13" t="s">
        <v>3</v>
      </c>
      <c r="P214" s="13" t="s">
        <v>4</v>
      </c>
      <c r="Q214" s="22" t="s">
        <v>364</v>
      </c>
      <c r="R214" s="314"/>
      <c r="S214" s="22" t="s">
        <v>2081</v>
      </c>
      <c r="T214" s="13"/>
      <c r="U214" s="13"/>
      <c r="V214" s="299" t="s">
        <v>2082</v>
      </c>
      <c r="W214" s="13" t="s">
        <v>2089</v>
      </c>
      <c r="X214" s="13"/>
      <c r="Y214" s="13"/>
      <c r="Z214" s="13"/>
      <c r="AA214" s="29"/>
      <c r="AB214" s="29">
        <v>133340.13</v>
      </c>
      <c r="AC214" s="29"/>
      <c r="AD214" s="29">
        <v>133340.13</v>
      </c>
      <c r="AE214" s="29">
        <v>54462.869999999995</v>
      </c>
      <c r="AF214" s="29">
        <v>187803</v>
      </c>
      <c r="AG214" s="25">
        <v>0.12</v>
      </c>
      <c r="AH214" s="29">
        <v>16000.8156</v>
      </c>
      <c r="AI214" s="29">
        <v>6535.5443999999989</v>
      </c>
      <c r="AJ214" s="29">
        <v>210339.36000000002</v>
      </c>
      <c r="AK214" s="29"/>
      <c r="AL214" s="29"/>
      <c r="AM214" s="29"/>
      <c r="AN214" s="29"/>
      <c r="AO214" s="29">
        <v>133340.13</v>
      </c>
      <c r="AP214" s="29"/>
      <c r="AQ214" s="29">
        <v>160470.71</v>
      </c>
      <c r="AR214" s="316">
        <v>0.12</v>
      </c>
      <c r="AS214" s="41">
        <f>ROUND(AQ214*0.12,2)</f>
        <v>19256.490000000002</v>
      </c>
      <c r="AT214" s="41">
        <f>ROUND((AQ214+AS214),2)</f>
        <v>179727.2</v>
      </c>
      <c r="AU214" s="29"/>
      <c r="AV214" s="29"/>
      <c r="AW214" s="29"/>
      <c r="AX214" s="29"/>
      <c r="AY214" s="29"/>
      <c r="AZ214" s="29"/>
      <c r="BA214" s="29"/>
      <c r="BB214" s="29"/>
      <c r="BC214" s="29"/>
      <c r="BD214" s="29"/>
      <c r="BE214" s="29"/>
      <c r="BF214" s="29"/>
      <c r="BG214" s="29"/>
      <c r="BH214" s="37"/>
      <c r="BI214" s="29"/>
      <c r="BJ214" s="29"/>
      <c r="BK214" s="29"/>
      <c r="BL214" s="29"/>
      <c r="BM214" s="29"/>
      <c r="BN214" s="23"/>
      <c r="BO214" s="23"/>
      <c r="BP214" s="23"/>
      <c r="BQ214" s="23"/>
      <c r="BR214" s="13"/>
      <c r="BS214" s="23"/>
      <c r="BT214" s="23"/>
      <c r="BU214" s="13"/>
      <c r="BV214" s="13"/>
      <c r="BW214" s="224"/>
      <c r="BX214" s="23">
        <v>43809</v>
      </c>
      <c r="BY214" s="13"/>
      <c r="BZ214" s="23"/>
      <c r="CA214" s="23"/>
      <c r="CB214" s="224"/>
      <c r="CC214" s="224"/>
      <c r="CD214" s="224"/>
      <c r="CE214" s="13"/>
      <c r="CF214" s="127"/>
      <c r="CG214" s="13"/>
      <c r="CH214" s="13"/>
      <c r="CI214" s="13"/>
      <c r="CJ214" s="13"/>
      <c r="CK214" s="13"/>
      <c r="CL214" s="13"/>
      <c r="CM214" s="13"/>
      <c r="CN214" s="13"/>
      <c r="CO214" s="23">
        <v>43809</v>
      </c>
      <c r="CP214" s="13"/>
      <c r="CQ214" s="13"/>
      <c r="CR214" s="127"/>
      <c r="CS214" s="13"/>
      <c r="CT214" s="29"/>
      <c r="CU214" s="25"/>
      <c r="CV214" s="23"/>
      <c r="CW214" s="30"/>
      <c r="CX214" s="176"/>
      <c r="CY214" s="102"/>
      <c r="CZ214" s="30"/>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31"/>
      <c r="DZ214" s="13"/>
      <c r="EA214" s="13"/>
      <c r="EB214" s="13"/>
      <c r="EC214" s="13"/>
      <c r="ED214" s="13"/>
      <c r="EE214" s="13"/>
      <c r="EF214" s="13"/>
      <c r="EG214" s="24">
        <v>100</v>
      </c>
      <c r="EH214" s="13"/>
      <c r="EI214" s="23"/>
      <c r="EJ214" s="2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25"/>
      <c r="FI214" s="25"/>
      <c r="FJ214" s="25"/>
      <c r="FK214" s="25"/>
      <c r="FL214" s="25"/>
      <c r="FM214" s="25"/>
      <c r="FN214" s="25"/>
      <c r="FO214" s="25"/>
      <c r="FP214" s="25"/>
      <c r="FQ214" s="25"/>
      <c r="FR214" s="25"/>
      <c r="FS214" s="25"/>
      <c r="FT214" s="25"/>
      <c r="FU214" s="25"/>
      <c r="FV214" s="25"/>
      <c r="FW214" s="25"/>
      <c r="FX214" s="25"/>
      <c r="FY214" s="25"/>
      <c r="FZ214" s="25"/>
      <c r="GA214" s="25"/>
      <c r="GB214" s="25"/>
      <c r="GC214" s="25"/>
      <c r="GD214" s="25"/>
      <c r="GE214" s="25"/>
      <c r="GF214" s="25"/>
      <c r="GG214" s="25"/>
      <c r="GH214" s="25"/>
      <c r="GI214" s="25"/>
      <c r="GJ214" s="25"/>
      <c r="GK214" s="25"/>
      <c r="GL214" s="25"/>
      <c r="GM214" s="25"/>
      <c r="GN214" s="25"/>
      <c r="GO214" s="25"/>
      <c r="GP214" s="25">
        <v>0</v>
      </c>
      <c r="GQ214" s="25">
        <v>0</v>
      </c>
      <c r="GR214" s="25">
        <v>0</v>
      </c>
      <c r="GS214" s="25">
        <v>0</v>
      </c>
      <c r="GT214" s="25">
        <v>0</v>
      </c>
      <c r="GU214" s="25">
        <v>0</v>
      </c>
      <c r="GV214" s="25" t="s">
        <v>1588</v>
      </c>
      <c r="GW214" s="25" t="s">
        <v>1588</v>
      </c>
      <c r="GX214" s="25"/>
      <c r="GY214" s="25"/>
      <c r="GZ214" s="25"/>
      <c r="HA214" s="25"/>
      <c r="HB214" s="25"/>
      <c r="HC214" s="25" t="s">
        <v>1588</v>
      </c>
      <c r="HD214" s="25" t="s">
        <v>1588</v>
      </c>
      <c r="HE214" s="25" t="s">
        <v>1588</v>
      </c>
      <c r="HF214" s="25" t="s">
        <v>1588</v>
      </c>
      <c r="HG214" s="25" t="s">
        <v>1588</v>
      </c>
      <c r="HH214" s="25" t="s">
        <v>1588</v>
      </c>
      <c r="HI214" s="25"/>
      <c r="HJ214" s="25"/>
      <c r="HK214" s="25"/>
      <c r="HL214" s="25"/>
      <c r="HM214" s="84"/>
      <c r="HN214" s="84"/>
      <c r="HO214" s="84"/>
      <c r="HP214" s="84"/>
      <c r="HQ214" s="84"/>
      <c r="HR214" s="84"/>
      <c r="HS214" s="84" t="s">
        <v>2074</v>
      </c>
      <c r="HT214" s="84" t="s">
        <v>2074</v>
      </c>
      <c r="HU214" s="13"/>
      <c r="HV214" s="13"/>
      <c r="HW214" s="32"/>
      <c r="HX214" s="55"/>
      <c r="HY214" s="55"/>
      <c r="HZ214" s="55"/>
      <c r="IA214" s="55"/>
      <c r="IB214" s="55"/>
      <c r="IC214" s="55"/>
      <c r="ID214" s="55"/>
      <c r="IE214" s="55"/>
      <c r="IF214" s="55"/>
      <c r="IG214" s="55"/>
      <c r="IH214" s="250">
        <v>0</v>
      </c>
      <c r="II214" s="55"/>
      <c r="IJ214" s="55"/>
      <c r="IK214" s="55"/>
      <c r="IL214" s="55"/>
      <c r="IM214" s="55"/>
      <c r="IN214" s="55"/>
      <c r="IO214" s="55"/>
      <c r="IP214" s="55"/>
      <c r="IQ214" s="55"/>
      <c r="IR214" s="55"/>
      <c r="IS214" s="55"/>
      <c r="IT214" s="55"/>
      <c r="IU214" s="55"/>
      <c r="IV214" s="55"/>
      <c r="IW214" s="55"/>
      <c r="IX214" s="55"/>
      <c r="IY214" s="55"/>
      <c r="IZ214" s="55"/>
      <c r="JA214" s="55"/>
      <c r="JB214" s="55"/>
      <c r="JC214" s="55"/>
      <c r="JD214" s="55">
        <v>2019</v>
      </c>
    </row>
    <row r="215" spans="1:264" s="5" customFormat="1" ht="42.75" hidden="1" customHeight="1">
      <c r="A215" s="26" t="s">
        <v>183</v>
      </c>
      <c r="B215" s="26" t="s">
        <v>27</v>
      </c>
      <c r="C215" s="13" t="s">
        <v>349</v>
      </c>
      <c r="D215" s="13" t="s">
        <v>382</v>
      </c>
      <c r="E215" s="13" t="s">
        <v>360</v>
      </c>
      <c r="F215" s="13" t="s">
        <v>360</v>
      </c>
      <c r="G215" s="39" t="s">
        <v>354</v>
      </c>
      <c r="H215" s="13" t="s">
        <v>1553</v>
      </c>
      <c r="I215" s="34" t="s">
        <v>1817</v>
      </c>
      <c r="J215" s="40"/>
      <c r="K215" s="49" t="s">
        <v>375</v>
      </c>
      <c r="L215" s="314" t="s">
        <v>1866</v>
      </c>
      <c r="M215" s="15" t="s">
        <v>1817</v>
      </c>
      <c r="N215" s="20"/>
      <c r="O215" s="13" t="s">
        <v>3</v>
      </c>
      <c r="P215" s="13" t="s">
        <v>4</v>
      </c>
      <c r="Q215" s="22" t="s">
        <v>364</v>
      </c>
      <c r="R215" s="314"/>
      <c r="S215" s="22" t="s">
        <v>2083</v>
      </c>
      <c r="T215" s="13"/>
      <c r="U215" s="13"/>
      <c r="V215" s="299" t="s">
        <v>2084</v>
      </c>
      <c r="W215" s="13" t="s">
        <v>2085</v>
      </c>
      <c r="X215" s="13"/>
      <c r="Y215" s="13"/>
      <c r="Z215" s="13"/>
      <c r="AA215" s="29"/>
      <c r="AB215" s="29">
        <v>83870.17</v>
      </c>
      <c r="AC215" s="29"/>
      <c r="AD215" s="29">
        <v>83870.17</v>
      </c>
      <c r="AE215" s="29">
        <v>34256.829999999994</v>
      </c>
      <c r="AF215" s="29">
        <v>118127</v>
      </c>
      <c r="AG215" s="25">
        <v>0.12</v>
      </c>
      <c r="AH215" s="29">
        <v>10064.420399999999</v>
      </c>
      <c r="AI215" s="29">
        <v>4110.8195999999989</v>
      </c>
      <c r="AJ215" s="29">
        <v>132302.24000000002</v>
      </c>
      <c r="AK215" s="29"/>
      <c r="AL215" s="29"/>
      <c r="AM215" s="29"/>
      <c r="AN215" s="29"/>
      <c r="AO215" s="29">
        <v>118127</v>
      </c>
      <c r="AP215" s="29"/>
      <c r="AQ215" s="29">
        <v>106238.45</v>
      </c>
      <c r="AR215" s="316">
        <v>0.12</v>
      </c>
      <c r="AS215" s="41">
        <f>ROUND(AQ215*0.12,2)</f>
        <v>12748.61</v>
      </c>
      <c r="AT215" s="41">
        <f>ROUND((AQ215+AS215),2)</f>
        <v>118987.06</v>
      </c>
      <c r="AU215" s="29"/>
      <c r="AV215" s="29"/>
      <c r="AW215" s="29"/>
      <c r="AX215" s="29"/>
      <c r="AY215" s="29"/>
      <c r="AZ215" s="29"/>
      <c r="BA215" s="29"/>
      <c r="BB215" s="29"/>
      <c r="BC215" s="29"/>
      <c r="BD215" s="29"/>
      <c r="BE215" s="29"/>
      <c r="BF215" s="29"/>
      <c r="BG215" s="29"/>
      <c r="BH215" s="37"/>
      <c r="BI215" s="29"/>
      <c r="BJ215" s="29"/>
      <c r="BK215" s="29"/>
      <c r="BL215" s="29"/>
      <c r="BM215" s="29"/>
      <c r="BN215" s="23"/>
      <c r="BO215" s="23"/>
      <c r="BP215" s="23"/>
      <c r="BQ215" s="23"/>
      <c r="BR215" s="13"/>
      <c r="BS215" s="23"/>
      <c r="BT215" s="23"/>
      <c r="BU215" s="13"/>
      <c r="BV215" s="13"/>
      <c r="BW215" s="224"/>
      <c r="BX215" s="23">
        <v>43775</v>
      </c>
      <c r="BY215" s="13"/>
      <c r="BZ215" s="23"/>
      <c r="CA215" s="23"/>
      <c r="CB215" s="224"/>
      <c r="CC215" s="224"/>
      <c r="CD215" s="224"/>
      <c r="CE215" s="13"/>
      <c r="CF215" s="127"/>
      <c r="CG215" s="13"/>
      <c r="CH215" s="13"/>
      <c r="CI215" s="13"/>
      <c r="CJ215" s="13"/>
      <c r="CK215" s="13"/>
      <c r="CL215" s="13"/>
      <c r="CM215" s="13"/>
      <c r="CN215" s="13"/>
      <c r="CO215" s="23">
        <v>43775</v>
      </c>
      <c r="CP215" s="13"/>
      <c r="CQ215" s="13"/>
      <c r="CR215" s="127"/>
      <c r="CS215" s="13"/>
      <c r="CT215" s="29"/>
      <c r="CU215" s="25"/>
      <c r="CV215" s="23"/>
      <c r="CW215" s="30"/>
      <c r="CX215" s="176"/>
      <c r="CY215" s="102"/>
      <c r="CZ215" s="30"/>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31"/>
      <c r="DZ215" s="13"/>
      <c r="EA215" s="13"/>
      <c r="EB215" s="13"/>
      <c r="EC215" s="13"/>
      <c r="ED215" s="13"/>
      <c r="EE215" s="13"/>
      <c r="EF215" s="13"/>
      <c r="EG215" s="24">
        <v>70</v>
      </c>
      <c r="EH215" s="13"/>
      <c r="EI215" s="23"/>
      <c r="EJ215" s="2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25"/>
      <c r="FI215" s="25"/>
      <c r="FJ215" s="25"/>
      <c r="FK215" s="25"/>
      <c r="FL215" s="25"/>
      <c r="FM215" s="25"/>
      <c r="FN215" s="25"/>
      <c r="FO215" s="25"/>
      <c r="FP215" s="25"/>
      <c r="FQ215" s="25"/>
      <c r="FR215" s="25"/>
      <c r="FS215" s="25"/>
      <c r="FT215" s="25"/>
      <c r="FU215" s="25"/>
      <c r="FV215" s="25"/>
      <c r="FW215" s="25"/>
      <c r="FX215" s="25"/>
      <c r="FY215" s="25"/>
      <c r="FZ215" s="25"/>
      <c r="GA215" s="25"/>
      <c r="GB215" s="25"/>
      <c r="GC215" s="25"/>
      <c r="GD215" s="25"/>
      <c r="GE215" s="25"/>
      <c r="GF215" s="25"/>
      <c r="GG215" s="25"/>
      <c r="GH215" s="25"/>
      <c r="GI215" s="25"/>
      <c r="GJ215" s="25"/>
      <c r="GK215" s="25"/>
      <c r="GL215" s="25"/>
      <c r="GM215" s="25"/>
      <c r="GN215" s="25"/>
      <c r="GO215" s="25"/>
      <c r="GP215" s="25">
        <v>0</v>
      </c>
      <c r="GQ215" s="25">
        <v>0</v>
      </c>
      <c r="GR215" s="25">
        <v>0</v>
      </c>
      <c r="GS215" s="25">
        <v>0</v>
      </c>
      <c r="GT215" s="25">
        <v>0</v>
      </c>
      <c r="GU215" s="25">
        <v>0</v>
      </c>
      <c r="GV215" s="25" t="s">
        <v>1588</v>
      </c>
      <c r="GW215" s="25" t="s">
        <v>1588</v>
      </c>
      <c r="GX215" s="25"/>
      <c r="GY215" s="25"/>
      <c r="GZ215" s="25"/>
      <c r="HA215" s="25"/>
      <c r="HB215" s="25"/>
      <c r="HC215" s="25" t="s">
        <v>1588</v>
      </c>
      <c r="HD215" s="25" t="s">
        <v>1588</v>
      </c>
      <c r="HE215" s="25" t="s">
        <v>1588</v>
      </c>
      <c r="HF215" s="25" t="s">
        <v>1588</v>
      </c>
      <c r="HG215" s="25" t="s">
        <v>1588</v>
      </c>
      <c r="HH215" s="25" t="s">
        <v>1588</v>
      </c>
      <c r="HI215" s="25"/>
      <c r="HJ215" s="25"/>
      <c r="HK215" s="25"/>
      <c r="HL215" s="25"/>
      <c r="HM215" s="84"/>
      <c r="HN215" s="84"/>
      <c r="HO215" s="84"/>
      <c r="HP215" s="84"/>
      <c r="HQ215" s="84"/>
      <c r="HR215" s="84"/>
      <c r="HS215" s="84" t="s">
        <v>2073</v>
      </c>
      <c r="HT215" s="84" t="s">
        <v>2073</v>
      </c>
      <c r="HU215" s="13"/>
      <c r="HV215" s="13"/>
      <c r="HW215" s="32"/>
      <c r="HX215" s="55"/>
      <c r="HY215" s="55"/>
      <c r="HZ215" s="55"/>
      <c r="IA215" s="55"/>
      <c r="IB215" s="55"/>
      <c r="IC215" s="55"/>
      <c r="ID215" s="55"/>
      <c r="IE215" s="55"/>
      <c r="IF215" s="55"/>
      <c r="IG215" s="55"/>
      <c r="IH215" s="250">
        <v>0</v>
      </c>
      <c r="II215" s="55"/>
      <c r="IJ215" s="55"/>
      <c r="IK215" s="55"/>
      <c r="IL215" s="55"/>
      <c r="IM215" s="55"/>
      <c r="IN215" s="55"/>
      <c r="IO215" s="55"/>
      <c r="IP215" s="55"/>
      <c r="IQ215" s="55"/>
      <c r="IR215" s="55"/>
      <c r="IS215" s="55"/>
      <c r="IT215" s="55"/>
      <c r="IU215" s="55"/>
      <c r="IV215" s="55"/>
      <c r="IW215" s="55"/>
      <c r="IX215" s="55"/>
      <c r="IY215" s="55"/>
      <c r="IZ215" s="55"/>
      <c r="JA215" s="55"/>
      <c r="JB215" s="55"/>
      <c r="JC215" s="55"/>
      <c r="JD215" s="55">
        <v>2019</v>
      </c>
    </row>
    <row r="216" spans="1:264" s="5" customFormat="1" ht="34.5" hidden="1" customHeight="1">
      <c r="A216" s="26" t="s">
        <v>183</v>
      </c>
      <c r="B216" s="26" t="s">
        <v>27</v>
      </c>
      <c r="C216" s="13" t="s">
        <v>349</v>
      </c>
      <c r="D216" s="13" t="s">
        <v>382</v>
      </c>
      <c r="E216" s="13" t="s">
        <v>360</v>
      </c>
      <c r="F216" s="13" t="s">
        <v>360</v>
      </c>
      <c r="G216" s="39" t="s">
        <v>354</v>
      </c>
      <c r="H216" s="13" t="s">
        <v>1553</v>
      </c>
      <c r="I216" s="34" t="s">
        <v>1818</v>
      </c>
      <c r="J216" s="40"/>
      <c r="K216" s="49" t="s">
        <v>375</v>
      </c>
      <c r="L216" s="314" t="s">
        <v>1867</v>
      </c>
      <c r="M216" s="15" t="s">
        <v>1818</v>
      </c>
      <c r="N216" s="20"/>
      <c r="O216" s="13" t="s">
        <v>3</v>
      </c>
      <c r="P216" s="13" t="s">
        <v>4</v>
      </c>
      <c r="Q216" s="22" t="s">
        <v>364</v>
      </c>
      <c r="R216" s="314"/>
      <c r="S216" s="22" t="s">
        <v>2081</v>
      </c>
      <c r="T216" s="13"/>
      <c r="U216" s="13"/>
      <c r="V216" s="299" t="s">
        <v>2082</v>
      </c>
      <c r="W216" s="13" t="s">
        <v>2085</v>
      </c>
      <c r="X216" s="13"/>
      <c r="Y216" s="13"/>
      <c r="Z216" s="13"/>
      <c r="AA216" s="29"/>
      <c r="AB216" s="29">
        <v>125446.35</v>
      </c>
      <c r="AC216" s="29"/>
      <c r="AD216" s="29">
        <v>125446.34999999999</v>
      </c>
      <c r="AE216" s="29">
        <v>51238.649999999994</v>
      </c>
      <c r="AF216" s="29">
        <v>176685</v>
      </c>
      <c r="AG216" s="25">
        <v>0.12</v>
      </c>
      <c r="AH216" s="29">
        <v>15053.561999999998</v>
      </c>
      <c r="AI216" s="29">
        <v>6148.637999999999</v>
      </c>
      <c r="AJ216" s="29">
        <v>197887.2</v>
      </c>
      <c r="AK216" s="29"/>
      <c r="AL216" s="29"/>
      <c r="AM216" s="29"/>
      <c r="AN216" s="29"/>
      <c r="AO216" s="29">
        <v>125446.35</v>
      </c>
      <c r="AP216" s="29"/>
      <c r="AQ216" s="29">
        <v>148042</v>
      </c>
      <c r="AR216" s="316">
        <v>0.12</v>
      </c>
      <c r="AS216" s="41">
        <f>ROUND(AQ216*0.12,2)</f>
        <v>17765.04</v>
      </c>
      <c r="AT216" s="41">
        <f>ROUND((AQ216+AS216),2)</f>
        <v>165807.04000000001</v>
      </c>
      <c r="AU216" s="29"/>
      <c r="AV216" s="29"/>
      <c r="AW216" s="29"/>
      <c r="AX216" s="29"/>
      <c r="AY216" s="29"/>
      <c r="AZ216" s="29"/>
      <c r="BA216" s="29"/>
      <c r="BB216" s="29"/>
      <c r="BC216" s="29"/>
      <c r="BD216" s="29"/>
      <c r="BE216" s="29"/>
      <c r="BF216" s="29"/>
      <c r="BG216" s="29"/>
      <c r="BH216" s="37"/>
      <c r="BI216" s="29"/>
      <c r="BJ216" s="29"/>
      <c r="BK216" s="29"/>
      <c r="BL216" s="29"/>
      <c r="BM216" s="29"/>
      <c r="BN216" s="23"/>
      <c r="BO216" s="23"/>
      <c r="BP216" s="23"/>
      <c r="BQ216" s="23"/>
      <c r="BR216" s="13"/>
      <c r="BS216" s="23"/>
      <c r="BT216" s="23"/>
      <c r="BU216" s="13"/>
      <c r="BV216" s="13"/>
      <c r="BW216" s="224"/>
      <c r="BX216" s="23">
        <v>43809</v>
      </c>
      <c r="BY216" s="13"/>
      <c r="BZ216" s="23"/>
      <c r="CA216" s="23"/>
      <c r="CB216" s="224"/>
      <c r="CC216" s="224"/>
      <c r="CD216" s="224"/>
      <c r="CE216" s="13"/>
      <c r="CF216" s="127"/>
      <c r="CG216" s="13"/>
      <c r="CH216" s="13"/>
      <c r="CI216" s="13"/>
      <c r="CJ216" s="13"/>
      <c r="CK216" s="13"/>
      <c r="CL216" s="13"/>
      <c r="CM216" s="13"/>
      <c r="CN216" s="13"/>
      <c r="CO216" s="13"/>
      <c r="CP216" s="13"/>
      <c r="CQ216" s="13"/>
      <c r="CR216" s="127"/>
      <c r="CS216" s="13"/>
      <c r="CT216" s="29"/>
      <c r="CU216" s="25"/>
      <c r="CV216" s="23"/>
      <c r="CW216" s="30"/>
      <c r="CX216" s="176"/>
      <c r="CY216" s="102"/>
      <c r="CZ216" s="30"/>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31"/>
      <c r="DZ216" s="13"/>
      <c r="EA216" s="13"/>
      <c r="EB216" s="13"/>
      <c r="EC216" s="13"/>
      <c r="ED216" s="13"/>
      <c r="EE216" s="13"/>
      <c r="EF216" s="13"/>
      <c r="EG216" s="24"/>
      <c r="EH216" s="13"/>
      <c r="EI216" s="23"/>
      <c r="EJ216" s="2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25"/>
      <c r="FI216" s="25"/>
      <c r="FJ216" s="25"/>
      <c r="FK216" s="25"/>
      <c r="FL216" s="25"/>
      <c r="FM216" s="25"/>
      <c r="FN216" s="25"/>
      <c r="FO216" s="25"/>
      <c r="FP216" s="25"/>
      <c r="FQ216" s="25"/>
      <c r="FR216" s="25"/>
      <c r="FS216" s="25"/>
      <c r="FT216" s="25"/>
      <c r="FU216" s="25"/>
      <c r="FV216" s="25"/>
      <c r="FW216" s="25"/>
      <c r="FX216" s="25"/>
      <c r="FY216" s="25"/>
      <c r="FZ216" s="25"/>
      <c r="GA216" s="25"/>
      <c r="GB216" s="25"/>
      <c r="GC216" s="25"/>
      <c r="GD216" s="25"/>
      <c r="GE216" s="25"/>
      <c r="GF216" s="25"/>
      <c r="GG216" s="25"/>
      <c r="GH216" s="25"/>
      <c r="GI216" s="25"/>
      <c r="GJ216" s="25"/>
      <c r="GK216" s="25"/>
      <c r="GL216" s="25"/>
      <c r="GM216" s="25"/>
      <c r="GN216" s="25"/>
      <c r="GO216" s="25"/>
      <c r="GP216" s="25">
        <v>0</v>
      </c>
      <c r="GQ216" s="25">
        <v>0</v>
      </c>
      <c r="GR216" s="25">
        <v>0</v>
      </c>
      <c r="GS216" s="25">
        <v>0</v>
      </c>
      <c r="GT216" s="25">
        <v>0</v>
      </c>
      <c r="GU216" s="25">
        <v>0</v>
      </c>
      <c r="GV216" s="25" t="s">
        <v>1588</v>
      </c>
      <c r="GW216" s="25" t="s">
        <v>1588</v>
      </c>
      <c r="GX216" s="25"/>
      <c r="GY216" s="25"/>
      <c r="GZ216" s="25"/>
      <c r="HA216" s="25"/>
      <c r="HB216" s="25"/>
      <c r="HC216" s="25" t="s">
        <v>1588</v>
      </c>
      <c r="HD216" s="25" t="s">
        <v>1588</v>
      </c>
      <c r="HE216" s="25" t="s">
        <v>1588</v>
      </c>
      <c r="HF216" s="25" t="s">
        <v>1588</v>
      </c>
      <c r="HG216" s="25" t="s">
        <v>1588</v>
      </c>
      <c r="HH216" s="25" t="s">
        <v>1588</v>
      </c>
      <c r="HI216" s="25"/>
      <c r="HJ216" s="25"/>
      <c r="HK216" s="25"/>
      <c r="HL216" s="25"/>
      <c r="HM216" s="84"/>
      <c r="HN216" s="84"/>
      <c r="HO216" s="84"/>
      <c r="HP216" s="84"/>
      <c r="HQ216" s="84"/>
      <c r="HR216" s="84"/>
      <c r="HS216" s="84" t="s">
        <v>2074</v>
      </c>
      <c r="HT216" s="84" t="s">
        <v>2074</v>
      </c>
      <c r="HU216" s="13"/>
      <c r="HV216" s="13"/>
      <c r="HW216" s="32"/>
      <c r="HX216" s="55"/>
      <c r="HY216" s="55"/>
      <c r="HZ216" s="55"/>
      <c r="IA216" s="55"/>
      <c r="IB216" s="55"/>
      <c r="IC216" s="55"/>
      <c r="ID216" s="55"/>
      <c r="IE216" s="55"/>
      <c r="IF216" s="55"/>
      <c r="IG216" s="55"/>
      <c r="IH216" s="250">
        <v>0</v>
      </c>
      <c r="II216" s="55"/>
      <c r="IJ216" s="55"/>
      <c r="IK216" s="55"/>
      <c r="IL216" s="55"/>
      <c r="IM216" s="55"/>
      <c r="IN216" s="55"/>
      <c r="IO216" s="55"/>
      <c r="IP216" s="55"/>
      <c r="IQ216" s="55"/>
      <c r="IR216" s="55"/>
      <c r="IS216" s="55"/>
      <c r="IT216" s="55"/>
      <c r="IU216" s="55"/>
      <c r="IV216" s="55"/>
      <c r="IW216" s="55"/>
      <c r="IX216" s="55"/>
      <c r="IY216" s="55"/>
      <c r="IZ216" s="55"/>
      <c r="JA216" s="55"/>
      <c r="JB216" s="55"/>
      <c r="JC216" s="55"/>
      <c r="JD216" s="55">
        <v>2019</v>
      </c>
    </row>
    <row r="217" spans="1:264" s="5" customFormat="1" ht="34.5" hidden="1" customHeight="1">
      <c r="A217" s="26" t="s">
        <v>183</v>
      </c>
      <c r="B217" s="26" t="s">
        <v>27</v>
      </c>
      <c r="C217" s="13" t="s">
        <v>349</v>
      </c>
      <c r="D217" s="13" t="s">
        <v>382</v>
      </c>
      <c r="E217" s="13" t="s">
        <v>360</v>
      </c>
      <c r="F217" s="13" t="s">
        <v>360</v>
      </c>
      <c r="G217" s="39" t="s">
        <v>354</v>
      </c>
      <c r="H217" s="13" t="s">
        <v>1553</v>
      </c>
      <c r="I217" s="34" t="s">
        <v>1819</v>
      </c>
      <c r="J217" s="40"/>
      <c r="K217" s="49" t="s">
        <v>375</v>
      </c>
      <c r="L217" s="314" t="s">
        <v>1864</v>
      </c>
      <c r="M217" s="15" t="s">
        <v>1819</v>
      </c>
      <c r="N217" s="20"/>
      <c r="O217" s="13" t="s">
        <v>3</v>
      </c>
      <c r="P217" s="13" t="s">
        <v>4</v>
      </c>
      <c r="Q217" s="22" t="s">
        <v>364</v>
      </c>
      <c r="R217" s="314"/>
      <c r="S217" s="22" t="s">
        <v>2088</v>
      </c>
      <c r="T217" s="13"/>
      <c r="U217" s="13"/>
      <c r="V217" s="299" t="s">
        <v>2087</v>
      </c>
      <c r="W217" s="13" t="s">
        <v>2086</v>
      </c>
      <c r="X217" s="13"/>
      <c r="Y217" s="13"/>
      <c r="Z217" s="13"/>
      <c r="AA217" s="29"/>
      <c r="AB217" s="29">
        <v>167857.35</v>
      </c>
      <c r="AC217" s="29"/>
      <c r="AD217" s="29">
        <v>167857.35</v>
      </c>
      <c r="AE217" s="29">
        <v>64855.649999999994</v>
      </c>
      <c r="AF217" s="29">
        <f t="shared" si="100"/>
        <v>232713</v>
      </c>
      <c r="AG217" s="25">
        <v>0.12</v>
      </c>
      <c r="AH217" s="29">
        <f t="shared" ref="AH217:AH249" si="101">AD217*0.12</f>
        <v>20142.882000000001</v>
      </c>
      <c r="AI217" s="29">
        <f t="shared" ref="AI217:AI249" si="102">AE217*0.12</f>
        <v>7782.677999999999</v>
      </c>
      <c r="AJ217" s="29">
        <f t="shared" ref="AJ217:AJ249" si="103">AF217*1.12</f>
        <v>260638.56000000003</v>
      </c>
      <c r="AK217" s="29"/>
      <c r="AL217" s="29"/>
      <c r="AM217" s="29"/>
      <c r="AN217" s="29"/>
      <c r="AO217" s="29">
        <v>167857.35</v>
      </c>
      <c r="AP217" s="29"/>
      <c r="AQ217" s="29">
        <v>179471.03</v>
      </c>
      <c r="AR217" s="316">
        <v>0.12</v>
      </c>
      <c r="AS217" s="41">
        <f>ROUND(AQ217*0.12,2)</f>
        <v>21536.52</v>
      </c>
      <c r="AT217" s="41">
        <f>ROUND((AQ217+AS217),2)</f>
        <v>201007.55</v>
      </c>
      <c r="AU217" s="29"/>
      <c r="AV217" s="29"/>
      <c r="AW217" s="29"/>
      <c r="AX217" s="29"/>
      <c r="AY217" s="29"/>
      <c r="AZ217" s="29"/>
      <c r="BA217" s="29"/>
      <c r="BB217" s="29"/>
      <c r="BC217" s="29"/>
      <c r="BD217" s="29"/>
      <c r="BE217" s="29"/>
      <c r="BF217" s="29"/>
      <c r="BG217" s="29"/>
      <c r="BH217" s="37"/>
      <c r="BI217" s="29"/>
      <c r="BJ217" s="29"/>
      <c r="BK217" s="29"/>
      <c r="BL217" s="29"/>
      <c r="BM217" s="29"/>
      <c r="BN217" s="23"/>
      <c r="BO217" s="23"/>
      <c r="BP217" s="23"/>
      <c r="BQ217" s="23"/>
      <c r="BR217" s="13"/>
      <c r="BS217" s="23"/>
      <c r="BT217" s="23"/>
      <c r="BU217" s="13"/>
      <c r="BV217" s="13"/>
      <c r="BW217" s="224"/>
      <c r="BX217" s="23">
        <v>43810</v>
      </c>
      <c r="BY217" s="13"/>
      <c r="BZ217" s="23"/>
      <c r="CA217" s="23"/>
      <c r="CB217" s="224"/>
      <c r="CC217" s="224"/>
      <c r="CD217" s="224"/>
      <c r="CE217" s="13"/>
      <c r="CF217" s="127"/>
      <c r="CG217" s="13"/>
      <c r="CH217" s="13"/>
      <c r="CI217" s="13"/>
      <c r="CJ217" s="13"/>
      <c r="CK217" s="13"/>
      <c r="CL217" s="13"/>
      <c r="CM217" s="13"/>
      <c r="CN217" s="13"/>
      <c r="CO217" s="23">
        <v>43810</v>
      </c>
      <c r="CP217" s="13"/>
      <c r="CQ217" s="13"/>
      <c r="CR217" s="127"/>
      <c r="CS217" s="13"/>
      <c r="CT217" s="29"/>
      <c r="CU217" s="25"/>
      <c r="CV217" s="23"/>
      <c r="CW217" s="30"/>
      <c r="CX217" s="176"/>
      <c r="CY217" s="102"/>
      <c r="CZ217" s="30"/>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31"/>
      <c r="DZ217" s="13"/>
      <c r="EA217" s="13"/>
      <c r="EB217" s="13"/>
      <c r="EC217" s="13"/>
      <c r="ED217" s="13"/>
      <c r="EE217" s="13"/>
      <c r="EF217" s="13"/>
      <c r="EG217" s="24">
        <v>100</v>
      </c>
      <c r="EH217" s="13"/>
      <c r="EI217" s="23"/>
      <c r="EJ217" s="2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25"/>
      <c r="FI217" s="25"/>
      <c r="FJ217" s="25"/>
      <c r="FK217" s="25"/>
      <c r="FL217" s="25"/>
      <c r="FM217" s="25"/>
      <c r="FN217" s="25"/>
      <c r="FO217" s="25"/>
      <c r="FP217" s="25"/>
      <c r="FQ217" s="25"/>
      <c r="FR217" s="25"/>
      <c r="FS217" s="25"/>
      <c r="FT217" s="25"/>
      <c r="FU217" s="25"/>
      <c r="FV217" s="25"/>
      <c r="FW217" s="25"/>
      <c r="FX217" s="25"/>
      <c r="FY217" s="25"/>
      <c r="FZ217" s="25"/>
      <c r="GA217" s="25"/>
      <c r="GB217" s="25"/>
      <c r="GC217" s="25"/>
      <c r="GD217" s="25"/>
      <c r="GE217" s="25"/>
      <c r="GF217" s="25"/>
      <c r="GG217" s="25"/>
      <c r="GH217" s="25"/>
      <c r="GI217" s="25"/>
      <c r="GJ217" s="25"/>
      <c r="GK217" s="25"/>
      <c r="GL217" s="25"/>
      <c r="GM217" s="25"/>
      <c r="GN217" s="25"/>
      <c r="GO217" s="25"/>
      <c r="GP217" s="25">
        <v>0</v>
      </c>
      <c r="GQ217" s="25">
        <v>0</v>
      </c>
      <c r="GR217" s="25">
        <v>0</v>
      </c>
      <c r="GS217" s="25">
        <v>0</v>
      </c>
      <c r="GT217" s="25">
        <v>0</v>
      </c>
      <c r="GU217" s="25">
        <v>0</v>
      </c>
      <c r="GV217" s="25" t="s">
        <v>1588</v>
      </c>
      <c r="GW217" s="25" t="s">
        <v>1588</v>
      </c>
      <c r="GX217" s="25"/>
      <c r="GY217" s="25"/>
      <c r="GZ217" s="25"/>
      <c r="HA217" s="25"/>
      <c r="HB217" s="25"/>
      <c r="HC217" s="25" t="s">
        <v>1588</v>
      </c>
      <c r="HD217" s="25" t="s">
        <v>1588</v>
      </c>
      <c r="HE217" s="25" t="s">
        <v>1588</v>
      </c>
      <c r="HF217" s="25" t="s">
        <v>1588</v>
      </c>
      <c r="HG217" s="25" t="s">
        <v>1588</v>
      </c>
      <c r="HH217" s="25" t="s">
        <v>1588</v>
      </c>
      <c r="HI217" s="25"/>
      <c r="HJ217" s="25"/>
      <c r="HK217" s="25"/>
      <c r="HL217" s="25"/>
      <c r="HM217" s="84"/>
      <c r="HN217" s="84"/>
      <c r="HO217" s="84"/>
      <c r="HP217" s="84"/>
      <c r="HQ217" s="84"/>
      <c r="HR217" s="84"/>
      <c r="HS217" s="84" t="s">
        <v>2074</v>
      </c>
      <c r="HT217" s="84" t="s">
        <v>2074</v>
      </c>
      <c r="HU217" s="13"/>
      <c r="HV217" s="13"/>
      <c r="HW217" s="32"/>
      <c r="HX217" s="55"/>
      <c r="HY217" s="55"/>
      <c r="HZ217" s="55"/>
      <c r="IA217" s="55"/>
      <c r="IB217" s="55"/>
      <c r="IC217" s="55"/>
      <c r="ID217" s="55"/>
      <c r="IE217" s="55"/>
      <c r="IF217" s="55"/>
      <c r="IG217" s="55"/>
      <c r="IH217" s="250">
        <f t="shared" ref="IH217:IH249" si="104">AK217-IG217</f>
        <v>0</v>
      </c>
      <c r="II217" s="55"/>
      <c r="IJ217" s="55"/>
      <c r="IK217" s="55"/>
      <c r="IL217" s="55"/>
      <c r="IM217" s="55"/>
      <c r="IN217" s="55"/>
      <c r="IO217" s="55"/>
      <c r="IP217" s="55"/>
      <c r="IQ217" s="55"/>
      <c r="IR217" s="55"/>
      <c r="IS217" s="55"/>
      <c r="IT217" s="55"/>
      <c r="IU217" s="55"/>
      <c r="IV217" s="55"/>
      <c r="IW217" s="55"/>
      <c r="IX217" s="55"/>
      <c r="IY217" s="55"/>
      <c r="IZ217" s="55"/>
      <c r="JA217" s="55"/>
      <c r="JB217" s="55"/>
      <c r="JC217" s="55"/>
      <c r="JD217" s="55">
        <v>2019</v>
      </c>
    </row>
    <row r="218" spans="1:264" s="5" customFormat="1" ht="24.95" hidden="1" customHeight="1">
      <c r="A218" s="26" t="s">
        <v>188</v>
      </c>
      <c r="B218" s="26" t="s">
        <v>27</v>
      </c>
      <c r="C218" s="13" t="s">
        <v>349</v>
      </c>
      <c r="D218" s="13" t="s">
        <v>380</v>
      </c>
      <c r="E218" s="16" t="s">
        <v>350</v>
      </c>
      <c r="F218" s="13" t="s">
        <v>350</v>
      </c>
      <c r="G218" s="39" t="s">
        <v>354</v>
      </c>
      <c r="H218" s="13" t="s">
        <v>1554</v>
      </c>
      <c r="I218" s="313" t="s">
        <v>322</v>
      </c>
      <c r="J218" s="40">
        <v>1</v>
      </c>
      <c r="K218" s="49" t="s">
        <v>375</v>
      </c>
      <c r="L218" s="314" t="s">
        <v>189</v>
      </c>
      <c r="M218" s="15" t="s">
        <v>322</v>
      </c>
      <c r="N218" s="20"/>
      <c r="O218" s="13" t="s">
        <v>3</v>
      </c>
      <c r="P218" s="13" t="s">
        <v>4</v>
      </c>
      <c r="Q218" s="22" t="s">
        <v>1118</v>
      </c>
      <c r="R218" s="314" t="s">
        <v>189</v>
      </c>
      <c r="S218" s="13" t="s">
        <v>867</v>
      </c>
      <c r="T218" s="13" t="s">
        <v>1387</v>
      </c>
      <c r="U218" s="24" t="s">
        <v>477</v>
      </c>
      <c r="V218" s="24">
        <v>1101423075001</v>
      </c>
      <c r="W218" s="13" t="s">
        <v>1071</v>
      </c>
      <c r="X218" s="13"/>
      <c r="Y218" s="13" t="s">
        <v>1070</v>
      </c>
      <c r="Z218" s="13"/>
      <c r="AA218" s="29"/>
      <c r="AB218" s="29">
        <v>170000</v>
      </c>
      <c r="AC218" s="29">
        <v>0</v>
      </c>
      <c r="AD218" s="29">
        <v>170000</v>
      </c>
      <c r="AE218" s="29">
        <v>0</v>
      </c>
      <c r="AF218" s="29">
        <f t="shared" si="100"/>
        <v>170000</v>
      </c>
      <c r="AG218" s="25">
        <v>0.12</v>
      </c>
      <c r="AH218" s="29">
        <f t="shared" si="101"/>
        <v>20400</v>
      </c>
      <c r="AI218" s="29">
        <f t="shared" si="102"/>
        <v>0</v>
      </c>
      <c r="AJ218" s="29">
        <f t="shared" si="103"/>
        <v>190400.00000000003</v>
      </c>
      <c r="AK218" s="29">
        <v>169894.21</v>
      </c>
      <c r="AL218" s="29">
        <f t="shared" ref="AL218:AL224" si="105">AB218-AK218</f>
        <v>105.79000000000815</v>
      </c>
      <c r="AM218" s="126"/>
      <c r="AN218" s="29"/>
      <c r="AO218" s="29">
        <v>170000</v>
      </c>
      <c r="AP218" s="29"/>
      <c r="AQ218" s="29">
        <v>169894.3</v>
      </c>
      <c r="AR218" s="29"/>
      <c r="AS218" s="29"/>
      <c r="AT218" s="29"/>
      <c r="AU218" s="29"/>
      <c r="AV218" s="29"/>
      <c r="AW218" s="29"/>
      <c r="AX218" s="29"/>
      <c r="AY218" s="29"/>
      <c r="AZ218" s="29"/>
      <c r="BA218" s="29"/>
      <c r="BB218" s="29"/>
      <c r="BC218" s="29"/>
      <c r="BD218" s="29"/>
      <c r="BE218" s="29"/>
      <c r="BF218" s="29">
        <f t="shared" ref="BF218:BF232" si="106">AB218-AQ218</f>
        <v>105.70000000001164</v>
      </c>
      <c r="BG218" s="29">
        <f t="shared" ref="BG218:BG223" si="107">BF218-AW218-AZ218-BC218-BE218</f>
        <v>105.70000000001164</v>
      </c>
      <c r="BH218" s="37" t="s">
        <v>594</v>
      </c>
      <c r="BI218" s="29" t="s">
        <v>570</v>
      </c>
      <c r="BJ218" s="29" t="s">
        <v>570</v>
      </c>
      <c r="BK218" s="29" t="s">
        <v>570</v>
      </c>
      <c r="BL218" s="29" t="s">
        <v>570</v>
      </c>
      <c r="BM218" s="29" t="s">
        <v>570</v>
      </c>
      <c r="BN218" s="23">
        <v>42200</v>
      </c>
      <c r="BO218" s="23">
        <v>42212</v>
      </c>
      <c r="BP218" s="23">
        <v>42215</v>
      </c>
      <c r="BQ218" s="23">
        <v>42234</v>
      </c>
      <c r="BR218" s="13" t="s">
        <v>570</v>
      </c>
      <c r="BS218" s="23">
        <v>42266</v>
      </c>
      <c r="BT218" s="23">
        <v>42259</v>
      </c>
      <c r="BU218" s="13" t="s">
        <v>570</v>
      </c>
      <c r="BV218" s="13" t="s">
        <v>570</v>
      </c>
      <c r="BW218" s="224" t="s">
        <v>570</v>
      </c>
      <c r="BX218" s="23">
        <v>42258</v>
      </c>
      <c r="BY218" s="13" t="s">
        <v>570</v>
      </c>
      <c r="BZ218" s="23">
        <v>42291</v>
      </c>
      <c r="CA218" s="23">
        <v>42335</v>
      </c>
      <c r="CB218" s="224" t="s">
        <v>570</v>
      </c>
      <c r="CC218" s="224" t="s">
        <v>570</v>
      </c>
      <c r="CD218" s="224" t="s">
        <v>570</v>
      </c>
      <c r="CE218" s="13"/>
      <c r="CF218" s="127" t="s">
        <v>829</v>
      </c>
      <c r="CG218" s="13"/>
      <c r="CH218" s="13"/>
      <c r="CI218" s="13"/>
      <c r="CJ218" s="13"/>
      <c r="CK218" s="13"/>
      <c r="CL218" s="13"/>
      <c r="CM218" s="13"/>
      <c r="CN218" s="13"/>
      <c r="CO218" s="127" t="s">
        <v>829</v>
      </c>
      <c r="CP218" s="13" t="s">
        <v>570</v>
      </c>
      <c r="CQ218" s="13"/>
      <c r="CR218" s="127" t="s">
        <v>829</v>
      </c>
      <c r="CS218" s="13" t="s">
        <v>570</v>
      </c>
      <c r="CT218" s="29"/>
      <c r="CU218" s="29"/>
      <c r="CV218" s="23">
        <v>42704</v>
      </c>
      <c r="CW218" s="30">
        <v>84947.15</v>
      </c>
      <c r="CX218" s="134" t="s">
        <v>1495</v>
      </c>
      <c r="CY218" s="166">
        <v>42802</v>
      </c>
      <c r="CZ218" s="90">
        <v>25484.149999999998</v>
      </c>
      <c r="DA218" s="134" t="s">
        <v>1342</v>
      </c>
      <c r="DB218" s="99">
        <v>42810</v>
      </c>
      <c r="DC218" s="91">
        <v>25484.15</v>
      </c>
      <c r="DD218" s="134" t="s">
        <v>1496</v>
      </c>
      <c r="DE218" s="166">
        <v>42845</v>
      </c>
      <c r="DF218" s="243">
        <v>17167.690000000002</v>
      </c>
      <c r="DG218" s="13"/>
      <c r="DH218" s="13"/>
      <c r="DI218" s="13"/>
      <c r="DJ218" s="13"/>
      <c r="DK218" s="13"/>
      <c r="DL218" s="13"/>
      <c r="DM218" s="13"/>
      <c r="DN218" s="13"/>
      <c r="DO218" s="13"/>
      <c r="DP218" s="13"/>
      <c r="DQ218" s="13"/>
      <c r="DR218" s="13"/>
      <c r="DS218" s="13"/>
      <c r="DT218" s="13"/>
      <c r="DU218" s="13"/>
      <c r="DV218" s="13"/>
      <c r="DW218" s="13"/>
      <c r="DX218" s="13"/>
      <c r="DY218" s="31">
        <f t="shared" si="96"/>
        <v>153083.13999999998</v>
      </c>
      <c r="DZ218" s="13"/>
      <c r="EA218" s="13"/>
      <c r="EB218" s="13"/>
      <c r="EC218" s="13"/>
      <c r="ED218" s="13"/>
      <c r="EE218" s="13"/>
      <c r="EF218" s="13"/>
      <c r="EG218" s="24">
        <v>120</v>
      </c>
      <c r="EH218" s="13" t="s">
        <v>588</v>
      </c>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25"/>
      <c r="FI218" s="25"/>
      <c r="FJ218" s="25"/>
      <c r="FK218" s="25"/>
      <c r="FL218" s="25"/>
      <c r="FM218" s="25"/>
      <c r="FN218" s="25"/>
      <c r="FO218" s="25"/>
      <c r="FP218" s="25"/>
      <c r="FQ218" s="25"/>
      <c r="FR218" s="25"/>
      <c r="FS218" s="25"/>
      <c r="FT218" s="25">
        <v>0.65</v>
      </c>
      <c r="FU218" s="25">
        <v>0.65</v>
      </c>
      <c r="FV218" s="25">
        <v>0.93</v>
      </c>
      <c r="FW218" s="25">
        <v>0.93</v>
      </c>
      <c r="FX218" s="25">
        <v>1</v>
      </c>
      <c r="FY218" s="25">
        <v>1</v>
      </c>
      <c r="FZ218" s="25">
        <v>1</v>
      </c>
      <c r="GA218" s="25">
        <v>1</v>
      </c>
      <c r="GB218" s="25">
        <v>1</v>
      </c>
      <c r="GC218" s="25">
        <v>1</v>
      </c>
      <c r="GD218" s="25">
        <v>1</v>
      </c>
      <c r="GE218" s="25">
        <v>1</v>
      </c>
      <c r="GF218" s="25">
        <v>1</v>
      </c>
      <c r="GG218" s="25">
        <v>1</v>
      </c>
      <c r="GH218" s="25">
        <v>1</v>
      </c>
      <c r="GI218" s="25">
        <v>1</v>
      </c>
      <c r="GJ218" s="25">
        <v>1</v>
      </c>
      <c r="GK218" s="25">
        <v>1</v>
      </c>
      <c r="GL218" s="25">
        <v>1</v>
      </c>
      <c r="GM218" s="25">
        <v>1</v>
      </c>
      <c r="GN218" s="25">
        <v>1</v>
      </c>
      <c r="GO218" s="25">
        <v>1</v>
      </c>
      <c r="GP218" s="25">
        <v>1</v>
      </c>
      <c r="GQ218" s="25">
        <v>1</v>
      </c>
      <c r="GR218" s="25">
        <v>1</v>
      </c>
      <c r="GS218" s="25">
        <v>1</v>
      </c>
      <c r="GT218" s="25">
        <v>1</v>
      </c>
      <c r="GU218" s="25">
        <v>1</v>
      </c>
      <c r="GV218" s="25" t="s">
        <v>455</v>
      </c>
      <c r="GW218" s="25" t="s">
        <v>455</v>
      </c>
      <c r="GX218" s="25" t="s">
        <v>455</v>
      </c>
      <c r="GY218" s="25" t="s">
        <v>455</v>
      </c>
      <c r="GZ218" s="25" t="s">
        <v>455</v>
      </c>
      <c r="HA218" s="25" t="s">
        <v>455</v>
      </c>
      <c r="HB218" s="25" t="s">
        <v>455</v>
      </c>
      <c r="HC218" s="25" t="s">
        <v>455</v>
      </c>
      <c r="HD218" s="25" t="s">
        <v>455</v>
      </c>
      <c r="HE218" s="25" t="s">
        <v>455</v>
      </c>
      <c r="HF218" s="25" t="s">
        <v>455</v>
      </c>
      <c r="HG218" s="25" t="s">
        <v>455</v>
      </c>
      <c r="HH218" s="25" t="s">
        <v>455</v>
      </c>
      <c r="HI218" s="25"/>
      <c r="HJ218" s="25"/>
      <c r="HK218" s="25"/>
      <c r="HL218" s="25"/>
      <c r="HM218" s="84"/>
      <c r="HN218" s="84"/>
      <c r="HO218" s="84"/>
      <c r="HP218" s="84"/>
      <c r="HQ218" s="84"/>
      <c r="HR218" s="84"/>
      <c r="HS218" s="84"/>
      <c r="HT218" s="84"/>
      <c r="HU218" s="13" t="s">
        <v>451</v>
      </c>
      <c r="HV218" s="13"/>
      <c r="HW218" s="32"/>
      <c r="HX218" s="55"/>
      <c r="HY218" s="55"/>
      <c r="HZ218" s="55"/>
      <c r="IA218" s="55"/>
      <c r="IB218" s="55"/>
      <c r="IC218" s="55"/>
      <c r="ID218" s="55"/>
      <c r="IE218" s="55"/>
      <c r="IF218" s="107">
        <v>170000</v>
      </c>
      <c r="IG218" s="107">
        <v>169894.21</v>
      </c>
      <c r="IH218" s="250">
        <f t="shared" si="104"/>
        <v>0</v>
      </c>
      <c r="II218" s="55"/>
      <c r="IJ218" s="55"/>
      <c r="IK218" s="55"/>
      <c r="IL218" s="55"/>
      <c r="IM218" s="55"/>
      <c r="IN218" s="55"/>
      <c r="IO218" s="55"/>
      <c r="IP218" s="55"/>
      <c r="IQ218" s="55"/>
      <c r="IR218" s="55"/>
      <c r="IS218" s="55"/>
      <c r="IT218" s="55"/>
      <c r="IU218" s="55"/>
      <c r="IV218" s="55"/>
      <c r="IW218" s="55"/>
      <c r="IX218" s="55"/>
      <c r="IY218" s="55"/>
      <c r="IZ218" s="55"/>
      <c r="JA218" s="55"/>
      <c r="JB218" s="55"/>
      <c r="JC218" s="55"/>
      <c r="JD218" s="55">
        <v>2017</v>
      </c>
    </row>
    <row r="219" spans="1:264" s="5" customFormat="1" ht="24.95" hidden="1" customHeight="1">
      <c r="A219" s="26" t="s">
        <v>188</v>
      </c>
      <c r="B219" s="26" t="s">
        <v>27</v>
      </c>
      <c r="C219" s="13" t="s">
        <v>349</v>
      </c>
      <c r="D219" s="13" t="s">
        <v>380</v>
      </c>
      <c r="E219" s="16" t="s">
        <v>360</v>
      </c>
      <c r="F219" s="13" t="s">
        <v>360</v>
      </c>
      <c r="G219" s="39" t="s">
        <v>354</v>
      </c>
      <c r="H219" s="13" t="s">
        <v>1554</v>
      </c>
      <c r="I219" s="313" t="s">
        <v>190</v>
      </c>
      <c r="J219" s="40">
        <v>2</v>
      </c>
      <c r="K219" s="49" t="s">
        <v>375</v>
      </c>
      <c r="L219" s="314" t="s">
        <v>1025</v>
      </c>
      <c r="M219" s="15" t="s">
        <v>190</v>
      </c>
      <c r="N219" s="20"/>
      <c r="O219" s="13" t="s">
        <v>3</v>
      </c>
      <c r="P219" s="13" t="s">
        <v>4</v>
      </c>
      <c r="Q219" s="22" t="s">
        <v>1118</v>
      </c>
      <c r="R219" s="314" t="s">
        <v>1025</v>
      </c>
      <c r="S219" s="13" t="s">
        <v>449</v>
      </c>
      <c r="T219" s="13" t="s">
        <v>1387</v>
      </c>
      <c r="U219" s="13" t="s">
        <v>477</v>
      </c>
      <c r="V219" s="13" t="s">
        <v>872</v>
      </c>
      <c r="W219" s="13" t="s">
        <v>1064</v>
      </c>
      <c r="X219" s="13"/>
      <c r="Y219" s="13" t="s">
        <v>1063</v>
      </c>
      <c r="Z219" s="13"/>
      <c r="AA219" s="29"/>
      <c r="AB219" s="29">
        <v>200000</v>
      </c>
      <c r="AC219" s="29">
        <v>0</v>
      </c>
      <c r="AD219" s="29">
        <v>200000</v>
      </c>
      <c r="AE219" s="29">
        <v>0</v>
      </c>
      <c r="AF219" s="29">
        <f t="shared" si="100"/>
        <v>200000</v>
      </c>
      <c r="AG219" s="25">
        <v>0.12</v>
      </c>
      <c r="AH219" s="29">
        <f t="shared" si="101"/>
        <v>24000</v>
      </c>
      <c r="AI219" s="29">
        <f t="shared" si="102"/>
        <v>0</v>
      </c>
      <c r="AJ219" s="29">
        <f t="shared" si="103"/>
        <v>224000.00000000003</v>
      </c>
      <c r="AK219" s="29">
        <v>199784.38999999998</v>
      </c>
      <c r="AL219" s="29">
        <f t="shared" si="105"/>
        <v>215.61000000001513</v>
      </c>
      <c r="AM219" s="126"/>
      <c r="AN219" s="29"/>
      <c r="AO219" s="29">
        <v>200000</v>
      </c>
      <c r="AP219" s="29"/>
      <c r="AQ219" s="29">
        <v>188074.04</v>
      </c>
      <c r="AR219" s="29"/>
      <c r="AS219" s="29"/>
      <c r="AT219" s="29"/>
      <c r="AU219" s="29"/>
      <c r="AV219" s="29"/>
      <c r="AW219" s="29"/>
      <c r="AX219" s="29"/>
      <c r="AY219" s="29"/>
      <c r="AZ219" s="29"/>
      <c r="BA219" s="29"/>
      <c r="BB219" s="29"/>
      <c r="BC219" s="29"/>
      <c r="BD219" s="29"/>
      <c r="BE219" s="29"/>
      <c r="BF219" s="29">
        <f t="shared" si="106"/>
        <v>11925.959999999992</v>
      </c>
      <c r="BG219" s="29">
        <f t="shared" si="107"/>
        <v>11925.959999999992</v>
      </c>
      <c r="BH219" s="37" t="s">
        <v>594</v>
      </c>
      <c r="BI219" s="29" t="s">
        <v>570</v>
      </c>
      <c r="BJ219" s="29" t="s">
        <v>570</v>
      </c>
      <c r="BK219" s="29" t="s">
        <v>570</v>
      </c>
      <c r="BL219" s="29" t="s">
        <v>570</v>
      </c>
      <c r="BM219" s="29" t="s">
        <v>570</v>
      </c>
      <c r="BN219" s="23">
        <v>42200</v>
      </c>
      <c r="BO219" s="23">
        <v>42212</v>
      </c>
      <c r="BP219" s="23">
        <v>42215</v>
      </c>
      <c r="BQ219" s="23">
        <v>42234</v>
      </c>
      <c r="BR219" s="13" t="s">
        <v>570</v>
      </c>
      <c r="BS219" s="23">
        <v>42258</v>
      </c>
      <c r="BT219" s="23">
        <v>42259</v>
      </c>
      <c r="BU219" s="13" t="s">
        <v>570</v>
      </c>
      <c r="BV219" s="13" t="s">
        <v>570</v>
      </c>
      <c r="BW219" s="224" t="s">
        <v>570</v>
      </c>
      <c r="BX219" s="23">
        <v>42285</v>
      </c>
      <c r="BY219" s="13" t="s">
        <v>570</v>
      </c>
      <c r="BZ219" s="23">
        <v>42296</v>
      </c>
      <c r="CA219" s="23">
        <v>42332</v>
      </c>
      <c r="CB219" s="224" t="s">
        <v>570</v>
      </c>
      <c r="CC219" s="224" t="s">
        <v>570</v>
      </c>
      <c r="CD219" s="224" t="s">
        <v>570</v>
      </c>
      <c r="CE219" s="13"/>
      <c r="CF219" s="127" t="s">
        <v>829</v>
      </c>
      <c r="CG219" s="13"/>
      <c r="CH219" s="13"/>
      <c r="CI219" s="13"/>
      <c r="CJ219" s="13"/>
      <c r="CK219" s="13"/>
      <c r="CL219" s="13"/>
      <c r="CM219" s="13"/>
      <c r="CN219" s="13"/>
      <c r="CO219" s="127" t="s">
        <v>829</v>
      </c>
      <c r="CP219" s="13" t="s">
        <v>570</v>
      </c>
      <c r="CQ219" s="13"/>
      <c r="CR219" s="127" t="s">
        <v>829</v>
      </c>
      <c r="CS219" s="13" t="s">
        <v>570</v>
      </c>
      <c r="CT219" s="29"/>
      <c r="CU219" s="29"/>
      <c r="CV219" s="23">
        <v>42545</v>
      </c>
      <c r="CW219" s="30">
        <f t="shared" ref="CW219:CW224" si="108">AQ219*0.5</f>
        <v>94037.02</v>
      </c>
      <c r="CX219" s="176" t="s">
        <v>1026</v>
      </c>
      <c r="CY219" s="23">
        <v>42545</v>
      </c>
      <c r="CZ219" s="30">
        <f>(31776.17+24895)-28460.06</f>
        <v>28211.109999999997</v>
      </c>
      <c r="DA219" s="177" t="s">
        <v>1340</v>
      </c>
      <c r="DB219" s="23">
        <v>42744</v>
      </c>
      <c r="DC219" s="30">
        <v>28211.11</v>
      </c>
      <c r="DD219" s="177" t="s">
        <v>1341</v>
      </c>
      <c r="DE219" s="23">
        <v>42745</v>
      </c>
      <c r="DF219" s="30">
        <v>18806.410000000003</v>
      </c>
      <c r="DG219" s="134" t="s">
        <v>1497</v>
      </c>
      <c r="DH219" s="99">
        <v>42818</v>
      </c>
      <c r="DI219" s="91">
        <v>30518.74</v>
      </c>
      <c r="DJ219" s="13"/>
      <c r="DK219" s="13"/>
      <c r="DL219" s="13"/>
      <c r="DM219" s="13"/>
      <c r="DN219" s="13"/>
      <c r="DO219" s="13"/>
      <c r="DP219" s="13"/>
      <c r="DQ219" s="13"/>
      <c r="DR219" s="13"/>
      <c r="DS219" s="13"/>
      <c r="DT219" s="13"/>
      <c r="DU219" s="13"/>
      <c r="DV219" s="13"/>
      <c r="DW219" s="13"/>
      <c r="DX219" s="13"/>
      <c r="DY219" s="31">
        <f t="shared" si="96"/>
        <v>199784.38999999998</v>
      </c>
      <c r="DZ219" s="13"/>
      <c r="EA219" s="13"/>
      <c r="EB219" s="13"/>
      <c r="EC219" s="13"/>
      <c r="ED219" s="13"/>
      <c r="EE219" s="13"/>
      <c r="EF219" s="13"/>
      <c r="EG219" s="24">
        <v>180</v>
      </c>
      <c r="EH219" s="13" t="s">
        <v>588</v>
      </c>
      <c r="EI219" s="23">
        <f>CV219+1</f>
        <v>42546</v>
      </c>
      <c r="EJ219" s="23">
        <f>EI219+EG219</f>
        <v>42726</v>
      </c>
      <c r="EK219" s="13"/>
      <c r="EL219" s="13"/>
      <c r="EM219" s="13"/>
      <c r="EN219" s="13"/>
      <c r="EO219" s="13"/>
      <c r="EP219" s="13"/>
      <c r="EQ219" s="13"/>
      <c r="ER219" s="13"/>
      <c r="ES219" s="13"/>
      <c r="ET219" s="13"/>
      <c r="EU219" s="13"/>
      <c r="EV219" s="13"/>
      <c r="EW219" s="13"/>
      <c r="EX219" s="13"/>
      <c r="EY219" s="13"/>
      <c r="EZ219" s="13"/>
      <c r="FA219" s="13"/>
      <c r="FB219" s="13"/>
      <c r="FC219" s="13"/>
      <c r="FD219" s="13"/>
      <c r="FE219" s="13"/>
      <c r="FF219" s="13"/>
      <c r="FG219" s="13"/>
      <c r="FH219" s="25"/>
      <c r="FI219" s="25"/>
      <c r="FJ219" s="25"/>
      <c r="FK219" s="25"/>
      <c r="FL219" s="25"/>
      <c r="FM219" s="25"/>
      <c r="FN219" s="25">
        <v>0.05</v>
      </c>
      <c r="FO219" s="25">
        <v>0.1</v>
      </c>
      <c r="FP219" s="25">
        <v>0.15</v>
      </c>
      <c r="FQ219" s="25">
        <v>0.15</v>
      </c>
      <c r="FR219" s="25">
        <v>0.42</v>
      </c>
      <c r="FS219" s="25">
        <v>1</v>
      </c>
      <c r="FT219" s="25">
        <v>1</v>
      </c>
      <c r="FU219" s="25">
        <v>1</v>
      </c>
      <c r="FV219" s="25">
        <v>1</v>
      </c>
      <c r="FW219" s="25">
        <v>1</v>
      </c>
      <c r="FX219" s="25">
        <v>1</v>
      </c>
      <c r="FY219" s="25">
        <v>1</v>
      </c>
      <c r="FZ219" s="25">
        <v>1</v>
      </c>
      <c r="GA219" s="25">
        <v>1</v>
      </c>
      <c r="GB219" s="25">
        <v>1</v>
      </c>
      <c r="GC219" s="25">
        <v>1</v>
      </c>
      <c r="GD219" s="25">
        <v>1</v>
      </c>
      <c r="GE219" s="25">
        <v>1</v>
      </c>
      <c r="GF219" s="25">
        <v>1</v>
      </c>
      <c r="GG219" s="25">
        <v>1</v>
      </c>
      <c r="GH219" s="25">
        <v>1</v>
      </c>
      <c r="GI219" s="25">
        <v>1</v>
      </c>
      <c r="GJ219" s="25">
        <v>1</v>
      </c>
      <c r="GK219" s="25">
        <v>1</v>
      </c>
      <c r="GL219" s="25">
        <v>1</v>
      </c>
      <c r="GM219" s="25">
        <v>1</v>
      </c>
      <c r="GN219" s="25">
        <v>1</v>
      </c>
      <c r="GO219" s="25">
        <v>1</v>
      </c>
      <c r="GP219" s="25">
        <v>1</v>
      </c>
      <c r="GQ219" s="25">
        <v>1</v>
      </c>
      <c r="GR219" s="25">
        <v>1</v>
      </c>
      <c r="GS219" s="25">
        <v>1</v>
      </c>
      <c r="GT219" s="25">
        <v>1</v>
      </c>
      <c r="GU219" s="25">
        <v>1</v>
      </c>
      <c r="GV219" s="25" t="s">
        <v>455</v>
      </c>
      <c r="GW219" s="25" t="s">
        <v>455</v>
      </c>
      <c r="GX219" s="25" t="s">
        <v>455</v>
      </c>
      <c r="GY219" s="25" t="s">
        <v>455</v>
      </c>
      <c r="GZ219" s="25" t="s">
        <v>455</v>
      </c>
      <c r="HA219" s="25" t="s">
        <v>455</v>
      </c>
      <c r="HB219" s="25" t="s">
        <v>455</v>
      </c>
      <c r="HC219" s="25" t="s">
        <v>455</v>
      </c>
      <c r="HD219" s="25" t="s">
        <v>455</v>
      </c>
      <c r="HE219" s="25" t="s">
        <v>455</v>
      </c>
      <c r="HF219" s="25" t="s">
        <v>455</v>
      </c>
      <c r="HG219" s="25" t="s">
        <v>455</v>
      </c>
      <c r="HH219" s="25" t="s">
        <v>455</v>
      </c>
      <c r="HI219" s="25"/>
      <c r="HJ219" s="25"/>
      <c r="HK219" s="25"/>
      <c r="HL219" s="25"/>
      <c r="HM219" s="84"/>
      <c r="HN219" s="84"/>
      <c r="HO219" s="84"/>
      <c r="HP219" s="84"/>
      <c r="HQ219" s="84"/>
      <c r="HR219" s="84"/>
      <c r="HS219" s="84"/>
      <c r="HT219" s="84"/>
      <c r="HU219" s="13" t="s">
        <v>2000</v>
      </c>
      <c r="HV219" s="13"/>
      <c r="HW219" s="32"/>
      <c r="HX219" s="55"/>
      <c r="HY219" s="55"/>
      <c r="HZ219" s="55"/>
      <c r="IA219" s="55"/>
      <c r="IB219" s="55"/>
      <c r="IC219" s="55"/>
      <c r="ID219" s="55"/>
      <c r="IE219" s="55"/>
      <c r="IF219" s="107">
        <v>200000</v>
      </c>
      <c r="IG219" s="107">
        <v>199784.38999999998</v>
      </c>
      <c r="IH219" s="250">
        <f t="shared" si="104"/>
        <v>0</v>
      </c>
      <c r="II219" s="55"/>
      <c r="IJ219" s="55"/>
      <c r="IK219" s="55"/>
      <c r="IL219" s="55"/>
      <c r="IM219" s="55"/>
      <c r="IN219" s="55"/>
      <c r="IO219" s="55"/>
      <c r="IP219" s="55"/>
      <c r="IQ219" s="55"/>
      <c r="IR219" s="55"/>
      <c r="IS219" s="55"/>
      <c r="IT219" s="55"/>
      <c r="IU219" s="55"/>
      <c r="IV219" s="55"/>
      <c r="IW219" s="55"/>
      <c r="IX219" s="55"/>
      <c r="IY219" s="55"/>
      <c r="IZ219" s="55"/>
      <c r="JA219" s="55"/>
      <c r="JB219" s="55"/>
      <c r="JC219" s="55"/>
      <c r="JD219" s="55">
        <v>2016</v>
      </c>
    </row>
    <row r="220" spans="1:264" s="5" customFormat="1" ht="24.95" hidden="1" customHeight="1">
      <c r="A220" s="26" t="s">
        <v>188</v>
      </c>
      <c r="B220" s="26" t="s">
        <v>27</v>
      </c>
      <c r="C220" s="13" t="s">
        <v>349</v>
      </c>
      <c r="D220" s="13" t="s">
        <v>380</v>
      </c>
      <c r="E220" s="16" t="s">
        <v>350</v>
      </c>
      <c r="F220" s="13" t="s">
        <v>350</v>
      </c>
      <c r="G220" s="39" t="s">
        <v>351</v>
      </c>
      <c r="H220" s="13" t="s">
        <v>1554</v>
      </c>
      <c r="I220" s="313" t="s">
        <v>192</v>
      </c>
      <c r="J220" s="40">
        <v>3</v>
      </c>
      <c r="K220" s="49" t="s">
        <v>375</v>
      </c>
      <c r="L220" s="314" t="s">
        <v>191</v>
      </c>
      <c r="M220" s="15" t="s">
        <v>192</v>
      </c>
      <c r="N220" s="20"/>
      <c r="O220" s="13" t="s">
        <v>3</v>
      </c>
      <c r="P220" s="13" t="s">
        <v>4</v>
      </c>
      <c r="Q220" s="22" t="s">
        <v>1118</v>
      </c>
      <c r="R220" s="314" t="s">
        <v>191</v>
      </c>
      <c r="S220" s="13" t="s">
        <v>1072</v>
      </c>
      <c r="T220" s="13" t="s">
        <v>1387</v>
      </c>
      <c r="U220" s="13" t="s">
        <v>477</v>
      </c>
      <c r="V220" s="13" t="s">
        <v>647</v>
      </c>
      <c r="W220" s="13" t="s">
        <v>1077</v>
      </c>
      <c r="X220" s="13" t="s">
        <v>969</v>
      </c>
      <c r="Y220" s="13" t="s">
        <v>1076</v>
      </c>
      <c r="Z220" s="13" t="s">
        <v>969</v>
      </c>
      <c r="AA220" s="29"/>
      <c r="AB220" s="29">
        <v>208547.6</v>
      </c>
      <c r="AC220" s="29">
        <v>0</v>
      </c>
      <c r="AD220" s="29">
        <v>208547.6</v>
      </c>
      <c r="AE220" s="29">
        <v>0</v>
      </c>
      <c r="AF220" s="29">
        <f t="shared" si="100"/>
        <v>208547.6</v>
      </c>
      <c r="AG220" s="25">
        <v>0.12</v>
      </c>
      <c r="AH220" s="29">
        <f t="shared" si="101"/>
        <v>25025.712</v>
      </c>
      <c r="AI220" s="29">
        <f t="shared" si="102"/>
        <v>0</v>
      </c>
      <c r="AJ220" s="29">
        <f t="shared" si="103"/>
        <v>233573.31200000003</v>
      </c>
      <c r="AK220" s="29">
        <v>203951.65999999997</v>
      </c>
      <c r="AL220" s="29">
        <f t="shared" si="105"/>
        <v>4595.9400000000314</v>
      </c>
      <c r="AM220" s="126"/>
      <c r="AN220" s="29"/>
      <c r="AO220" s="29">
        <v>208547.6</v>
      </c>
      <c r="AP220" s="29"/>
      <c r="AQ220" s="29">
        <v>206260.58</v>
      </c>
      <c r="AR220" s="29"/>
      <c r="AS220" s="29"/>
      <c r="AT220" s="29"/>
      <c r="AU220" s="29"/>
      <c r="AV220" s="29"/>
      <c r="AW220" s="29"/>
      <c r="AX220" s="29"/>
      <c r="AY220" s="29"/>
      <c r="AZ220" s="29"/>
      <c r="BA220" s="29"/>
      <c r="BB220" s="29"/>
      <c r="BC220" s="29"/>
      <c r="BD220" s="29"/>
      <c r="BE220" s="29"/>
      <c r="BF220" s="29">
        <f t="shared" si="106"/>
        <v>2287.0200000000186</v>
      </c>
      <c r="BG220" s="29">
        <f t="shared" si="107"/>
        <v>2287.0200000000186</v>
      </c>
      <c r="BH220" s="37" t="s">
        <v>594</v>
      </c>
      <c r="BI220" s="29" t="s">
        <v>570</v>
      </c>
      <c r="BJ220" s="29" t="s">
        <v>570</v>
      </c>
      <c r="BK220" s="29" t="s">
        <v>570</v>
      </c>
      <c r="BL220" s="29" t="s">
        <v>570</v>
      </c>
      <c r="BM220" s="29" t="s">
        <v>570</v>
      </c>
      <c r="BN220" s="23">
        <v>42305</v>
      </c>
      <c r="BO220" s="23">
        <v>42314</v>
      </c>
      <c r="BP220" s="23">
        <v>42321</v>
      </c>
      <c r="BQ220" s="23">
        <v>42335</v>
      </c>
      <c r="BR220" s="13" t="s">
        <v>570</v>
      </c>
      <c r="BS220" s="23">
        <v>42354</v>
      </c>
      <c r="BT220" s="23">
        <v>42355</v>
      </c>
      <c r="BU220" s="13" t="s">
        <v>570</v>
      </c>
      <c r="BV220" s="13" t="s">
        <v>570</v>
      </c>
      <c r="BW220" s="224" t="s">
        <v>570</v>
      </c>
      <c r="BX220" s="23">
        <v>42380</v>
      </c>
      <c r="BY220" s="13" t="s">
        <v>570</v>
      </c>
      <c r="BZ220" s="23">
        <v>42542</v>
      </c>
      <c r="CA220" s="23">
        <v>42542</v>
      </c>
      <c r="CB220" s="224" t="s">
        <v>570</v>
      </c>
      <c r="CC220" s="224" t="s">
        <v>570</v>
      </c>
      <c r="CD220" s="224" t="s">
        <v>570</v>
      </c>
      <c r="CE220" s="13"/>
      <c r="CF220" s="127" t="s">
        <v>829</v>
      </c>
      <c r="CG220" s="13"/>
      <c r="CH220" s="13"/>
      <c r="CI220" s="13"/>
      <c r="CJ220" s="13"/>
      <c r="CK220" s="13"/>
      <c r="CL220" s="13"/>
      <c r="CM220" s="13"/>
      <c r="CN220" s="13"/>
      <c r="CO220" s="127" t="s">
        <v>829</v>
      </c>
      <c r="CP220" s="13" t="s">
        <v>570</v>
      </c>
      <c r="CQ220" s="13"/>
      <c r="CR220" s="127" t="s">
        <v>829</v>
      </c>
      <c r="CS220" s="13" t="s">
        <v>570</v>
      </c>
      <c r="CT220" s="29" t="s">
        <v>452</v>
      </c>
      <c r="CU220" s="25">
        <v>0.05</v>
      </c>
      <c r="CV220" s="23">
        <v>42578</v>
      </c>
      <c r="CW220" s="30">
        <f t="shared" si="108"/>
        <v>103130.29</v>
      </c>
      <c r="CX220" s="176"/>
      <c r="CY220" s="102"/>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31">
        <f t="shared" si="96"/>
        <v>103130.29</v>
      </c>
      <c r="DZ220" s="13"/>
      <c r="EA220" s="13"/>
      <c r="EB220" s="13"/>
      <c r="EC220" s="13"/>
      <c r="ED220" s="13"/>
      <c r="EE220" s="13"/>
      <c r="EF220" s="13"/>
      <c r="EG220" s="24">
        <v>240</v>
      </c>
      <c r="EH220" s="13" t="s">
        <v>588</v>
      </c>
      <c r="EI220" s="23">
        <f>CV220+1</f>
        <v>42579</v>
      </c>
      <c r="EJ220" s="23">
        <f>EI220+EG220</f>
        <v>42819</v>
      </c>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25"/>
      <c r="FI220" s="25"/>
      <c r="FJ220" s="25"/>
      <c r="FK220" s="25"/>
      <c r="FL220" s="25"/>
      <c r="FM220" s="25"/>
      <c r="FN220" s="25">
        <v>0.05</v>
      </c>
      <c r="FO220" s="25">
        <v>0.1</v>
      </c>
      <c r="FP220" s="25">
        <v>0.15</v>
      </c>
      <c r="FQ220" s="25">
        <v>0.15</v>
      </c>
      <c r="FR220" s="25">
        <v>0.2</v>
      </c>
      <c r="FS220" s="25">
        <v>0.27</v>
      </c>
      <c r="FT220" s="25">
        <v>0.28000000000000003</v>
      </c>
      <c r="FU220" s="25">
        <v>0.28999999999999998</v>
      </c>
      <c r="FV220" s="25">
        <v>0.48</v>
      </c>
      <c r="FW220" s="25">
        <v>0.48</v>
      </c>
      <c r="FX220" s="25">
        <v>1</v>
      </c>
      <c r="FY220" s="25">
        <v>1</v>
      </c>
      <c r="FZ220" s="25">
        <v>1</v>
      </c>
      <c r="GA220" s="25">
        <v>1</v>
      </c>
      <c r="GB220" s="25">
        <v>1</v>
      </c>
      <c r="GC220" s="25">
        <v>1</v>
      </c>
      <c r="GD220" s="25">
        <v>1</v>
      </c>
      <c r="GE220" s="25">
        <v>1</v>
      </c>
      <c r="GF220" s="25">
        <v>1</v>
      </c>
      <c r="GG220" s="25">
        <v>1</v>
      </c>
      <c r="GH220" s="25">
        <v>1</v>
      </c>
      <c r="GI220" s="25">
        <v>1</v>
      </c>
      <c r="GJ220" s="25">
        <v>1</v>
      </c>
      <c r="GK220" s="25">
        <v>1</v>
      </c>
      <c r="GL220" s="25">
        <v>1</v>
      </c>
      <c r="GM220" s="25">
        <v>1</v>
      </c>
      <c r="GN220" s="25">
        <v>1</v>
      </c>
      <c r="GO220" s="25">
        <v>1</v>
      </c>
      <c r="GP220" s="25">
        <v>1</v>
      </c>
      <c r="GQ220" s="25">
        <v>1</v>
      </c>
      <c r="GR220" s="25">
        <v>1</v>
      </c>
      <c r="GS220" s="25">
        <v>1</v>
      </c>
      <c r="GT220" s="25">
        <v>1</v>
      </c>
      <c r="GU220" s="25">
        <v>1</v>
      </c>
      <c r="GV220" s="25" t="s">
        <v>455</v>
      </c>
      <c r="GW220" s="25" t="s">
        <v>455</v>
      </c>
      <c r="GX220" s="25" t="s">
        <v>455</v>
      </c>
      <c r="GY220" s="25" t="s">
        <v>455</v>
      </c>
      <c r="GZ220" s="25" t="s">
        <v>455</v>
      </c>
      <c r="HA220" s="25" t="s">
        <v>455</v>
      </c>
      <c r="HB220" s="25" t="s">
        <v>455</v>
      </c>
      <c r="HC220" s="25" t="s">
        <v>455</v>
      </c>
      <c r="HD220" s="25" t="s">
        <v>455</v>
      </c>
      <c r="HE220" s="25" t="s">
        <v>455</v>
      </c>
      <c r="HF220" s="25" t="s">
        <v>455</v>
      </c>
      <c r="HG220" s="25" t="s">
        <v>455</v>
      </c>
      <c r="HH220" s="25" t="s">
        <v>455</v>
      </c>
      <c r="HI220" s="25"/>
      <c r="HJ220" s="25"/>
      <c r="HK220" s="25"/>
      <c r="HL220" s="25"/>
      <c r="HM220" s="84"/>
      <c r="HN220" s="84"/>
      <c r="HO220" s="84"/>
      <c r="HP220" s="84"/>
      <c r="HQ220" s="84"/>
      <c r="HR220" s="84"/>
      <c r="HS220" s="84"/>
      <c r="HT220" s="84"/>
      <c r="HU220" s="13"/>
      <c r="HV220" s="13" t="s">
        <v>1205</v>
      </c>
      <c r="HW220" s="32"/>
      <c r="HX220" s="55"/>
      <c r="HY220" s="55"/>
      <c r="HZ220" s="55"/>
      <c r="IA220" s="55"/>
      <c r="IB220" s="55"/>
      <c r="IC220" s="55"/>
      <c r="ID220" s="55"/>
      <c r="IE220" s="55"/>
      <c r="IF220" s="107">
        <v>208547.6</v>
      </c>
      <c r="IG220" s="107">
        <v>203951.65999999997</v>
      </c>
      <c r="IH220" s="250">
        <f t="shared" si="104"/>
        <v>0</v>
      </c>
      <c r="II220" s="55"/>
      <c r="IJ220" s="55"/>
      <c r="IK220" s="55"/>
      <c r="IL220" s="55"/>
      <c r="IM220" s="55"/>
      <c r="IN220" s="55"/>
      <c r="IO220" s="55"/>
      <c r="IP220" s="55"/>
      <c r="IQ220" s="55"/>
      <c r="IR220" s="55"/>
      <c r="IS220" s="55"/>
      <c r="IT220" s="55"/>
      <c r="IU220" s="55"/>
      <c r="IV220" s="55"/>
      <c r="IW220" s="55"/>
      <c r="IX220" s="55"/>
      <c r="IY220" s="55"/>
      <c r="IZ220" s="55"/>
      <c r="JA220" s="55"/>
      <c r="JB220" s="55"/>
      <c r="JC220" s="55"/>
      <c r="JD220" s="55">
        <v>2017</v>
      </c>
    </row>
    <row r="221" spans="1:264" s="5" customFormat="1" ht="24.95" hidden="1" customHeight="1">
      <c r="A221" s="26" t="s">
        <v>188</v>
      </c>
      <c r="B221" s="26" t="s">
        <v>27</v>
      </c>
      <c r="C221" s="13" t="s">
        <v>349</v>
      </c>
      <c r="D221" s="13" t="s">
        <v>380</v>
      </c>
      <c r="E221" s="16" t="s">
        <v>360</v>
      </c>
      <c r="F221" s="13" t="s">
        <v>360</v>
      </c>
      <c r="G221" s="39" t="s">
        <v>354</v>
      </c>
      <c r="H221" s="13" t="s">
        <v>1555</v>
      </c>
      <c r="I221" s="313" t="s">
        <v>982</v>
      </c>
      <c r="J221" s="40">
        <v>4</v>
      </c>
      <c r="K221" s="49" t="s">
        <v>375</v>
      </c>
      <c r="L221" s="314" t="s">
        <v>193</v>
      </c>
      <c r="M221" s="15" t="s">
        <v>982</v>
      </c>
      <c r="N221" s="20"/>
      <c r="O221" s="13" t="s">
        <v>3</v>
      </c>
      <c r="P221" s="13" t="s">
        <v>4</v>
      </c>
      <c r="Q221" s="22" t="s">
        <v>1118</v>
      </c>
      <c r="R221" s="314" t="s">
        <v>193</v>
      </c>
      <c r="S221" s="13" t="s">
        <v>1073</v>
      </c>
      <c r="T221" s="13" t="s">
        <v>1387</v>
      </c>
      <c r="U221" s="13" t="s">
        <v>479</v>
      </c>
      <c r="V221" s="13" t="s">
        <v>647</v>
      </c>
      <c r="W221" s="13" t="s">
        <v>1075</v>
      </c>
      <c r="X221" s="13" t="s">
        <v>969</v>
      </c>
      <c r="Y221" s="13" t="s">
        <v>1074</v>
      </c>
      <c r="Z221" s="13" t="s">
        <v>969</v>
      </c>
      <c r="AA221" s="29"/>
      <c r="AB221" s="29">
        <v>563783.6</v>
      </c>
      <c r="AC221" s="29">
        <v>0</v>
      </c>
      <c r="AD221" s="29">
        <v>563783.6</v>
      </c>
      <c r="AE221" s="29">
        <f>AK221-AB221</f>
        <v>36131.849999999977</v>
      </c>
      <c r="AF221" s="29">
        <f t="shared" si="100"/>
        <v>599915.44999999995</v>
      </c>
      <c r="AG221" s="25">
        <v>0.12</v>
      </c>
      <c r="AH221" s="29">
        <f t="shared" si="101"/>
        <v>67654.031999999992</v>
      </c>
      <c r="AI221" s="29">
        <f t="shared" si="102"/>
        <v>4335.8219999999974</v>
      </c>
      <c r="AJ221" s="29">
        <f t="shared" si="103"/>
        <v>671905.304</v>
      </c>
      <c r="AK221" s="29">
        <v>599915.44999999995</v>
      </c>
      <c r="AL221" s="29">
        <f t="shared" si="105"/>
        <v>-36131.849999999977</v>
      </c>
      <c r="AM221" s="126"/>
      <c r="AN221" s="29"/>
      <c r="AO221" s="29">
        <v>563783.6</v>
      </c>
      <c r="AP221" s="29"/>
      <c r="AQ221" s="29">
        <v>523194.73</v>
      </c>
      <c r="AR221" s="29"/>
      <c r="AS221" s="29"/>
      <c r="AT221" s="29"/>
      <c r="AU221" s="29"/>
      <c r="AV221" s="25" t="s">
        <v>1560</v>
      </c>
      <c r="AW221" s="29">
        <v>74942.13</v>
      </c>
      <c r="AX221" s="29"/>
      <c r="AY221" s="29"/>
      <c r="AZ221" s="29"/>
      <c r="BA221" s="29"/>
      <c r="BB221" s="29"/>
      <c r="BC221" s="29"/>
      <c r="BD221" s="29"/>
      <c r="BE221" s="29"/>
      <c r="BF221" s="29">
        <f t="shared" si="106"/>
        <v>40588.869999999995</v>
      </c>
      <c r="BG221" s="29">
        <f t="shared" si="107"/>
        <v>-34353.260000000009</v>
      </c>
      <c r="BH221" s="37" t="s">
        <v>594</v>
      </c>
      <c r="BI221" s="29" t="s">
        <v>570</v>
      </c>
      <c r="BJ221" s="29" t="s">
        <v>570</v>
      </c>
      <c r="BK221" s="29" t="s">
        <v>570</v>
      </c>
      <c r="BL221" s="29" t="s">
        <v>570</v>
      </c>
      <c r="BM221" s="29" t="s">
        <v>570</v>
      </c>
      <c r="BN221" s="23">
        <v>42200</v>
      </c>
      <c r="BO221" s="23">
        <v>42212</v>
      </c>
      <c r="BP221" s="23">
        <v>42215</v>
      </c>
      <c r="BQ221" s="23">
        <v>42234</v>
      </c>
      <c r="BR221" s="13" t="s">
        <v>570</v>
      </c>
      <c r="BS221" s="23">
        <v>42258</v>
      </c>
      <c r="BT221" s="23">
        <v>42259</v>
      </c>
      <c r="BU221" s="13" t="s">
        <v>570</v>
      </c>
      <c r="BV221" s="13" t="s">
        <v>570</v>
      </c>
      <c r="BW221" s="224" t="s">
        <v>570</v>
      </c>
      <c r="BX221" s="23">
        <v>42538</v>
      </c>
      <c r="BY221" s="13" t="s">
        <v>570</v>
      </c>
      <c r="BZ221" s="23">
        <v>42541</v>
      </c>
      <c r="CA221" s="23">
        <v>42541</v>
      </c>
      <c r="CB221" s="224" t="s">
        <v>570</v>
      </c>
      <c r="CC221" s="224" t="s">
        <v>570</v>
      </c>
      <c r="CD221" s="224" t="s">
        <v>570</v>
      </c>
      <c r="CE221" s="13"/>
      <c r="CF221" s="127" t="s">
        <v>829</v>
      </c>
      <c r="CG221" s="13"/>
      <c r="CH221" s="13"/>
      <c r="CI221" s="13"/>
      <c r="CJ221" s="13"/>
      <c r="CK221" s="13"/>
      <c r="CL221" s="13"/>
      <c r="CM221" s="13"/>
      <c r="CN221" s="13"/>
      <c r="CO221" s="127" t="s">
        <v>829</v>
      </c>
      <c r="CP221" s="13" t="s">
        <v>570</v>
      </c>
      <c r="CQ221" s="13"/>
      <c r="CR221" s="127" t="s">
        <v>829</v>
      </c>
      <c r="CS221" s="13" t="s">
        <v>570</v>
      </c>
      <c r="CT221" s="29"/>
      <c r="CU221" s="29"/>
      <c r="CV221" s="23">
        <v>42578</v>
      </c>
      <c r="CW221" s="30">
        <f t="shared" si="108"/>
        <v>261597.36499999999</v>
      </c>
      <c r="CX221" s="176"/>
      <c r="CY221" s="102"/>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31">
        <f t="shared" si="96"/>
        <v>261597.36499999999</v>
      </c>
      <c r="DZ221" s="13"/>
      <c r="EA221" s="13"/>
      <c r="EB221" s="13"/>
      <c r="EC221" s="13"/>
      <c r="ED221" s="13"/>
      <c r="EE221" s="13"/>
      <c r="EF221" s="13"/>
      <c r="EG221" s="24">
        <v>300</v>
      </c>
      <c r="EH221" s="13" t="s">
        <v>588</v>
      </c>
      <c r="EI221" s="23">
        <f>CV221+1</f>
        <v>42579</v>
      </c>
      <c r="EJ221" s="2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25"/>
      <c r="FI221" s="25"/>
      <c r="FJ221" s="25"/>
      <c r="FK221" s="25"/>
      <c r="FL221" s="25"/>
      <c r="FM221" s="25"/>
      <c r="FN221" s="25">
        <v>0.05</v>
      </c>
      <c r="FO221" s="25">
        <v>0.08</v>
      </c>
      <c r="FP221" s="25">
        <v>0.1</v>
      </c>
      <c r="FQ221" s="25">
        <v>0.1</v>
      </c>
      <c r="FR221" s="25">
        <v>0.1</v>
      </c>
      <c r="FS221" s="25">
        <v>0.2</v>
      </c>
      <c r="FT221" s="25">
        <v>0.25</v>
      </c>
      <c r="FU221" s="25">
        <v>0.28000000000000003</v>
      </c>
      <c r="FV221" s="25">
        <v>0.31</v>
      </c>
      <c r="FW221" s="25">
        <v>0.31</v>
      </c>
      <c r="FX221" s="25">
        <v>0.36</v>
      </c>
      <c r="FY221" s="25">
        <v>0.4</v>
      </c>
      <c r="FZ221" s="25">
        <v>0.4</v>
      </c>
      <c r="GA221" s="25">
        <v>0.9</v>
      </c>
      <c r="GB221" s="25">
        <v>1</v>
      </c>
      <c r="GC221" s="25">
        <v>1</v>
      </c>
      <c r="GD221" s="25">
        <v>1</v>
      </c>
      <c r="GE221" s="25">
        <v>1</v>
      </c>
      <c r="GF221" s="25">
        <v>1</v>
      </c>
      <c r="GG221" s="25">
        <v>1</v>
      </c>
      <c r="GH221" s="25">
        <v>1</v>
      </c>
      <c r="GI221" s="25">
        <v>1</v>
      </c>
      <c r="GJ221" s="25">
        <v>1</v>
      </c>
      <c r="GK221" s="25">
        <v>1</v>
      </c>
      <c r="GL221" s="25">
        <v>1</v>
      </c>
      <c r="GM221" s="25">
        <v>1</v>
      </c>
      <c r="GN221" s="25">
        <v>1</v>
      </c>
      <c r="GO221" s="25">
        <v>1</v>
      </c>
      <c r="GP221" s="25">
        <v>1</v>
      </c>
      <c r="GQ221" s="25">
        <v>1</v>
      </c>
      <c r="GR221" s="25">
        <v>1</v>
      </c>
      <c r="GS221" s="25">
        <v>1</v>
      </c>
      <c r="GT221" s="25">
        <v>1</v>
      </c>
      <c r="GU221" s="25">
        <v>1</v>
      </c>
      <c r="GV221" s="25" t="s">
        <v>455</v>
      </c>
      <c r="GW221" s="25" t="s">
        <v>455</v>
      </c>
      <c r="GX221" s="25" t="s">
        <v>455</v>
      </c>
      <c r="GY221" s="25" t="s">
        <v>455</v>
      </c>
      <c r="GZ221" s="25" t="s">
        <v>455</v>
      </c>
      <c r="HA221" s="25" t="s">
        <v>455</v>
      </c>
      <c r="HB221" s="25" t="s">
        <v>455</v>
      </c>
      <c r="HC221" s="25" t="s">
        <v>455</v>
      </c>
      <c r="HD221" s="25" t="s">
        <v>455</v>
      </c>
      <c r="HE221" s="25" t="s">
        <v>455</v>
      </c>
      <c r="HF221" s="25" t="s">
        <v>455</v>
      </c>
      <c r="HG221" s="25" t="s">
        <v>455</v>
      </c>
      <c r="HH221" s="25" t="s">
        <v>455</v>
      </c>
      <c r="HI221" s="25"/>
      <c r="HJ221" s="25"/>
      <c r="HK221" s="25"/>
      <c r="HL221" s="25"/>
      <c r="HM221" s="84"/>
      <c r="HN221" s="84"/>
      <c r="HO221" s="84"/>
      <c r="HP221" s="84"/>
      <c r="HQ221" s="84"/>
      <c r="HR221" s="84"/>
      <c r="HS221" s="84"/>
      <c r="HT221" s="84"/>
      <c r="HU221" s="13"/>
      <c r="HV221" s="13"/>
      <c r="HW221" s="32"/>
      <c r="HX221" s="55"/>
      <c r="HY221" s="55"/>
      <c r="HZ221" s="55"/>
      <c r="IA221" s="55"/>
      <c r="IB221" s="55"/>
      <c r="IC221" s="55"/>
      <c r="ID221" s="55"/>
      <c r="IE221" s="55"/>
      <c r="IF221" s="107">
        <v>563783.6</v>
      </c>
      <c r="IG221" s="107">
        <v>599915.44999999995</v>
      </c>
      <c r="IH221" s="250">
        <f t="shared" si="104"/>
        <v>0</v>
      </c>
      <c r="II221" s="55"/>
      <c r="IJ221" s="55"/>
      <c r="IK221" s="55"/>
      <c r="IL221" s="55"/>
      <c r="IM221" s="55"/>
      <c r="IN221" s="55"/>
      <c r="IO221" s="55"/>
      <c r="IP221" s="55"/>
      <c r="IQ221" s="55"/>
      <c r="IR221" s="55"/>
      <c r="IS221" s="55"/>
      <c r="IT221" s="55"/>
      <c r="IU221" s="55"/>
      <c r="IV221" s="55"/>
      <c r="IW221" s="55"/>
      <c r="IX221" s="55"/>
      <c r="IY221" s="55"/>
      <c r="IZ221" s="55"/>
      <c r="JA221" s="55"/>
      <c r="JB221" s="55"/>
      <c r="JC221" s="55"/>
      <c r="JD221" s="55">
        <v>2017</v>
      </c>
    </row>
    <row r="222" spans="1:264" s="5" customFormat="1" ht="24.95" hidden="1" customHeight="1">
      <c r="A222" s="26" t="s">
        <v>188</v>
      </c>
      <c r="B222" s="26" t="s">
        <v>27</v>
      </c>
      <c r="C222" s="13" t="s">
        <v>349</v>
      </c>
      <c r="D222" s="13" t="s">
        <v>380</v>
      </c>
      <c r="E222" s="16" t="s">
        <v>360</v>
      </c>
      <c r="F222" s="13" t="s">
        <v>360</v>
      </c>
      <c r="G222" s="39" t="s">
        <v>354</v>
      </c>
      <c r="H222" s="13" t="s">
        <v>1554</v>
      </c>
      <c r="I222" s="313" t="s">
        <v>195</v>
      </c>
      <c r="J222" s="40">
        <v>5</v>
      </c>
      <c r="K222" s="49" t="s">
        <v>375</v>
      </c>
      <c r="L222" s="314" t="s">
        <v>194</v>
      </c>
      <c r="M222" s="15" t="s">
        <v>195</v>
      </c>
      <c r="N222" s="20"/>
      <c r="O222" s="13" t="s">
        <v>3</v>
      </c>
      <c r="P222" s="13" t="s">
        <v>4</v>
      </c>
      <c r="Q222" s="22" t="s">
        <v>1118</v>
      </c>
      <c r="R222" s="314" t="s">
        <v>194</v>
      </c>
      <c r="S222" s="13" t="s">
        <v>866</v>
      </c>
      <c r="T222" s="13" t="s">
        <v>1387</v>
      </c>
      <c r="U222" s="13" t="s">
        <v>479</v>
      </c>
      <c r="V222" s="24">
        <v>1191758850001</v>
      </c>
      <c r="W222" s="13" t="s">
        <v>1078</v>
      </c>
      <c r="X222" s="13"/>
      <c r="Y222" s="13" t="s">
        <v>1067</v>
      </c>
      <c r="Z222" s="13"/>
      <c r="AA222" s="29"/>
      <c r="AB222" s="29">
        <v>950000</v>
      </c>
      <c r="AC222" s="29">
        <v>0</v>
      </c>
      <c r="AD222" s="29">
        <v>949999.99999999988</v>
      </c>
      <c r="AE222" s="29">
        <f>AK222-AB222</f>
        <v>26460.260000000009</v>
      </c>
      <c r="AF222" s="29">
        <f t="shared" si="100"/>
        <v>976460.25999999989</v>
      </c>
      <c r="AG222" s="25">
        <v>0.12</v>
      </c>
      <c r="AH222" s="29">
        <f t="shared" si="101"/>
        <v>113999.99999999999</v>
      </c>
      <c r="AI222" s="29">
        <f t="shared" si="102"/>
        <v>3175.2312000000011</v>
      </c>
      <c r="AJ222" s="29">
        <f t="shared" si="103"/>
        <v>1093635.4912</v>
      </c>
      <c r="AK222" s="29">
        <v>976460.26</v>
      </c>
      <c r="AL222" s="29">
        <f t="shared" si="105"/>
        <v>-26460.260000000009</v>
      </c>
      <c r="AM222" s="126"/>
      <c r="AN222" s="29"/>
      <c r="AO222" s="29">
        <v>949999.99999999988</v>
      </c>
      <c r="AP222" s="29"/>
      <c r="AQ222" s="29">
        <v>886482.18</v>
      </c>
      <c r="AR222" s="29"/>
      <c r="AS222" s="29"/>
      <c r="AT222" s="29"/>
      <c r="AU222" s="29"/>
      <c r="AV222" s="29"/>
      <c r="AW222" s="29"/>
      <c r="AX222" s="29"/>
      <c r="AY222" s="29"/>
      <c r="AZ222" s="29"/>
      <c r="BA222" s="29"/>
      <c r="BB222" s="29"/>
      <c r="BC222" s="29"/>
      <c r="BD222" s="29"/>
      <c r="BE222" s="29"/>
      <c r="BF222" s="29">
        <f t="shared" si="106"/>
        <v>63517.819999999949</v>
      </c>
      <c r="BG222" s="29">
        <f t="shared" si="107"/>
        <v>63517.819999999949</v>
      </c>
      <c r="BH222" s="37" t="s">
        <v>594</v>
      </c>
      <c r="BI222" s="29" t="s">
        <v>570</v>
      </c>
      <c r="BJ222" s="29" t="s">
        <v>570</v>
      </c>
      <c r="BK222" s="29" t="s">
        <v>570</v>
      </c>
      <c r="BL222" s="29" t="s">
        <v>570</v>
      </c>
      <c r="BM222" s="29" t="s">
        <v>570</v>
      </c>
      <c r="BN222" s="23">
        <v>42200</v>
      </c>
      <c r="BO222" s="23">
        <v>42212</v>
      </c>
      <c r="BP222" s="23">
        <v>42215</v>
      </c>
      <c r="BQ222" s="23">
        <v>42234</v>
      </c>
      <c r="BR222" s="13"/>
      <c r="BS222" s="23">
        <v>42258</v>
      </c>
      <c r="BT222" s="23">
        <v>42259</v>
      </c>
      <c r="BU222" s="13" t="s">
        <v>570</v>
      </c>
      <c r="BV222" s="13" t="s">
        <v>570</v>
      </c>
      <c r="BW222" s="224" t="s">
        <v>570</v>
      </c>
      <c r="BX222" s="23">
        <v>42285</v>
      </c>
      <c r="BY222" s="13" t="s">
        <v>570</v>
      </c>
      <c r="BZ222" s="23">
        <v>42296</v>
      </c>
      <c r="CA222" s="23">
        <v>42332</v>
      </c>
      <c r="CB222" s="224" t="s">
        <v>570</v>
      </c>
      <c r="CC222" s="224" t="s">
        <v>570</v>
      </c>
      <c r="CD222" s="224" t="s">
        <v>570</v>
      </c>
      <c r="CE222" s="13"/>
      <c r="CF222" s="127" t="s">
        <v>829</v>
      </c>
      <c r="CG222" s="13"/>
      <c r="CH222" s="13"/>
      <c r="CI222" s="13"/>
      <c r="CJ222" s="13"/>
      <c r="CK222" s="13"/>
      <c r="CL222" s="13"/>
      <c r="CM222" s="13"/>
      <c r="CN222" s="13"/>
      <c r="CO222" s="127" t="s">
        <v>829</v>
      </c>
      <c r="CP222" s="13" t="s">
        <v>570</v>
      </c>
      <c r="CQ222" s="13"/>
      <c r="CR222" s="127" t="s">
        <v>829</v>
      </c>
      <c r="CS222" s="13" t="s">
        <v>570</v>
      </c>
      <c r="CT222" s="29"/>
      <c r="CU222" s="29"/>
      <c r="CV222" s="23">
        <v>42537</v>
      </c>
      <c r="CW222" s="30">
        <f t="shared" si="108"/>
        <v>443241.09</v>
      </c>
      <c r="CX222" s="176" t="s">
        <v>1027</v>
      </c>
      <c r="CY222" s="102">
        <v>42537</v>
      </c>
      <c r="CZ222" s="30">
        <f>(183755.92+100972.25)-151755.84</f>
        <v>132972.33000000005</v>
      </c>
      <c r="DA222" s="184" t="s">
        <v>1342</v>
      </c>
      <c r="DB222" s="102">
        <v>42755</v>
      </c>
      <c r="DC222" s="30">
        <v>132972.32999999999</v>
      </c>
      <c r="DD222" s="134" t="s">
        <v>1498</v>
      </c>
      <c r="DE222" s="166">
        <v>42821</v>
      </c>
      <c r="DF222" s="90">
        <v>101887.63</v>
      </c>
      <c r="DG222" s="13"/>
      <c r="DH222" s="13"/>
      <c r="DI222" s="13"/>
      <c r="DJ222" s="13"/>
      <c r="DK222" s="13"/>
      <c r="DL222" s="13"/>
      <c r="DM222" s="13"/>
      <c r="DN222" s="13"/>
      <c r="DO222" s="13"/>
      <c r="DP222" s="13"/>
      <c r="DQ222" s="13"/>
      <c r="DR222" s="13"/>
      <c r="DS222" s="13"/>
      <c r="DT222" s="13"/>
      <c r="DU222" s="13"/>
      <c r="DV222" s="13"/>
      <c r="DW222" s="13"/>
      <c r="DX222" s="13"/>
      <c r="DY222" s="31">
        <f t="shared" si="96"/>
        <v>811073.38</v>
      </c>
      <c r="DZ222" s="13"/>
      <c r="EA222" s="13"/>
      <c r="EB222" s="13"/>
      <c r="EC222" s="13"/>
      <c r="ED222" s="13"/>
      <c r="EE222" s="13"/>
      <c r="EF222" s="13"/>
      <c r="EG222" s="24">
        <v>300</v>
      </c>
      <c r="EH222" s="13" t="s">
        <v>588</v>
      </c>
      <c r="EI222" s="23">
        <f>CV222+1</f>
        <v>42538</v>
      </c>
      <c r="EJ222" s="2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25"/>
      <c r="FI222" s="25"/>
      <c r="FJ222" s="25"/>
      <c r="FK222" s="25"/>
      <c r="FL222" s="25"/>
      <c r="FM222" s="25"/>
      <c r="FN222" s="25">
        <v>0.05</v>
      </c>
      <c r="FO222" s="25">
        <v>0.12</v>
      </c>
      <c r="FP222" s="25">
        <v>0.17</v>
      </c>
      <c r="FQ222" s="25">
        <v>0.17</v>
      </c>
      <c r="FR222" s="25">
        <v>0.28000000000000003</v>
      </c>
      <c r="FS222" s="25">
        <v>0.32</v>
      </c>
      <c r="FT222" s="25">
        <v>0.92</v>
      </c>
      <c r="FU222" s="25">
        <v>0.93</v>
      </c>
      <c r="FV222" s="25">
        <v>1</v>
      </c>
      <c r="FW222" s="25">
        <v>1</v>
      </c>
      <c r="FX222" s="25">
        <v>1</v>
      </c>
      <c r="FY222" s="25">
        <v>1</v>
      </c>
      <c r="FZ222" s="25">
        <v>1</v>
      </c>
      <c r="GA222" s="25">
        <v>1</v>
      </c>
      <c r="GB222" s="25">
        <v>1</v>
      </c>
      <c r="GC222" s="25">
        <v>1</v>
      </c>
      <c r="GD222" s="25">
        <v>1</v>
      </c>
      <c r="GE222" s="25">
        <v>1</v>
      </c>
      <c r="GF222" s="25">
        <v>1</v>
      </c>
      <c r="GG222" s="25">
        <v>1</v>
      </c>
      <c r="GH222" s="25">
        <v>1</v>
      </c>
      <c r="GI222" s="25">
        <v>1</v>
      </c>
      <c r="GJ222" s="25">
        <v>1</v>
      </c>
      <c r="GK222" s="25">
        <v>1</v>
      </c>
      <c r="GL222" s="25">
        <v>1</v>
      </c>
      <c r="GM222" s="25">
        <v>1</v>
      </c>
      <c r="GN222" s="25">
        <v>1</v>
      </c>
      <c r="GO222" s="25">
        <v>1</v>
      </c>
      <c r="GP222" s="25">
        <v>1</v>
      </c>
      <c r="GQ222" s="25">
        <v>1</v>
      </c>
      <c r="GR222" s="25">
        <v>1</v>
      </c>
      <c r="GS222" s="25">
        <v>1</v>
      </c>
      <c r="GT222" s="25">
        <v>1</v>
      </c>
      <c r="GU222" s="25">
        <v>1</v>
      </c>
      <c r="GV222" s="25" t="s">
        <v>455</v>
      </c>
      <c r="GW222" s="25" t="s">
        <v>455</v>
      </c>
      <c r="GX222" s="25" t="s">
        <v>455</v>
      </c>
      <c r="GY222" s="25" t="s">
        <v>455</v>
      </c>
      <c r="GZ222" s="25" t="s">
        <v>455</v>
      </c>
      <c r="HA222" s="25" t="s">
        <v>455</v>
      </c>
      <c r="HB222" s="25" t="s">
        <v>455</v>
      </c>
      <c r="HC222" s="25" t="s">
        <v>455</v>
      </c>
      <c r="HD222" s="25" t="s">
        <v>455</v>
      </c>
      <c r="HE222" s="25" t="s">
        <v>455</v>
      </c>
      <c r="HF222" s="25" t="s">
        <v>455</v>
      </c>
      <c r="HG222" s="25" t="s">
        <v>455</v>
      </c>
      <c r="HH222" s="25" t="s">
        <v>455</v>
      </c>
      <c r="HI222" s="25"/>
      <c r="HJ222" s="25"/>
      <c r="HK222" s="25"/>
      <c r="HL222" s="25"/>
      <c r="HM222" s="84"/>
      <c r="HN222" s="84"/>
      <c r="HO222" s="84"/>
      <c r="HP222" s="84"/>
      <c r="HQ222" s="84"/>
      <c r="HR222" s="84"/>
      <c r="HS222" s="84"/>
      <c r="HT222" s="84"/>
      <c r="HU222" s="13"/>
      <c r="HV222" s="13"/>
      <c r="HW222" s="32"/>
      <c r="HX222" s="55"/>
      <c r="HY222" s="55"/>
      <c r="HZ222" s="55"/>
      <c r="IA222" s="55"/>
      <c r="IB222" s="55"/>
      <c r="IC222" s="55"/>
      <c r="ID222" s="55"/>
      <c r="IE222" s="55"/>
      <c r="IF222" s="107">
        <v>950000</v>
      </c>
      <c r="IG222" s="107">
        <v>976460.26</v>
      </c>
      <c r="IH222" s="250">
        <f t="shared" si="104"/>
        <v>0</v>
      </c>
      <c r="II222" s="55"/>
      <c r="IJ222" s="55"/>
      <c r="IK222" s="55"/>
      <c r="IL222" s="55"/>
      <c r="IM222" s="55"/>
      <c r="IN222" s="55"/>
      <c r="IO222" s="55"/>
      <c r="IP222" s="55"/>
      <c r="IQ222" s="55"/>
      <c r="IR222" s="55"/>
      <c r="IS222" s="55"/>
      <c r="IT222" s="55"/>
      <c r="IU222" s="55"/>
      <c r="IV222" s="55"/>
      <c r="IW222" s="55"/>
      <c r="IX222" s="55"/>
      <c r="IY222" s="55"/>
      <c r="IZ222" s="55"/>
      <c r="JA222" s="55"/>
      <c r="JB222" s="55"/>
      <c r="JC222" s="55"/>
      <c r="JD222" s="55">
        <v>2017</v>
      </c>
    </row>
    <row r="223" spans="1:264" s="5" customFormat="1" ht="24.95" hidden="1" customHeight="1">
      <c r="A223" s="26" t="s">
        <v>188</v>
      </c>
      <c r="B223" s="26" t="s">
        <v>27</v>
      </c>
      <c r="C223" s="13" t="s">
        <v>349</v>
      </c>
      <c r="D223" s="13" t="s">
        <v>380</v>
      </c>
      <c r="E223" s="16" t="s">
        <v>360</v>
      </c>
      <c r="F223" s="13" t="s">
        <v>360</v>
      </c>
      <c r="G223" s="39" t="s">
        <v>354</v>
      </c>
      <c r="H223" s="13" t="s">
        <v>1555</v>
      </c>
      <c r="I223" s="313" t="s">
        <v>197</v>
      </c>
      <c r="J223" s="40">
        <v>6</v>
      </c>
      <c r="K223" s="49" t="s">
        <v>375</v>
      </c>
      <c r="L223" s="314" t="s">
        <v>196</v>
      </c>
      <c r="M223" s="15" t="s">
        <v>197</v>
      </c>
      <c r="N223" s="20"/>
      <c r="O223" s="13" t="s">
        <v>3</v>
      </c>
      <c r="P223" s="13" t="s">
        <v>4</v>
      </c>
      <c r="Q223" s="22" t="s">
        <v>1118</v>
      </c>
      <c r="R223" s="314" t="s">
        <v>196</v>
      </c>
      <c r="S223" s="13" t="s">
        <v>867</v>
      </c>
      <c r="T223" s="13" t="s">
        <v>1387</v>
      </c>
      <c r="U223" s="13" t="s">
        <v>477</v>
      </c>
      <c r="V223" s="24">
        <v>1101423075001</v>
      </c>
      <c r="W223" s="13" t="s">
        <v>1080</v>
      </c>
      <c r="X223" s="13"/>
      <c r="Y223" s="13" t="s">
        <v>1079</v>
      </c>
      <c r="Z223" s="13"/>
      <c r="AA223" s="29"/>
      <c r="AB223" s="29">
        <v>475000</v>
      </c>
      <c r="AC223" s="29">
        <v>0</v>
      </c>
      <c r="AD223" s="29">
        <v>474999.99999999994</v>
      </c>
      <c r="AE223" s="29">
        <v>0</v>
      </c>
      <c r="AF223" s="29">
        <f t="shared" si="100"/>
        <v>474999.99999999994</v>
      </c>
      <c r="AG223" s="25">
        <v>0.12</v>
      </c>
      <c r="AH223" s="29">
        <f t="shared" si="101"/>
        <v>56999.999999999993</v>
      </c>
      <c r="AI223" s="29">
        <f t="shared" si="102"/>
        <v>0</v>
      </c>
      <c r="AJ223" s="29">
        <f t="shared" si="103"/>
        <v>532000</v>
      </c>
      <c r="AK223" s="29">
        <v>412110.68000000005</v>
      </c>
      <c r="AL223" s="29">
        <f t="shared" si="105"/>
        <v>62889.319999999949</v>
      </c>
      <c r="AM223" s="126"/>
      <c r="AN223" s="29"/>
      <c r="AO223" s="29">
        <v>474999.99999999994</v>
      </c>
      <c r="AP223" s="29"/>
      <c r="AQ223" s="29">
        <v>412169.51</v>
      </c>
      <c r="AR223" s="29"/>
      <c r="AS223" s="29"/>
      <c r="AT223" s="29"/>
      <c r="AU223" s="29"/>
      <c r="AV223" s="29"/>
      <c r="AW223" s="29"/>
      <c r="AX223" s="29"/>
      <c r="AY223" s="29"/>
      <c r="AZ223" s="29"/>
      <c r="BA223" s="29"/>
      <c r="BB223" s="29"/>
      <c r="BC223" s="29"/>
      <c r="BD223" s="29"/>
      <c r="BE223" s="29"/>
      <c r="BF223" s="29">
        <f t="shared" si="106"/>
        <v>62830.489999999991</v>
      </c>
      <c r="BG223" s="29">
        <f t="shared" si="107"/>
        <v>62830.489999999991</v>
      </c>
      <c r="BH223" s="37" t="s">
        <v>594</v>
      </c>
      <c r="BI223" s="29" t="s">
        <v>570</v>
      </c>
      <c r="BJ223" s="29" t="s">
        <v>570</v>
      </c>
      <c r="BK223" s="29" t="s">
        <v>570</v>
      </c>
      <c r="BL223" s="29" t="s">
        <v>570</v>
      </c>
      <c r="BM223" s="29" t="s">
        <v>570</v>
      </c>
      <c r="BN223" s="23">
        <v>42305</v>
      </c>
      <c r="BO223" s="23">
        <v>42314</v>
      </c>
      <c r="BP223" s="23">
        <v>42321</v>
      </c>
      <c r="BQ223" s="23">
        <v>42335</v>
      </c>
      <c r="BR223" s="13" t="s">
        <v>570</v>
      </c>
      <c r="BS223" s="23">
        <v>42354</v>
      </c>
      <c r="BT223" s="23">
        <v>42355</v>
      </c>
      <c r="BU223" s="13" t="s">
        <v>570</v>
      </c>
      <c r="BV223" s="13" t="s">
        <v>570</v>
      </c>
      <c r="BW223" s="224" t="s">
        <v>570</v>
      </c>
      <c r="BX223" s="23">
        <v>42380</v>
      </c>
      <c r="BY223" s="13" t="s">
        <v>570</v>
      </c>
      <c r="BZ223" s="13" t="s">
        <v>503</v>
      </c>
      <c r="CA223" s="23">
        <v>42538</v>
      </c>
      <c r="CB223" s="224" t="s">
        <v>570</v>
      </c>
      <c r="CC223" s="224" t="s">
        <v>570</v>
      </c>
      <c r="CD223" s="224" t="s">
        <v>570</v>
      </c>
      <c r="CE223" s="13"/>
      <c r="CF223" s="127" t="s">
        <v>829</v>
      </c>
      <c r="CG223" s="13"/>
      <c r="CH223" s="13"/>
      <c r="CI223" s="13"/>
      <c r="CJ223" s="13"/>
      <c r="CK223" s="13"/>
      <c r="CL223" s="13"/>
      <c r="CM223" s="13"/>
      <c r="CN223" s="13"/>
      <c r="CO223" s="127" t="s">
        <v>829</v>
      </c>
      <c r="CP223" s="13" t="s">
        <v>570</v>
      </c>
      <c r="CQ223" s="13"/>
      <c r="CR223" s="127" t="s">
        <v>829</v>
      </c>
      <c r="CS223" s="13" t="s">
        <v>570</v>
      </c>
      <c r="CT223" s="29" t="s">
        <v>452</v>
      </c>
      <c r="CU223" s="25">
        <v>0.05</v>
      </c>
      <c r="CV223" s="23">
        <v>42555</v>
      </c>
      <c r="CW223" s="30">
        <f t="shared" si="108"/>
        <v>206084.755</v>
      </c>
      <c r="CX223" s="176" t="s">
        <v>1028</v>
      </c>
      <c r="CY223" s="23">
        <v>42641</v>
      </c>
      <c r="CZ223" s="30">
        <f>(31040.87+95193.85)-64409.29</f>
        <v>61825.43</v>
      </c>
      <c r="DA223" s="176" t="s">
        <v>1029</v>
      </c>
      <c r="DB223" s="23">
        <v>42682</v>
      </c>
      <c r="DC223" s="30">
        <f>(69698.8+53015.12)-60888.49</f>
        <v>61825.430000000015</v>
      </c>
      <c r="DD223" s="176" t="s">
        <v>1030</v>
      </c>
      <c r="DE223" s="23">
        <v>42718</v>
      </c>
      <c r="DF223" s="30">
        <f>(76035.27+46625.68)-80786.98</f>
        <v>41873.970000000016</v>
      </c>
      <c r="DG223" s="176" t="s">
        <v>1031</v>
      </c>
      <c r="DH223" s="23">
        <v>42719</v>
      </c>
      <c r="DI223" s="30">
        <f>(31847.8+8653.29)</f>
        <v>40501.089999999997</v>
      </c>
      <c r="DJ223" s="13"/>
      <c r="DK223" s="13"/>
      <c r="DL223" s="13"/>
      <c r="DM223" s="13"/>
      <c r="DN223" s="13"/>
      <c r="DO223" s="13"/>
      <c r="DP223" s="13"/>
      <c r="DQ223" s="13"/>
      <c r="DR223" s="13"/>
      <c r="DS223" s="13"/>
      <c r="DT223" s="13"/>
      <c r="DU223" s="13"/>
      <c r="DV223" s="13"/>
      <c r="DW223" s="13"/>
      <c r="DX223" s="13"/>
      <c r="DY223" s="31">
        <f t="shared" si="96"/>
        <v>412110.67500000005</v>
      </c>
      <c r="DZ223" s="13"/>
      <c r="EA223" s="13"/>
      <c r="EB223" s="13"/>
      <c r="EC223" s="13"/>
      <c r="ED223" s="13"/>
      <c r="EE223" s="13"/>
      <c r="EF223" s="13"/>
      <c r="EG223" s="24">
        <v>120</v>
      </c>
      <c r="EH223" s="13" t="s">
        <v>588</v>
      </c>
      <c r="EI223" s="23">
        <f>CV223+1</f>
        <v>42556</v>
      </c>
      <c r="EJ223" s="23">
        <f>EI223+EG223</f>
        <v>42676</v>
      </c>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25"/>
      <c r="FI223" s="25"/>
      <c r="FJ223" s="25"/>
      <c r="FK223" s="25"/>
      <c r="FL223" s="25"/>
      <c r="FM223" s="25"/>
      <c r="FN223" s="25">
        <v>0.05</v>
      </c>
      <c r="FO223" s="25">
        <v>0.15</v>
      </c>
      <c r="FP223" s="25">
        <v>0.3</v>
      </c>
      <c r="FQ223" s="25">
        <v>0.3</v>
      </c>
      <c r="FR223" s="25">
        <v>0.9</v>
      </c>
      <c r="FS223" s="25">
        <v>1</v>
      </c>
      <c r="FT223" s="25">
        <v>1</v>
      </c>
      <c r="FU223" s="25">
        <v>1</v>
      </c>
      <c r="FV223" s="25">
        <v>1</v>
      </c>
      <c r="FW223" s="25">
        <v>1</v>
      </c>
      <c r="FX223" s="25">
        <v>1</v>
      </c>
      <c r="FY223" s="25">
        <v>1</v>
      </c>
      <c r="FZ223" s="25">
        <v>1</v>
      </c>
      <c r="GA223" s="25">
        <v>1</v>
      </c>
      <c r="GB223" s="25">
        <v>1</v>
      </c>
      <c r="GC223" s="25">
        <v>1</v>
      </c>
      <c r="GD223" s="25">
        <v>1</v>
      </c>
      <c r="GE223" s="25">
        <v>1</v>
      </c>
      <c r="GF223" s="25">
        <v>1</v>
      </c>
      <c r="GG223" s="25">
        <v>1</v>
      </c>
      <c r="GH223" s="25">
        <v>1</v>
      </c>
      <c r="GI223" s="25">
        <v>1</v>
      </c>
      <c r="GJ223" s="25">
        <v>1</v>
      </c>
      <c r="GK223" s="25">
        <v>1</v>
      </c>
      <c r="GL223" s="25">
        <v>1</v>
      </c>
      <c r="GM223" s="25">
        <v>1</v>
      </c>
      <c r="GN223" s="25">
        <v>1</v>
      </c>
      <c r="GO223" s="25">
        <v>1</v>
      </c>
      <c r="GP223" s="25">
        <v>1</v>
      </c>
      <c r="GQ223" s="25">
        <v>1</v>
      </c>
      <c r="GR223" s="25">
        <v>1</v>
      </c>
      <c r="GS223" s="25">
        <v>1</v>
      </c>
      <c r="GT223" s="25">
        <v>1</v>
      </c>
      <c r="GU223" s="25">
        <v>1</v>
      </c>
      <c r="GV223" s="25" t="s">
        <v>455</v>
      </c>
      <c r="GW223" s="25" t="s">
        <v>455</v>
      </c>
      <c r="GX223" s="25" t="s">
        <v>455</v>
      </c>
      <c r="GY223" s="25" t="s">
        <v>455</v>
      </c>
      <c r="GZ223" s="25" t="s">
        <v>455</v>
      </c>
      <c r="HA223" s="25" t="s">
        <v>455</v>
      </c>
      <c r="HB223" s="25" t="s">
        <v>455</v>
      </c>
      <c r="HC223" s="25" t="s">
        <v>455</v>
      </c>
      <c r="HD223" s="25" t="s">
        <v>455</v>
      </c>
      <c r="HE223" s="25" t="s">
        <v>455</v>
      </c>
      <c r="HF223" s="25" t="s">
        <v>455</v>
      </c>
      <c r="HG223" s="25" t="s">
        <v>455</v>
      </c>
      <c r="HH223" s="25" t="s">
        <v>455</v>
      </c>
      <c r="HI223" s="25"/>
      <c r="HJ223" s="25"/>
      <c r="HK223" s="25"/>
      <c r="HL223" s="25"/>
      <c r="HM223" s="84"/>
      <c r="HN223" s="84"/>
      <c r="HO223" s="84"/>
      <c r="HP223" s="84"/>
      <c r="HQ223" s="84"/>
      <c r="HR223" s="84"/>
      <c r="HS223" s="84"/>
      <c r="HT223" s="84"/>
      <c r="HU223" s="13"/>
      <c r="HV223" s="13"/>
      <c r="HW223" s="32"/>
      <c r="HX223" s="55"/>
      <c r="HY223" s="55"/>
      <c r="HZ223" s="55"/>
      <c r="IA223" s="55"/>
      <c r="IB223" s="55"/>
      <c r="IC223" s="55"/>
      <c r="ID223" s="55"/>
      <c r="IE223" s="55"/>
      <c r="IF223" s="107">
        <v>475000</v>
      </c>
      <c r="IG223" s="107">
        <v>412110.68000000005</v>
      </c>
      <c r="IH223" s="250">
        <f t="shared" si="104"/>
        <v>0</v>
      </c>
      <c r="II223" s="55"/>
      <c r="IJ223" s="55"/>
      <c r="IK223" s="55"/>
      <c r="IL223" s="55"/>
      <c r="IM223" s="55"/>
      <c r="IN223" s="55"/>
      <c r="IO223" s="55"/>
      <c r="IP223" s="55"/>
      <c r="IQ223" s="55"/>
      <c r="IR223" s="55"/>
      <c r="IS223" s="55"/>
      <c r="IT223" s="55"/>
      <c r="IU223" s="55"/>
      <c r="IV223" s="55"/>
      <c r="IW223" s="55"/>
      <c r="IX223" s="55"/>
      <c r="IY223" s="55"/>
      <c r="IZ223" s="55"/>
      <c r="JA223" s="55"/>
      <c r="JB223" s="55"/>
      <c r="JC223" s="55"/>
      <c r="JD223" s="55">
        <v>2016</v>
      </c>
    </row>
    <row r="224" spans="1:264" s="5" customFormat="1" ht="20.100000000000001" hidden="1" customHeight="1">
      <c r="A224" s="26" t="s">
        <v>70</v>
      </c>
      <c r="B224" s="26" t="s">
        <v>198</v>
      </c>
      <c r="C224" s="13" t="s">
        <v>349</v>
      </c>
      <c r="D224" s="13" t="s">
        <v>380</v>
      </c>
      <c r="E224" s="16" t="s">
        <v>360</v>
      </c>
      <c r="F224" s="13" t="s">
        <v>356</v>
      </c>
      <c r="G224" s="26" t="s">
        <v>354</v>
      </c>
      <c r="H224" s="13" t="s">
        <v>1517</v>
      </c>
      <c r="I224" s="313" t="s">
        <v>77</v>
      </c>
      <c r="J224" s="26">
        <v>6</v>
      </c>
      <c r="K224" s="49" t="s">
        <v>375</v>
      </c>
      <c r="L224" s="314" t="s">
        <v>200</v>
      </c>
      <c r="M224" s="15" t="s">
        <v>2016</v>
      </c>
      <c r="N224" s="20" t="s">
        <v>1956</v>
      </c>
      <c r="O224" s="13" t="s">
        <v>199</v>
      </c>
      <c r="P224" s="13" t="s">
        <v>4</v>
      </c>
      <c r="Q224" s="22" t="s">
        <v>1118</v>
      </c>
      <c r="R224" s="314" t="s">
        <v>200</v>
      </c>
      <c r="S224" s="13" t="s">
        <v>706</v>
      </c>
      <c r="T224" s="13" t="s">
        <v>1387</v>
      </c>
      <c r="U224" s="13" t="s">
        <v>479</v>
      </c>
      <c r="V224" s="13" t="s">
        <v>707</v>
      </c>
      <c r="W224" s="13" t="s">
        <v>570</v>
      </c>
      <c r="X224" s="13" t="s">
        <v>570</v>
      </c>
      <c r="Y224" s="13" t="s">
        <v>943</v>
      </c>
      <c r="Z224" s="13" t="s">
        <v>944</v>
      </c>
      <c r="AA224" s="49">
        <v>7985.703857880002</v>
      </c>
      <c r="AB224" s="29">
        <v>131075.13</v>
      </c>
      <c r="AC224" s="29">
        <v>131075.13</v>
      </c>
      <c r="AD224" s="29">
        <v>131075.14000000001</v>
      </c>
      <c r="AE224" s="29">
        <v>0</v>
      </c>
      <c r="AF224" s="29">
        <f t="shared" si="100"/>
        <v>131075.14000000001</v>
      </c>
      <c r="AG224" s="25">
        <v>0.12</v>
      </c>
      <c r="AH224" s="29">
        <f t="shared" si="101"/>
        <v>15729.016800000001</v>
      </c>
      <c r="AI224" s="29">
        <f t="shared" si="102"/>
        <v>0</v>
      </c>
      <c r="AJ224" s="29">
        <f t="shared" si="103"/>
        <v>146804.15680000003</v>
      </c>
      <c r="AK224" s="29">
        <v>120696.63</v>
      </c>
      <c r="AL224" s="29">
        <f t="shared" si="105"/>
        <v>10378.5</v>
      </c>
      <c r="AM224" s="126"/>
      <c r="AN224" s="29"/>
      <c r="AO224" s="29">
        <v>131075.13392857142</v>
      </c>
      <c r="AP224" s="29"/>
      <c r="AQ224" s="29">
        <v>129989.99</v>
      </c>
      <c r="AR224" s="29"/>
      <c r="AS224" s="29"/>
      <c r="AT224" s="29"/>
      <c r="AU224" s="29"/>
      <c r="AV224" s="29"/>
      <c r="AW224" s="29"/>
      <c r="AX224" s="29"/>
      <c r="AY224" s="29"/>
      <c r="AZ224" s="29"/>
      <c r="BA224" s="29"/>
      <c r="BB224" s="29"/>
      <c r="BC224" s="29"/>
      <c r="BD224" s="29"/>
      <c r="BE224" s="29"/>
      <c r="BF224" s="29">
        <f t="shared" si="106"/>
        <v>1085.1399999999994</v>
      </c>
      <c r="BG224" s="29">
        <f t="shared" ref="BG224:BG235" si="109">BF224-AW224-AZ224-BC224-BE224</f>
        <v>1085.1399999999994</v>
      </c>
      <c r="BH224" s="29"/>
      <c r="BI224" s="29" t="s">
        <v>570</v>
      </c>
      <c r="BJ224" s="29" t="s">
        <v>570</v>
      </c>
      <c r="BK224" s="29"/>
      <c r="BL224" s="29"/>
      <c r="BM224" s="29"/>
      <c r="BN224" s="13"/>
      <c r="BO224" s="13"/>
      <c r="BP224" s="13"/>
      <c r="BQ224" s="13"/>
      <c r="BR224" s="13"/>
      <c r="BS224" s="13"/>
      <c r="BT224" s="13"/>
      <c r="BU224" s="13"/>
      <c r="BV224" s="13"/>
      <c r="BW224" s="224" t="s">
        <v>570</v>
      </c>
      <c r="BX224" s="23">
        <v>42361</v>
      </c>
      <c r="BY224" s="13" t="s">
        <v>570</v>
      </c>
      <c r="BZ224" s="23">
        <v>42384</v>
      </c>
      <c r="CA224" s="23">
        <v>42397</v>
      </c>
      <c r="CB224" s="224" t="s">
        <v>570</v>
      </c>
      <c r="CC224" s="224" t="s">
        <v>570</v>
      </c>
      <c r="CD224" s="224" t="s">
        <v>570</v>
      </c>
      <c r="CE224" s="13"/>
      <c r="CF224" s="13"/>
      <c r="CG224" s="13"/>
      <c r="CH224" s="13"/>
      <c r="CI224" s="13"/>
      <c r="CJ224" s="13"/>
      <c r="CK224" s="13"/>
      <c r="CL224" s="13"/>
      <c r="CM224" s="13"/>
      <c r="CN224" s="13"/>
      <c r="CO224" s="13"/>
      <c r="CP224" s="13"/>
      <c r="CQ224" s="13"/>
      <c r="CR224" s="13"/>
      <c r="CS224" s="29" t="s">
        <v>570</v>
      </c>
      <c r="CT224" s="29" t="s">
        <v>570</v>
      </c>
      <c r="CU224" s="29" t="s">
        <v>570</v>
      </c>
      <c r="CV224" s="23">
        <v>42613</v>
      </c>
      <c r="CW224" s="30">
        <f t="shared" si="108"/>
        <v>64994.995000000003</v>
      </c>
      <c r="CX224" s="30"/>
      <c r="CY224" s="23">
        <v>42684</v>
      </c>
      <c r="CZ224" s="37">
        <v>29811.84</v>
      </c>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31">
        <f t="shared" ref="DY224:DY233" si="110">CW224+CZ224+DC224+DF224+DI224+DL224+DO224+DR224+DU224+DX224</f>
        <v>94806.835000000006</v>
      </c>
      <c r="DZ224" s="13"/>
      <c r="EA224" s="13"/>
      <c r="EB224" s="13"/>
      <c r="EC224" s="13"/>
      <c r="ED224" s="13"/>
      <c r="EE224" s="13"/>
      <c r="EF224" s="13"/>
      <c r="EG224" s="24" t="s">
        <v>503</v>
      </c>
      <c r="EH224" s="13" t="s">
        <v>503</v>
      </c>
      <c r="EI224" s="23">
        <f t="shared" ref="EI224:EI232" si="111">CV224+1</f>
        <v>42614</v>
      </c>
      <c r="EJ224" s="2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25"/>
      <c r="FI224" s="25"/>
      <c r="FJ224" s="25">
        <v>0.2</v>
      </c>
      <c r="FK224" s="25">
        <v>0.28000000000000003</v>
      </c>
      <c r="FL224" s="25">
        <v>0.28000000000000003</v>
      </c>
      <c r="FM224" s="25">
        <v>0.28000000000000003</v>
      </c>
      <c r="FN224" s="25">
        <v>0.28000000000000003</v>
      </c>
      <c r="FO224" s="25">
        <v>0.46</v>
      </c>
      <c r="FP224" s="25">
        <v>0.76</v>
      </c>
      <c r="FQ224" s="25">
        <v>0.79</v>
      </c>
      <c r="FR224" s="25">
        <v>0.79</v>
      </c>
      <c r="FS224" s="25">
        <v>1</v>
      </c>
      <c r="FT224" s="25">
        <v>1</v>
      </c>
      <c r="FU224" s="25">
        <v>1</v>
      </c>
      <c r="FV224" s="25">
        <v>1</v>
      </c>
      <c r="FW224" s="25">
        <v>1</v>
      </c>
      <c r="FX224" s="25">
        <v>1</v>
      </c>
      <c r="FY224" s="25">
        <v>1</v>
      </c>
      <c r="FZ224" s="25">
        <v>1</v>
      </c>
      <c r="GA224" s="25">
        <v>1</v>
      </c>
      <c r="GB224" s="25">
        <v>1</v>
      </c>
      <c r="GC224" s="25">
        <v>1</v>
      </c>
      <c r="GD224" s="25">
        <v>1</v>
      </c>
      <c r="GE224" s="25">
        <v>1</v>
      </c>
      <c r="GF224" s="25">
        <v>1</v>
      </c>
      <c r="GG224" s="25">
        <v>1</v>
      </c>
      <c r="GH224" s="25">
        <v>1</v>
      </c>
      <c r="GI224" s="25">
        <v>1</v>
      </c>
      <c r="GJ224" s="25">
        <v>1</v>
      </c>
      <c r="GK224" s="25">
        <v>1</v>
      </c>
      <c r="GL224" s="25">
        <v>1</v>
      </c>
      <c r="GM224" s="25">
        <v>1</v>
      </c>
      <c r="GN224" s="25">
        <v>1</v>
      </c>
      <c r="GO224" s="25">
        <v>1</v>
      </c>
      <c r="GP224" s="25">
        <v>1</v>
      </c>
      <c r="GQ224" s="25">
        <v>1</v>
      </c>
      <c r="GR224" s="25">
        <v>1</v>
      </c>
      <c r="GS224" s="25">
        <v>1</v>
      </c>
      <c r="GT224" s="25">
        <v>1</v>
      </c>
      <c r="GU224" s="25">
        <v>1</v>
      </c>
      <c r="GV224" s="25" t="s">
        <v>452</v>
      </c>
      <c r="GW224" s="25" t="s">
        <v>452</v>
      </c>
      <c r="GX224" s="25" t="s">
        <v>452</v>
      </c>
      <c r="GY224" s="25" t="s">
        <v>452</v>
      </c>
      <c r="GZ224" s="25" t="s">
        <v>452</v>
      </c>
      <c r="HA224" s="25" t="s">
        <v>452</v>
      </c>
      <c r="HB224" s="25" t="s">
        <v>452</v>
      </c>
      <c r="HC224" s="25" t="s">
        <v>452</v>
      </c>
      <c r="HD224" s="25" t="s">
        <v>452</v>
      </c>
      <c r="HE224" s="25" t="s">
        <v>452</v>
      </c>
      <c r="HF224" s="25" t="s">
        <v>452</v>
      </c>
      <c r="HG224" s="25" t="s">
        <v>452</v>
      </c>
      <c r="HH224" s="25" t="s">
        <v>452</v>
      </c>
      <c r="HI224" s="25"/>
      <c r="HJ224" s="25"/>
      <c r="HK224" s="25"/>
      <c r="HL224" s="25"/>
      <c r="HM224" s="84"/>
      <c r="HN224" s="84"/>
      <c r="HO224" s="84"/>
      <c r="HP224" s="84"/>
      <c r="HQ224" s="84"/>
      <c r="HR224" s="84"/>
      <c r="HS224" s="84"/>
      <c r="HT224" s="84"/>
      <c r="HU224" s="13" t="s">
        <v>1044</v>
      </c>
      <c r="HV224" s="13"/>
      <c r="HW224" s="32"/>
      <c r="HX224" s="55"/>
      <c r="HY224" s="55"/>
      <c r="HZ224" s="55"/>
      <c r="IA224" s="55"/>
      <c r="IB224" s="55"/>
      <c r="IC224" s="55"/>
      <c r="ID224" s="55"/>
      <c r="IE224" s="55"/>
      <c r="IF224" s="107">
        <v>63579.18</v>
      </c>
      <c r="IG224" s="107">
        <v>112929.69</v>
      </c>
      <c r="IH224" s="250">
        <f t="shared" si="104"/>
        <v>7766.9400000000023</v>
      </c>
      <c r="II224" s="55"/>
      <c r="IJ224" s="55"/>
      <c r="IK224" s="55"/>
      <c r="IL224" s="55"/>
      <c r="IM224" s="55"/>
      <c r="IN224" s="55"/>
      <c r="IO224" s="55"/>
      <c r="IP224" s="55"/>
      <c r="IQ224" s="55"/>
      <c r="IR224" s="55"/>
      <c r="IS224" s="55"/>
      <c r="IT224" s="55"/>
      <c r="IU224" s="55"/>
      <c r="IV224" s="55"/>
      <c r="IW224" s="55"/>
      <c r="IX224" s="55"/>
      <c r="IY224" s="55"/>
      <c r="IZ224" s="55"/>
      <c r="JA224" s="55"/>
      <c r="JB224" s="55"/>
      <c r="JC224" s="55"/>
      <c r="JD224" s="55">
        <v>2016</v>
      </c>
    </row>
    <row r="225" spans="1:264" s="10" customFormat="1" ht="20.100000000000001" hidden="1" customHeight="1">
      <c r="A225" s="26" t="s">
        <v>70</v>
      </c>
      <c r="B225" s="26" t="s">
        <v>198</v>
      </c>
      <c r="C225" s="13" t="s">
        <v>349</v>
      </c>
      <c r="D225" s="13" t="s">
        <v>380</v>
      </c>
      <c r="E225" s="16" t="s">
        <v>360</v>
      </c>
      <c r="F225" s="13" t="s">
        <v>356</v>
      </c>
      <c r="G225" s="26" t="s">
        <v>354</v>
      </c>
      <c r="H225" s="13" t="s">
        <v>1517</v>
      </c>
      <c r="I225" s="15" t="s">
        <v>79</v>
      </c>
      <c r="J225" s="26">
        <v>7</v>
      </c>
      <c r="K225" s="49" t="s">
        <v>375</v>
      </c>
      <c r="L225" s="314" t="s">
        <v>200</v>
      </c>
      <c r="M225" s="15" t="s">
        <v>2017</v>
      </c>
      <c r="N225" s="20" t="s">
        <v>1957</v>
      </c>
      <c r="O225" s="13" t="s">
        <v>199</v>
      </c>
      <c r="P225" s="13" t="s">
        <v>4</v>
      </c>
      <c r="Q225" s="22" t="s">
        <v>1118</v>
      </c>
      <c r="R225" s="314" t="s">
        <v>200</v>
      </c>
      <c r="S225" s="13" t="s">
        <v>706</v>
      </c>
      <c r="T225" s="13" t="s">
        <v>1387</v>
      </c>
      <c r="U225" s="13" t="s">
        <v>479</v>
      </c>
      <c r="V225" s="13" t="s">
        <v>707</v>
      </c>
      <c r="W225" s="13" t="s">
        <v>570</v>
      </c>
      <c r="X225" s="13" t="s">
        <v>570</v>
      </c>
      <c r="Y225" s="13" t="s">
        <v>943</v>
      </c>
      <c r="Z225" s="13" t="s">
        <v>944</v>
      </c>
      <c r="AA225" s="49">
        <v>10396.402100000001</v>
      </c>
      <c r="AB225" s="29">
        <v>0</v>
      </c>
      <c r="AC225" s="29">
        <v>0</v>
      </c>
      <c r="AD225" s="29"/>
      <c r="AE225" s="29">
        <v>0</v>
      </c>
      <c r="AF225" s="29">
        <f t="shared" si="100"/>
        <v>0</v>
      </c>
      <c r="AG225" s="25">
        <v>0.12</v>
      </c>
      <c r="AH225" s="29">
        <f t="shared" si="101"/>
        <v>0</v>
      </c>
      <c r="AI225" s="29">
        <f t="shared" si="102"/>
        <v>0</v>
      </c>
      <c r="AJ225" s="29">
        <f t="shared" si="103"/>
        <v>0</v>
      </c>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f t="shared" si="106"/>
        <v>0</v>
      </c>
      <c r="BG225" s="29">
        <f t="shared" si="109"/>
        <v>0</v>
      </c>
      <c r="BH225" s="29"/>
      <c r="BI225" s="29" t="s">
        <v>570</v>
      </c>
      <c r="BJ225" s="29" t="s">
        <v>570</v>
      </c>
      <c r="BK225" s="29"/>
      <c r="BL225" s="29"/>
      <c r="BM225" s="29"/>
      <c r="BN225" s="13"/>
      <c r="BO225" s="13"/>
      <c r="BP225" s="13"/>
      <c r="BQ225" s="13"/>
      <c r="BR225" s="13"/>
      <c r="BS225" s="13"/>
      <c r="BT225" s="13"/>
      <c r="BU225" s="13"/>
      <c r="BV225" s="13"/>
      <c r="BW225" s="224" t="s">
        <v>570</v>
      </c>
      <c r="BX225" s="23">
        <v>42361</v>
      </c>
      <c r="BY225" s="13" t="s">
        <v>570</v>
      </c>
      <c r="BZ225" s="23">
        <v>42384</v>
      </c>
      <c r="CA225" s="23">
        <v>42397</v>
      </c>
      <c r="CB225" s="224" t="s">
        <v>570</v>
      </c>
      <c r="CC225" s="224" t="s">
        <v>570</v>
      </c>
      <c r="CD225" s="224" t="s">
        <v>570</v>
      </c>
      <c r="CE225" s="13"/>
      <c r="CF225" s="13"/>
      <c r="CG225" s="13"/>
      <c r="CH225" s="13"/>
      <c r="CI225" s="13"/>
      <c r="CJ225" s="13"/>
      <c r="CK225" s="13"/>
      <c r="CL225" s="13"/>
      <c r="CM225" s="13"/>
      <c r="CN225" s="13"/>
      <c r="CO225" s="13"/>
      <c r="CP225" s="13"/>
      <c r="CQ225" s="13"/>
      <c r="CR225" s="13"/>
      <c r="CS225" s="29" t="s">
        <v>570</v>
      </c>
      <c r="CT225" s="29" t="s">
        <v>570</v>
      </c>
      <c r="CU225" s="29" t="s">
        <v>570</v>
      </c>
      <c r="CV225" s="23">
        <v>42613</v>
      </c>
      <c r="CW225" s="30"/>
      <c r="CX225" s="30"/>
      <c r="CY225" s="23">
        <v>42684</v>
      </c>
      <c r="CZ225" s="37"/>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31">
        <f t="shared" si="110"/>
        <v>0</v>
      </c>
      <c r="DZ225" s="13"/>
      <c r="EA225" s="13"/>
      <c r="EB225" s="13"/>
      <c r="EC225" s="13"/>
      <c r="ED225" s="13"/>
      <c r="EE225" s="13"/>
      <c r="EF225" s="13"/>
      <c r="EG225" s="24" t="s">
        <v>503</v>
      </c>
      <c r="EH225" s="13" t="s">
        <v>503</v>
      </c>
      <c r="EI225" s="23">
        <f t="shared" si="111"/>
        <v>42614</v>
      </c>
      <c r="EJ225" s="13" t="s">
        <v>503</v>
      </c>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25"/>
      <c r="FI225" s="25"/>
      <c r="FJ225" s="25">
        <v>0.2</v>
      </c>
      <c r="FK225" s="25">
        <v>0.28000000000000003</v>
      </c>
      <c r="FL225" s="25">
        <v>0.28000000000000003</v>
      </c>
      <c r="FM225" s="25">
        <v>0.28000000000000003</v>
      </c>
      <c r="FN225" s="25">
        <v>0.28000000000000003</v>
      </c>
      <c r="FO225" s="25">
        <v>0.46</v>
      </c>
      <c r="FP225" s="25">
        <v>0.76</v>
      </c>
      <c r="FQ225" s="25">
        <v>0.79</v>
      </c>
      <c r="FR225" s="25">
        <v>0.79</v>
      </c>
      <c r="FS225" s="25">
        <v>1</v>
      </c>
      <c r="FT225" s="25">
        <v>1</v>
      </c>
      <c r="FU225" s="25">
        <v>1</v>
      </c>
      <c r="FV225" s="25">
        <v>1</v>
      </c>
      <c r="FW225" s="25">
        <v>1</v>
      </c>
      <c r="FX225" s="25">
        <v>1</v>
      </c>
      <c r="FY225" s="25">
        <v>1</v>
      </c>
      <c r="FZ225" s="25">
        <v>1</v>
      </c>
      <c r="GA225" s="25">
        <v>1</v>
      </c>
      <c r="GB225" s="25">
        <v>1</v>
      </c>
      <c r="GC225" s="25">
        <v>1</v>
      </c>
      <c r="GD225" s="25">
        <v>1</v>
      </c>
      <c r="GE225" s="25">
        <v>1</v>
      </c>
      <c r="GF225" s="25">
        <v>1</v>
      </c>
      <c r="GG225" s="25">
        <v>1</v>
      </c>
      <c r="GH225" s="25">
        <v>1</v>
      </c>
      <c r="GI225" s="25">
        <v>1</v>
      </c>
      <c r="GJ225" s="25">
        <v>1</v>
      </c>
      <c r="GK225" s="25">
        <v>1</v>
      </c>
      <c r="GL225" s="25">
        <v>1</v>
      </c>
      <c r="GM225" s="25">
        <v>1</v>
      </c>
      <c r="GN225" s="25">
        <v>1</v>
      </c>
      <c r="GO225" s="25">
        <v>1</v>
      </c>
      <c r="GP225" s="25">
        <v>1</v>
      </c>
      <c r="GQ225" s="25">
        <v>1</v>
      </c>
      <c r="GR225" s="25">
        <v>1</v>
      </c>
      <c r="GS225" s="25">
        <v>1</v>
      </c>
      <c r="GT225" s="25">
        <v>1</v>
      </c>
      <c r="GU225" s="25">
        <v>1</v>
      </c>
      <c r="GV225" s="25" t="s">
        <v>452</v>
      </c>
      <c r="GW225" s="25" t="s">
        <v>452</v>
      </c>
      <c r="GX225" s="25" t="s">
        <v>452</v>
      </c>
      <c r="GY225" s="25" t="s">
        <v>452</v>
      </c>
      <c r="GZ225" s="25" t="s">
        <v>452</v>
      </c>
      <c r="HA225" s="25" t="s">
        <v>452</v>
      </c>
      <c r="HB225" s="25" t="s">
        <v>452</v>
      </c>
      <c r="HC225" s="25" t="s">
        <v>452</v>
      </c>
      <c r="HD225" s="25" t="s">
        <v>452</v>
      </c>
      <c r="HE225" s="25" t="s">
        <v>452</v>
      </c>
      <c r="HF225" s="25" t="s">
        <v>452</v>
      </c>
      <c r="HG225" s="25" t="s">
        <v>452</v>
      </c>
      <c r="HH225" s="25" t="s">
        <v>452</v>
      </c>
      <c r="HI225" s="25"/>
      <c r="HJ225" s="25"/>
      <c r="HK225" s="25"/>
      <c r="HL225" s="25"/>
      <c r="HM225" s="84"/>
      <c r="HN225" s="84"/>
      <c r="HO225" s="84"/>
      <c r="HP225" s="84"/>
      <c r="HQ225" s="84"/>
      <c r="HR225" s="84"/>
      <c r="HS225" s="84"/>
      <c r="HT225" s="84"/>
      <c r="HU225" s="13" t="s">
        <v>1044</v>
      </c>
      <c r="HV225" s="13"/>
      <c r="HW225" s="32"/>
      <c r="HX225" s="55"/>
      <c r="HY225" s="55"/>
      <c r="HZ225" s="55"/>
      <c r="IA225" s="251"/>
      <c r="IB225" s="251"/>
      <c r="IC225" s="251"/>
      <c r="ID225" s="251"/>
      <c r="IE225" s="251"/>
      <c r="IF225" s="107">
        <v>0</v>
      </c>
      <c r="IG225" s="107"/>
      <c r="IH225" s="250">
        <f t="shared" si="104"/>
        <v>0</v>
      </c>
      <c r="II225" s="251"/>
      <c r="IJ225" s="251"/>
      <c r="IK225" s="251"/>
      <c r="IL225" s="251"/>
      <c r="IM225" s="251"/>
      <c r="IN225" s="251"/>
      <c r="IO225" s="251"/>
      <c r="IP225" s="251"/>
      <c r="IQ225" s="251"/>
      <c r="IR225" s="251"/>
      <c r="IS225" s="251"/>
      <c r="IT225" s="251"/>
      <c r="IU225" s="251"/>
      <c r="IV225" s="251"/>
      <c r="IW225" s="251"/>
      <c r="IX225" s="251"/>
      <c r="IY225" s="251"/>
      <c r="IZ225" s="251"/>
      <c r="JA225" s="251"/>
      <c r="JB225" s="251"/>
      <c r="JC225" s="251"/>
      <c r="JD225" s="251">
        <v>2016</v>
      </c>
    </row>
    <row r="226" spans="1:264" s="10" customFormat="1" ht="20.100000000000001" hidden="1" customHeight="1">
      <c r="A226" s="26" t="s">
        <v>70</v>
      </c>
      <c r="B226" s="26" t="s">
        <v>198</v>
      </c>
      <c r="C226" s="13" t="s">
        <v>349</v>
      </c>
      <c r="D226" s="13" t="s">
        <v>380</v>
      </c>
      <c r="E226" s="16" t="s">
        <v>360</v>
      </c>
      <c r="F226" s="13" t="s">
        <v>356</v>
      </c>
      <c r="G226" s="26" t="s">
        <v>354</v>
      </c>
      <c r="H226" s="13" t="s">
        <v>1517</v>
      </c>
      <c r="I226" s="15" t="s">
        <v>81</v>
      </c>
      <c r="J226" s="26">
        <v>8</v>
      </c>
      <c r="K226" s="49" t="s">
        <v>375</v>
      </c>
      <c r="L226" s="314" t="s">
        <v>200</v>
      </c>
      <c r="M226" s="14" t="s">
        <v>2018</v>
      </c>
      <c r="N226" s="20" t="s">
        <v>1958</v>
      </c>
      <c r="O226" s="13" t="s">
        <v>199</v>
      </c>
      <c r="P226" s="13" t="s">
        <v>4</v>
      </c>
      <c r="Q226" s="22" t="s">
        <v>1118</v>
      </c>
      <c r="R226" s="314" t="s">
        <v>200</v>
      </c>
      <c r="S226" s="13" t="s">
        <v>706</v>
      </c>
      <c r="T226" s="13" t="s">
        <v>1387</v>
      </c>
      <c r="U226" s="13" t="s">
        <v>479</v>
      </c>
      <c r="V226" s="13" t="s">
        <v>707</v>
      </c>
      <c r="W226" s="13" t="s">
        <v>570</v>
      </c>
      <c r="X226" s="13" t="s">
        <v>570</v>
      </c>
      <c r="Y226" s="13" t="s">
        <v>943</v>
      </c>
      <c r="Z226" s="13" t="s">
        <v>944</v>
      </c>
      <c r="AA226" s="49">
        <v>15774.067040480002</v>
      </c>
      <c r="AB226" s="29">
        <v>0</v>
      </c>
      <c r="AC226" s="29">
        <v>0</v>
      </c>
      <c r="AD226" s="29"/>
      <c r="AE226" s="29">
        <v>0</v>
      </c>
      <c r="AF226" s="29">
        <f t="shared" si="100"/>
        <v>0</v>
      </c>
      <c r="AG226" s="25">
        <v>0.12</v>
      </c>
      <c r="AH226" s="29">
        <f t="shared" si="101"/>
        <v>0</v>
      </c>
      <c r="AI226" s="29">
        <f t="shared" si="102"/>
        <v>0</v>
      </c>
      <c r="AJ226" s="29">
        <f t="shared" si="103"/>
        <v>0</v>
      </c>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f t="shared" si="106"/>
        <v>0</v>
      </c>
      <c r="BG226" s="29">
        <f t="shared" si="109"/>
        <v>0</v>
      </c>
      <c r="BH226" s="29"/>
      <c r="BI226" s="29" t="s">
        <v>570</v>
      </c>
      <c r="BJ226" s="29" t="s">
        <v>570</v>
      </c>
      <c r="BK226" s="29"/>
      <c r="BL226" s="29"/>
      <c r="BM226" s="29"/>
      <c r="BN226" s="13"/>
      <c r="BO226" s="13"/>
      <c r="BP226" s="13"/>
      <c r="BQ226" s="13"/>
      <c r="BR226" s="13"/>
      <c r="BS226" s="13"/>
      <c r="BT226" s="13"/>
      <c r="BU226" s="13"/>
      <c r="BV226" s="13"/>
      <c r="BW226" s="224" t="s">
        <v>570</v>
      </c>
      <c r="BX226" s="23">
        <v>42361</v>
      </c>
      <c r="BY226" s="13" t="s">
        <v>570</v>
      </c>
      <c r="BZ226" s="23">
        <v>42384</v>
      </c>
      <c r="CA226" s="23">
        <v>42397</v>
      </c>
      <c r="CB226" s="224" t="s">
        <v>570</v>
      </c>
      <c r="CC226" s="224" t="s">
        <v>570</v>
      </c>
      <c r="CD226" s="224" t="s">
        <v>570</v>
      </c>
      <c r="CE226" s="13"/>
      <c r="CF226" s="13"/>
      <c r="CG226" s="13"/>
      <c r="CH226" s="13"/>
      <c r="CI226" s="13"/>
      <c r="CJ226" s="13"/>
      <c r="CK226" s="13"/>
      <c r="CL226" s="13"/>
      <c r="CM226" s="13"/>
      <c r="CN226" s="13"/>
      <c r="CO226" s="13"/>
      <c r="CP226" s="13"/>
      <c r="CQ226" s="13"/>
      <c r="CR226" s="13"/>
      <c r="CS226" s="29" t="s">
        <v>570</v>
      </c>
      <c r="CT226" s="29" t="s">
        <v>570</v>
      </c>
      <c r="CU226" s="29" t="s">
        <v>570</v>
      </c>
      <c r="CV226" s="23">
        <v>42613</v>
      </c>
      <c r="CW226" s="30"/>
      <c r="CX226" s="30"/>
      <c r="CY226" s="23">
        <v>42684</v>
      </c>
      <c r="CZ226" s="37"/>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31">
        <f t="shared" si="110"/>
        <v>0</v>
      </c>
      <c r="DZ226" s="13"/>
      <c r="EA226" s="13"/>
      <c r="EB226" s="13"/>
      <c r="EC226" s="13"/>
      <c r="ED226" s="13"/>
      <c r="EE226" s="13"/>
      <c r="EF226" s="13"/>
      <c r="EG226" s="24" t="s">
        <v>503</v>
      </c>
      <c r="EH226" s="13" t="s">
        <v>503</v>
      </c>
      <c r="EI226" s="23">
        <f t="shared" si="111"/>
        <v>42614</v>
      </c>
      <c r="EJ226" s="13" t="s">
        <v>503</v>
      </c>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25"/>
      <c r="FI226" s="25"/>
      <c r="FJ226" s="25">
        <v>0.2</v>
      </c>
      <c r="FK226" s="25">
        <v>0.28000000000000003</v>
      </c>
      <c r="FL226" s="25">
        <v>0.28000000000000003</v>
      </c>
      <c r="FM226" s="25">
        <v>0.28000000000000003</v>
      </c>
      <c r="FN226" s="25">
        <v>0.28000000000000003</v>
      </c>
      <c r="FO226" s="25">
        <v>0.46</v>
      </c>
      <c r="FP226" s="25">
        <v>0.76</v>
      </c>
      <c r="FQ226" s="25">
        <v>0.79</v>
      </c>
      <c r="FR226" s="25">
        <v>0.79</v>
      </c>
      <c r="FS226" s="25">
        <v>0.85</v>
      </c>
      <c r="FT226" s="25">
        <v>0.94</v>
      </c>
      <c r="FU226" s="25">
        <v>0.94</v>
      </c>
      <c r="FV226" s="25">
        <v>0.95</v>
      </c>
      <c r="FW226" s="25">
        <v>0.95</v>
      </c>
      <c r="FX226" s="25">
        <v>0.95</v>
      </c>
      <c r="FY226" s="25">
        <v>0.95</v>
      </c>
      <c r="FZ226" s="25">
        <v>1</v>
      </c>
      <c r="GA226" s="25">
        <v>1</v>
      </c>
      <c r="GB226" s="25">
        <v>1</v>
      </c>
      <c r="GC226" s="25">
        <v>1</v>
      </c>
      <c r="GD226" s="25">
        <v>1</v>
      </c>
      <c r="GE226" s="25">
        <v>1</v>
      </c>
      <c r="GF226" s="25">
        <v>1</v>
      </c>
      <c r="GG226" s="25">
        <v>1</v>
      </c>
      <c r="GH226" s="25">
        <v>1</v>
      </c>
      <c r="GI226" s="25">
        <v>1</v>
      </c>
      <c r="GJ226" s="25">
        <v>1</v>
      </c>
      <c r="GK226" s="25">
        <v>1</v>
      </c>
      <c r="GL226" s="25">
        <v>1</v>
      </c>
      <c r="GM226" s="25">
        <v>1</v>
      </c>
      <c r="GN226" s="25">
        <v>1</v>
      </c>
      <c r="GO226" s="25">
        <v>1</v>
      </c>
      <c r="GP226" s="25">
        <v>1</v>
      </c>
      <c r="GQ226" s="25">
        <v>1</v>
      </c>
      <c r="GR226" s="25">
        <v>1</v>
      </c>
      <c r="GS226" s="25">
        <v>1</v>
      </c>
      <c r="GT226" s="25">
        <v>1</v>
      </c>
      <c r="GU226" s="25">
        <v>1</v>
      </c>
      <c r="GV226" s="25" t="s">
        <v>452</v>
      </c>
      <c r="GW226" s="25" t="s">
        <v>452</v>
      </c>
      <c r="GX226" s="25" t="s">
        <v>452</v>
      </c>
      <c r="GY226" s="25" t="s">
        <v>452</v>
      </c>
      <c r="GZ226" s="25" t="s">
        <v>452</v>
      </c>
      <c r="HA226" s="25" t="s">
        <v>452</v>
      </c>
      <c r="HB226" s="25" t="s">
        <v>452</v>
      </c>
      <c r="HC226" s="25" t="s">
        <v>452</v>
      </c>
      <c r="HD226" s="25" t="s">
        <v>452</v>
      </c>
      <c r="HE226" s="25" t="s">
        <v>452</v>
      </c>
      <c r="HF226" s="25" t="s">
        <v>452</v>
      </c>
      <c r="HG226" s="25" t="s">
        <v>452</v>
      </c>
      <c r="HH226" s="25" t="s">
        <v>452</v>
      </c>
      <c r="HI226" s="25"/>
      <c r="HJ226" s="25"/>
      <c r="HK226" s="25"/>
      <c r="HL226" s="25"/>
      <c r="HM226" s="84"/>
      <c r="HN226" s="84"/>
      <c r="HO226" s="84"/>
      <c r="HP226" s="84"/>
      <c r="HQ226" s="84"/>
      <c r="HR226" s="84"/>
      <c r="HS226" s="84"/>
      <c r="HT226" s="84"/>
      <c r="HU226" s="13" t="s">
        <v>1044</v>
      </c>
      <c r="HV226" s="13"/>
      <c r="HW226" s="32"/>
      <c r="HX226" s="55"/>
      <c r="HY226" s="55"/>
      <c r="HZ226" s="55"/>
      <c r="IA226" s="251"/>
      <c r="IB226" s="251"/>
      <c r="IC226" s="251"/>
      <c r="ID226" s="251"/>
      <c r="IE226" s="251"/>
      <c r="IF226" s="107">
        <v>0</v>
      </c>
      <c r="IG226" s="107"/>
      <c r="IH226" s="250">
        <f t="shared" si="104"/>
        <v>0</v>
      </c>
      <c r="II226" s="251"/>
      <c r="IJ226" s="251"/>
      <c r="IK226" s="251"/>
      <c r="IL226" s="251"/>
      <c r="IM226" s="251"/>
      <c r="IN226" s="251"/>
      <c r="IO226" s="251"/>
      <c r="IP226" s="251"/>
      <c r="IQ226" s="251"/>
      <c r="IR226" s="251"/>
      <c r="IS226" s="251"/>
      <c r="IT226" s="251"/>
      <c r="IU226" s="251"/>
      <c r="IV226" s="251"/>
      <c r="IW226" s="251"/>
      <c r="IX226" s="251"/>
      <c r="IY226" s="251"/>
      <c r="IZ226" s="251"/>
      <c r="JA226" s="251"/>
      <c r="JB226" s="251"/>
      <c r="JC226" s="251"/>
      <c r="JD226" s="251">
        <v>2017</v>
      </c>
    </row>
    <row r="227" spans="1:264" s="10" customFormat="1" ht="20.100000000000001" hidden="1" customHeight="1">
      <c r="A227" s="26" t="s">
        <v>70</v>
      </c>
      <c r="B227" s="26" t="s">
        <v>198</v>
      </c>
      <c r="C227" s="13" t="s">
        <v>349</v>
      </c>
      <c r="D227" s="13" t="s">
        <v>380</v>
      </c>
      <c r="E227" s="16" t="s">
        <v>360</v>
      </c>
      <c r="F227" s="13" t="s">
        <v>356</v>
      </c>
      <c r="G227" s="26" t="s">
        <v>354</v>
      </c>
      <c r="H227" s="13" t="s">
        <v>1517</v>
      </c>
      <c r="I227" s="15" t="s">
        <v>863</v>
      </c>
      <c r="J227" s="26">
        <v>9</v>
      </c>
      <c r="K227" s="49" t="s">
        <v>375</v>
      </c>
      <c r="L227" s="314" t="s">
        <v>200</v>
      </c>
      <c r="M227" s="14" t="s">
        <v>2019</v>
      </c>
      <c r="N227" s="20" t="s">
        <v>1959</v>
      </c>
      <c r="O227" s="13" t="s">
        <v>199</v>
      </c>
      <c r="P227" s="13" t="s">
        <v>4</v>
      </c>
      <c r="Q227" s="22" t="s">
        <v>1118</v>
      </c>
      <c r="R227" s="314" t="s">
        <v>200</v>
      </c>
      <c r="S227" s="13" t="s">
        <v>706</v>
      </c>
      <c r="T227" s="13" t="s">
        <v>1387</v>
      </c>
      <c r="U227" s="13" t="s">
        <v>479</v>
      </c>
      <c r="V227" s="13" t="s">
        <v>707</v>
      </c>
      <c r="W227" s="13" t="s">
        <v>570</v>
      </c>
      <c r="X227" s="13" t="s">
        <v>570</v>
      </c>
      <c r="Y227" s="13" t="s">
        <v>943</v>
      </c>
      <c r="Z227" s="13" t="s">
        <v>944</v>
      </c>
      <c r="AA227" s="49">
        <v>7700.0000000000009</v>
      </c>
      <c r="AB227" s="29">
        <v>0</v>
      </c>
      <c r="AC227" s="29">
        <v>0</v>
      </c>
      <c r="AD227" s="29"/>
      <c r="AE227" s="29">
        <v>0</v>
      </c>
      <c r="AF227" s="29">
        <f t="shared" si="100"/>
        <v>0</v>
      </c>
      <c r="AG227" s="25">
        <v>0.12</v>
      </c>
      <c r="AH227" s="29">
        <f t="shared" si="101"/>
        <v>0</v>
      </c>
      <c r="AI227" s="29">
        <f t="shared" si="102"/>
        <v>0</v>
      </c>
      <c r="AJ227" s="29">
        <f t="shared" si="103"/>
        <v>0</v>
      </c>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f t="shared" si="106"/>
        <v>0</v>
      </c>
      <c r="BG227" s="29">
        <f t="shared" si="109"/>
        <v>0</v>
      </c>
      <c r="BH227" s="29"/>
      <c r="BI227" s="29" t="s">
        <v>570</v>
      </c>
      <c r="BJ227" s="29" t="s">
        <v>570</v>
      </c>
      <c r="BK227" s="29"/>
      <c r="BL227" s="29"/>
      <c r="BM227" s="29"/>
      <c r="BN227" s="13"/>
      <c r="BO227" s="13"/>
      <c r="BP227" s="13"/>
      <c r="BQ227" s="13"/>
      <c r="BR227" s="13"/>
      <c r="BS227" s="13"/>
      <c r="BT227" s="13"/>
      <c r="BU227" s="13"/>
      <c r="BV227" s="13"/>
      <c r="BW227" s="224" t="s">
        <v>570</v>
      </c>
      <c r="BX227" s="23">
        <v>42361</v>
      </c>
      <c r="BY227" s="13" t="s">
        <v>570</v>
      </c>
      <c r="BZ227" s="23">
        <v>42384</v>
      </c>
      <c r="CA227" s="23">
        <v>42397</v>
      </c>
      <c r="CB227" s="224" t="s">
        <v>570</v>
      </c>
      <c r="CC227" s="224" t="s">
        <v>570</v>
      </c>
      <c r="CD227" s="224" t="s">
        <v>570</v>
      </c>
      <c r="CE227" s="13"/>
      <c r="CF227" s="13"/>
      <c r="CG227" s="13"/>
      <c r="CH227" s="13"/>
      <c r="CI227" s="13"/>
      <c r="CJ227" s="13"/>
      <c r="CK227" s="13"/>
      <c r="CL227" s="13"/>
      <c r="CM227" s="13"/>
      <c r="CN227" s="13"/>
      <c r="CO227" s="13"/>
      <c r="CP227" s="13"/>
      <c r="CQ227" s="13"/>
      <c r="CR227" s="13"/>
      <c r="CS227" s="29" t="s">
        <v>570</v>
      </c>
      <c r="CT227" s="29" t="s">
        <v>570</v>
      </c>
      <c r="CU227" s="29" t="s">
        <v>570</v>
      </c>
      <c r="CV227" s="23">
        <v>42613</v>
      </c>
      <c r="CW227" s="30"/>
      <c r="CX227" s="30"/>
      <c r="CY227" s="23">
        <v>42684</v>
      </c>
      <c r="CZ227" s="37"/>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31">
        <f t="shared" si="110"/>
        <v>0</v>
      </c>
      <c r="DZ227" s="13"/>
      <c r="EA227" s="13"/>
      <c r="EB227" s="13"/>
      <c r="EC227" s="13"/>
      <c r="ED227" s="13"/>
      <c r="EE227" s="13"/>
      <c r="EF227" s="13"/>
      <c r="EG227" s="24" t="s">
        <v>503</v>
      </c>
      <c r="EH227" s="13" t="s">
        <v>503</v>
      </c>
      <c r="EI227" s="23">
        <f t="shared" si="111"/>
        <v>42614</v>
      </c>
      <c r="EJ227" s="13" t="s">
        <v>503</v>
      </c>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25"/>
      <c r="FI227" s="25"/>
      <c r="FJ227" s="25">
        <v>0.2</v>
      </c>
      <c r="FK227" s="25">
        <v>0.28000000000000003</v>
      </c>
      <c r="FL227" s="25">
        <v>0.28000000000000003</v>
      </c>
      <c r="FM227" s="25">
        <v>0.28000000000000003</v>
      </c>
      <c r="FN227" s="25">
        <v>0.28000000000000003</v>
      </c>
      <c r="FO227" s="25">
        <v>0.46</v>
      </c>
      <c r="FP227" s="25">
        <v>0.76</v>
      </c>
      <c r="FQ227" s="25">
        <v>0.79</v>
      </c>
      <c r="FR227" s="25">
        <v>0.79</v>
      </c>
      <c r="FS227" s="25">
        <v>0.85</v>
      </c>
      <c r="FT227" s="25">
        <v>0.94</v>
      </c>
      <c r="FU227" s="25">
        <v>0.94</v>
      </c>
      <c r="FV227" s="25">
        <v>0.95</v>
      </c>
      <c r="FW227" s="25">
        <v>0.95</v>
      </c>
      <c r="FX227" s="25">
        <v>0.95</v>
      </c>
      <c r="FY227" s="25">
        <v>0.95</v>
      </c>
      <c r="FZ227" s="25">
        <v>1</v>
      </c>
      <c r="GA227" s="25">
        <v>1</v>
      </c>
      <c r="GB227" s="25">
        <v>1</v>
      </c>
      <c r="GC227" s="25">
        <v>1</v>
      </c>
      <c r="GD227" s="25">
        <v>1</v>
      </c>
      <c r="GE227" s="25">
        <v>1</v>
      </c>
      <c r="GF227" s="25">
        <v>1</v>
      </c>
      <c r="GG227" s="25">
        <v>1</v>
      </c>
      <c r="GH227" s="25">
        <v>1</v>
      </c>
      <c r="GI227" s="25">
        <v>1</v>
      </c>
      <c r="GJ227" s="25">
        <v>1</v>
      </c>
      <c r="GK227" s="25">
        <v>1</v>
      </c>
      <c r="GL227" s="25">
        <v>1</v>
      </c>
      <c r="GM227" s="25">
        <v>1</v>
      </c>
      <c r="GN227" s="25">
        <v>1</v>
      </c>
      <c r="GO227" s="25">
        <v>1</v>
      </c>
      <c r="GP227" s="25">
        <v>1</v>
      </c>
      <c r="GQ227" s="25">
        <v>1</v>
      </c>
      <c r="GR227" s="25">
        <v>1</v>
      </c>
      <c r="GS227" s="25">
        <v>1</v>
      </c>
      <c r="GT227" s="25">
        <v>1</v>
      </c>
      <c r="GU227" s="25">
        <v>1</v>
      </c>
      <c r="GV227" s="25" t="s">
        <v>452</v>
      </c>
      <c r="GW227" s="25" t="s">
        <v>452</v>
      </c>
      <c r="GX227" s="25" t="s">
        <v>452</v>
      </c>
      <c r="GY227" s="25" t="s">
        <v>452</v>
      </c>
      <c r="GZ227" s="25" t="s">
        <v>452</v>
      </c>
      <c r="HA227" s="25" t="s">
        <v>452</v>
      </c>
      <c r="HB227" s="25" t="s">
        <v>452</v>
      </c>
      <c r="HC227" s="25" t="s">
        <v>452</v>
      </c>
      <c r="HD227" s="25" t="s">
        <v>452</v>
      </c>
      <c r="HE227" s="25" t="s">
        <v>452</v>
      </c>
      <c r="HF227" s="25" t="s">
        <v>452</v>
      </c>
      <c r="HG227" s="25" t="s">
        <v>452</v>
      </c>
      <c r="HH227" s="25" t="s">
        <v>452</v>
      </c>
      <c r="HI227" s="25"/>
      <c r="HJ227" s="25"/>
      <c r="HK227" s="25"/>
      <c r="HL227" s="25"/>
      <c r="HM227" s="84"/>
      <c r="HN227" s="84"/>
      <c r="HO227" s="84"/>
      <c r="HP227" s="84"/>
      <c r="HQ227" s="84"/>
      <c r="HR227" s="84"/>
      <c r="HS227" s="84"/>
      <c r="HT227" s="84"/>
      <c r="HU227" s="13" t="s">
        <v>1044</v>
      </c>
      <c r="HV227" s="13"/>
      <c r="HW227" s="32"/>
      <c r="HX227" s="55"/>
      <c r="HY227" s="55"/>
      <c r="HZ227" s="55"/>
      <c r="IA227" s="251"/>
      <c r="IB227" s="251"/>
      <c r="IC227" s="251"/>
      <c r="ID227" s="251"/>
      <c r="IE227" s="251"/>
      <c r="IF227" s="107">
        <v>0</v>
      </c>
      <c r="IG227" s="107"/>
      <c r="IH227" s="250">
        <f t="shared" si="104"/>
        <v>0</v>
      </c>
      <c r="II227" s="251"/>
      <c r="IJ227" s="251"/>
      <c r="IK227" s="251"/>
      <c r="IL227" s="251"/>
      <c r="IM227" s="251"/>
      <c r="IN227" s="251"/>
      <c r="IO227" s="251"/>
      <c r="IP227" s="251"/>
      <c r="IQ227" s="251"/>
      <c r="IR227" s="251"/>
      <c r="IS227" s="251"/>
      <c r="IT227" s="251"/>
      <c r="IU227" s="251"/>
      <c r="IV227" s="251"/>
      <c r="IW227" s="251"/>
      <c r="IX227" s="251"/>
      <c r="IY227" s="251"/>
      <c r="IZ227" s="251"/>
      <c r="JA227" s="251"/>
      <c r="JB227" s="251"/>
      <c r="JC227" s="251"/>
      <c r="JD227" s="251">
        <v>2017</v>
      </c>
    </row>
    <row r="228" spans="1:264" s="10" customFormat="1" ht="20.100000000000001" hidden="1" customHeight="1">
      <c r="A228" s="26" t="s">
        <v>70</v>
      </c>
      <c r="B228" s="26" t="s">
        <v>198</v>
      </c>
      <c r="C228" s="13" t="s">
        <v>349</v>
      </c>
      <c r="D228" s="13" t="s">
        <v>380</v>
      </c>
      <c r="E228" s="16" t="s">
        <v>360</v>
      </c>
      <c r="F228" s="13" t="s">
        <v>356</v>
      </c>
      <c r="G228" s="26" t="s">
        <v>354</v>
      </c>
      <c r="H228" s="13" t="s">
        <v>1517</v>
      </c>
      <c r="I228" s="15" t="s">
        <v>862</v>
      </c>
      <c r="J228" s="26">
        <v>10</v>
      </c>
      <c r="K228" s="49" t="s">
        <v>375</v>
      </c>
      <c r="L228" s="314" t="s">
        <v>200</v>
      </c>
      <c r="M228" s="14" t="s">
        <v>2020</v>
      </c>
      <c r="N228" s="15" t="s">
        <v>1960</v>
      </c>
      <c r="O228" s="13" t="s">
        <v>199</v>
      </c>
      <c r="P228" s="13" t="s">
        <v>4</v>
      </c>
      <c r="Q228" s="22" t="s">
        <v>1118</v>
      </c>
      <c r="R228" s="314" t="s">
        <v>200</v>
      </c>
      <c r="S228" s="13" t="s">
        <v>706</v>
      </c>
      <c r="T228" s="13" t="s">
        <v>1387</v>
      </c>
      <c r="U228" s="13" t="s">
        <v>479</v>
      </c>
      <c r="V228" s="13" t="s">
        <v>707</v>
      </c>
      <c r="W228" s="13" t="s">
        <v>570</v>
      </c>
      <c r="X228" s="13" t="s">
        <v>570</v>
      </c>
      <c r="Y228" s="13" t="s">
        <v>943</v>
      </c>
      <c r="Z228" s="13" t="s">
        <v>944</v>
      </c>
      <c r="AA228" s="49">
        <v>21723.008300000001</v>
      </c>
      <c r="AB228" s="29">
        <v>0</v>
      </c>
      <c r="AC228" s="29">
        <v>0</v>
      </c>
      <c r="AD228" s="29"/>
      <c r="AE228" s="29">
        <v>0</v>
      </c>
      <c r="AF228" s="29">
        <f t="shared" si="100"/>
        <v>0</v>
      </c>
      <c r="AG228" s="25">
        <v>0.12</v>
      </c>
      <c r="AH228" s="29">
        <f t="shared" si="101"/>
        <v>0</v>
      </c>
      <c r="AI228" s="29">
        <f t="shared" si="102"/>
        <v>0</v>
      </c>
      <c r="AJ228" s="29">
        <f t="shared" si="103"/>
        <v>0</v>
      </c>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f t="shared" si="106"/>
        <v>0</v>
      </c>
      <c r="BG228" s="29">
        <f t="shared" si="109"/>
        <v>0</v>
      </c>
      <c r="BH228" s="29"/>
      <c r="BI228" s="29" t="s">
        <v>570</v>
      </c>
      <c r="BJ228" s="29" t="s">
        <v>570</v>
      </c>
      <c r="BK228" s="29"/>
      <c r="BL228" s="29"/>
      <c r="BM228" s="29"/>
      <c r="BN228" s="13"/>
      <c r="BO228" s="13"/>
      <c r="BP228" s="13"/>
      <c r="BQ228" s="13"/>
      <c r="BR228" s="13"/>
      <c r="BS228" s="13"/>
      <c r="BT228" s="13"/>
      <c r="BU228" s="13"/>
      <c r="BV228" s="13"/>
      <c r="BW228" s="224" t="s">
        <v>570</v>
      </c>
      <c r="BX228" s="23">
        <v>42361</v>
      </c>
      <c r="BY228" s="13" t="s">
        <v>570</v>
      </c>
      <c r="BZ228" s="23">
        <v>42384</v>
      </c>
      <c r="CA228" s="23">
        <v>42397</v>
      </c>
      <c r="CB228" s="224" t="s">
        <v>570</v>
      </c>
      <c r="CC228" s="224" t="s">
        <v>570</v>
      </c>
      <c r="CD228" s="224" t="s">
        <v>570</v>
      </c>
      <c r="CE228" s="13"/>
      <c r="CF228" s="13"/>
      <c r="CG228" s="13"/>
      <c r="CH228" s="13"/>
      <c r="CI228" s="13"/>
      <c r="CJ228" s="13"/>
      <c r="CK228" s="13"/>
      <c r="CL228" s="13"/>
      <c r="CM228" s="13"/>
      <c r="CN228" s="13"/>
      <c r="CO228" s="13"/>
      <c r="CP228" s="13"/>
      <c r="CQ228" s="13"/>
      <c r="CR228" s="13"/>
      <c r="CS228" s="29" t="s">
        <v>570</v>
      </c>
      <c r="CT228" s="29" t="s">
        <v>570</v>
      </c>
      <c r="CU228" s="29" t="s">
        <v>570</v>
      </c>
      <c r="CV228" s="23">
        <v>42613</v>
      </c>
      <c r="CW228" s="30"/>
      <c r="CX228" s="30"/>
      <c r="CY228" s="23">
        <v>42684</v>
      </c>
      <c r="CZ228" s="37"/>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31">
        <f t="shared" si="110"/>
        <v>0</v>
      </c>
      <c r="DZ228" s="13"/>
      <c r="EA228" s="13"/>
      <c r="EB228" s="13"/>
      <c r="EC228" s="13"/>
      <c r="ED228" s="13"/>
      <c r="EE228" s="13"/>
      <c r="EF228" s="13"/>
      <c r="EG228" s="24" t="s">
        <v>503</v>
      </c>
      <c r="EH228" s="13" t="s">
        <v>503</v>
      </c>
      <c r="EI228" s="23">
        <f t="shared" si="111"/>
        <v>42614</v>
      </c>
      <c r="EJ228" s="13" t="s">
        <v>503</v>
      </c>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25"/>
      <c r="FI228" s="25"/>
      <c r="FJ228" s="25">
        <v>0.2</v>
      </c>
      <c r="FK228" s="25">
        <v>0.28000000000000003</v>
      </c>
      <c r="FL228" s="25">
        <v>0.28000000000000003</v>
      </c>
      <c r="FM228" s="25">
        <v>0.28000000000000003</v>
      </c>
      <c r="FN228" s="25">
        <v>0.28000000000000003</v>
      </c>
      <c r="FO228" s="25">
        <v>0.46</v>
      </c>
      <c r="FP228" s="25">
        <v>0.76</v>
      </c>
      <c r="FQ228" s="25">
        <v>0.79</v>
      </c>
      <c r="FR228" s="25">
        <v>0.79</v>
      </c>
      <c r="FS228" s="25">
        <v>0.85</v>
      </c>
      <c r="FT228" s="25">
        <v>0.94</v>
      </c>
      <c r="FU228" s="25">
        <v>0.94</v>
      </c>
      <c r="FV228" s="25">
        <v>0.95</v>
      </c>
      <c r="FW228" s="25">
        <v>0.95</v>
      </c>
      <c r="FX228" s="25">
        <v>0.95</v>
      </c>
      <c r="FY228" s="25">
        <v>0.95</v>
      </c>
      <c r="FZ228" s="25">
        <v>1</v>
      </c>
      <c r="GA228" s="25">
        <v>1</v>
      </c>
      <c r="GB228" s="25">
        <v>1</v>
      </c>
      <c r="GC228" s="25">
        <v>1</v>
      </c>
      <c r="GD228" s="25">
        <v>1</v>
      </c>
      <c r="GE228" s="25">
        <v>1</v>
      </c>
      <c r="GF228" s="25">
        <v>1</v>
      </c>
      <c r="GG228" s="25">
        <v>1</v>
      </c>
      <c r="GH228" s="25">
        <v>1</v>
      </c>
      <c r="GI228" s="25">
        <v>1</v>
      </c>
      <c r="GJ228" s="25">
        <v>1</v>
      </c>
      <c r="GK228" s="25">
        <v>1</v>
      </c>
      <c r="GL228" s="25">
        <v>1</v>
      </c>
      <c r="GM228" s="25">
        <v>1</v>
      </c>
      <c r="GN228" s="25">
        <v>1</v>
      </c>
      <c r="GO228" s="25">
        <v>1</v>
      </c>
      <c r="GP228" s="25">
        <v>1</v>
      </c>
      <c r="GQ228" s="25">
        <v>1</v>
      </c>
      <c r="GR228" s="25">
        <v>1</v>
      </c>
      <c r="GS228" s="25">
        <v>1</v>
      </c>
      <c r="GT228" s="25">
        <v>1</v>
      </c>
      <c r="GU228" s="25">
        <v>1</v>
      </c>
      <c r="GV228" s="25" t="s">
        <v>452</v>
      </c>
      <c r="GW228" s="25" t="s">
        <v>452</v>
      </c>
      <c r="GX228" s="25" t="s">
        <v>452</v>
      </c>
      <c r="GY228" s="25" t="s">
        <v>452</v>
      </c>
      <c r="GZ228" s="25" t="s">
        <v>452</v>
      </c>
      <c r="HA228" s="25" t="s">
        <v>452</v>
      </c>
      <c r="HB228" s="25" t="s">
        <v>452</v>
      </c>
      <c r="HC228" s="25" t="s">
        <v>452</v>
      </c>
      <c r="HD228" s="25" t="s">
        <v>452</v>
      </c>
      <c r="HE228" s="25" t="s">
        <v>452</v>
      </c>
      <c r="HF228" s="25" t="s">
        <v>452</v>
      </c>
      <c r="HG228" s="25" t="s">
        <v>452</v>
      </c>
      <c r="HH228" s="25" t="s">
        <v>452</v>
      </c>
      <c r="HI228" s="25"/>
      <c r="HJ228" s="25"/>
      <c r="HK228" s="25"/>
      <c r="HL228" s="25"/>
      <c r="HM228" s="84"/>
      <c r="HN228" s="84"/>
      <c r="HO228" s="84"/>
      <c r="HP228" s="84"/>
      <c r="HQ228" s="84"/>
      <c r="HR228" s="84"/>
      <c r="HS228" s="84"/>
      <c r="HT228" s="84"/>
      <c r="HU228" s="13" t="s">
        <v>1044</v>
      </c>
      <c r="HV228" s="13"/>
      <c r="HW228" s="32"/>
      <c r="HX228" s="55"/>
      <c r="HY228" s="55"/>
      <c r="HZ228" s="55"/>
      <c r="IA228" s="251"/>
      <c r="IB228" s="251"/>
      <c r="IC228" s="251"/>
      <c r="ID228" s="251"/>
      <c r="IE228" s="251"/>
      <c r="IF228" s="107">
        <v>0</v>
      </c>
      <c r="IG228" s="107"/>
      <c r="IH228" s="250">
        <f t="shared" si="104"/>
        <v>0</v>
      </c>
      <c r="II228" s="251"/>
      <c r="IJ228" s="251"/>
      <c r="IK228" s="251"/>
      <c r="IL228" s="251"/>
      <c r="IM228" s="251"/>
      <c r="IN228" s="251"/>
      <c r="IO228" s="251"/>
      <c r="IP228" s="251"/>
      <c r="IQ228" s="251"/>
      <c r="IR228" s="251"/>
      <c r="IS228" s="251"/>
      <c r="IT228" s="251"/>
      <c r="IU228" s="251"/>
      <c r="IV228" s="251"/>
      <c r="IW228" s="251"/>
      <c r="IX228" s="251"/>
      <c r="IY228" s="251"/>
      <c r="IZ228" s="251"/>
      <c r="JA228" s="251"/>
      <c r="JB228" s="251"/>
      <c r="JC228" s="251"/>
      <c r="JD228" s="251">
        <v>2017</v>
      </c>
    </row>
    <row r="229" spans="1:264" s="5" customFormat="1" ht="20.100000000000001" hidden="1" customHeight="1">
      <c r="A229" s="26" t="s">
        <v>70</v>
      </c>
      <c r="B229" s="26" t="s">
        <v>198</v>
      </c>
      <c r="C229" s="13" t="s">
        <v>349</v>
      </c>
      <c r="D229" s="13" t="s">
        <v>380</v>
      </c>
      <c r="E229" s="16" t="s">
        <v>350</v>
      </c>
      <c r="F229" s="13" t="s">
        <v>356</v>
      </c>
      <c r="G229" s="26" t="s">
        <v>354</v>
      </c>
      <c r="H229" s="13" t="s">
        <v>1517</v>
      </c>
      <c r="I229" s="20" t="s">
        <v>74</v>
      </c>
      <c r="J229" s="26">
        <v>2</v>
      </c>
      <c r="K229" s="49" t="s">
        <v>375</v>
      </c>
      <c r="L229" s="314" t="s">
        <v>200</v>
      </c>
      <c r="M229" s="14" t="s">
        <v>2021</v>
      </c>
      <c r="N229" s="20" t="s">
        <v>1961</v>
      </c>
      <c r="O229" s="13" t="s">
        <v>199</v>
      </c>
      <c r="P229" s="13" t="s">
        <v>4</v>
      </c>
      <c r="Q229" s="22" t="s">
        <v>1118</v>
      </c>
      <c r="R229" s="314" t="s">
        <v>200</v>
      </c>
      <c r="S229" s="13" t="s">
        <v>706</v>
      </c>
      <c r="T229" s="13" t="s">
        <v>1387</v>
      </c>
      <c r="U229" s="13" t="s">
        <v>479</v>
      </c>
      <c r="V229" s="13" t="s">
        <v>707</v>
      </c>
      <c r="W229" s="13" t="s">
        <v>570</v>
      </c>
      <c r="X229" s="13" t="s">
        <v>570</v>
      </c>
      <c r="Y229" s="13" t="s">
        <v>943</v>
      </c>
      <c r="Z229" s="13" t="s">
        <v>944</v>
      </c>
      <c r="AA229" s="49">
        <v>35490.105000000003</v>
      </c>
      <c r="AB229" s="29"/>
      <c r="AC229" s="29"/>
      <c r="AD229" s="29"/>
      <c r="AE229" s="29">
        <v>0</v>
      </c>
      <c r="AF229" s="29">
        <f t="shared" si="100"/>
        <v>0</v>
      </c>
      <c r="AG229" s="25">
        <v>0.12</v>
      </c>
      <c r="AH229" s="29">
        <f t="shared" si="101"/>
        <v>0</v>
      </c>
      <c r="AI229" s="29">
        <f t="shared" si="102"/>
        <v>0</v>
      </c>
      <c r="AJ229" s="29">
        <f t="shared" si="103"/>
        <v>0</v>
      </c>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f t="shared" si="106"/>
        <v>0</v>
      </c>
      <c r="BG229" s="29">
        <f t="shared" si="109"/>
        <v>0</v>
      </c>
      <c r="BH229" s="29"/>
      <c r="BI229" s="29" t="s">
        <v>570</v>
      </c>
      <c r="BJ229" s="29" t="s">
        <v>570</v>
      </c>
      <c r="BK229" s="29"/>
      <c r="BL229" s="29"/>
      <c r="BM229" s="29"/>
      <c r="BN229" s="13"/>
      <c r="BO229" s="13"/>
      <c r="BP229" s="13"/>
      <c r="BQ229" s="13"/>
      <c r="BR229" s="13"/>
      <c r="BS229" s="13"/>
      <c r="BT229" s="13"/>
      <c r="BU229" s="13"/>
      <c r="BV229" s="13"/>
      <c r="BW229" s="224" t="s">
        <v>570</v>
      </c>
      <c r="BX229" s="23">
        <v>42361</v>
      </c>
      <c r="BY229" s="13" t="s">
        <v>570</v>
      </c>
      <c r="BZ229" s="23">
        <v>42384</v>
      </c>
      <c r="CA229" s="23">
        <v>42397</v>
      </c>
      <c r="CB229" s="224" t="s">
        <v>570</v>
      </c>
      <c r="CC229" s="224" t="s">
        <v>570</v>
      </c>
      <c r="CD229" s="224" t="s">
        <v>570</v>
      </c>
      <c r="CE229" s="13"/>
      <c r="CF229" s="13"/>
      <c r="CG229" s="13"/>
      <c r="CH229" s="13"/>
      <c r="CI229" s="13"/>
      <c r="CJ229" s="13"/>
      <c r="CK229" s="13"/>
      <c r="CL229" s="13"/>
      <c r="CM229" s="13"/>
      <c r="CN229" s="13"/>
      <c r="CO229" s="13"/>
      <c r="CP229" s="13"/>
      <c r="CQ229" s="13"/>
      <c r="CR229" s="13"/>
      <c r="CS229" s="29" t="s">
        <v>570</v>
      </c>
      <c r="CT229" s="29" t="s">
        <v>570</v>
      </c>
      <c r="CU229" s="29" t="s">
        <v>570</v>
      </c>
      <c r="CV229" s="23">
        <v>42613</v>
      </c>
      <c r="CW229" s="30"/>
      <c r="CX229" s="13"/>
      <c r="CY229" s="23">
        <v>42684</v>
      </c>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31">
        <f t="shared" si="110"/>
        <v>0</v>
      </c>
      <c r="DZ229" s="13"/>
      <c r="EA229" s="13"/>
      <c r="EB229" s="13"/>
      <c r="EC229" s="13"/>
      <c r="ED229" s="13"/>
      <c r="EE229" s="13"/>
      <c r="EF229" s="13"/>
      <c r="EG229" s="24" t="s">
        <v>503</v>
      </c>
      <c r="EH229" s="13" t="s">
        <v>503</v>
      </c>
      <c r="EI229" s="23">
        <f t="shared" si="111"/>
        <v>42614</v>
      </c>
      <c r="EJ229" s="13" t="s">
        <v>503</v>
      </c>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25"/>
      <c r="FI229" s="25"/>
      <c r="FJ229" s="25">
        <v>0.2</v>
      </c>
      <c r="FK229" s="25">
        <v>0.28000000000000003</v>
      </c>
      <c r="FL229" s="25">
        <v>0.28000000000000003</v>
      </c>
      <c r="FM229" s="25">
        <v>0.28000000000000003</v>
      </c>
      <c r="FN229" s="25">
        <v>0.28000000000000003</v>
      </c>
      <c r="FO229" s="25">
        <v>0.46</v>
      </c>
      <c r="FP229" s="25">
        <v>0.76</v>
      </c>
      <c r="FQ229" s="25">
        <v>0.79</v>
      </c>
      <c r="FR229" s="25">
        <v>0.79</v>
      </c>
      <c r="FS229" s="25">
        <v>0.85</v>
      </c>
      <c r="FT229" s="25">
        <v>0.94</v>
      </c>
      <c r="FU229" s="25">
        <v>0.94</v>
      </c>
      <c r="FV229" s="25">
        <v>0.95</v>
      </c>
      <c r="FW229" s="25">
        <v>0.95</v>
      </c>
      <c r="FX229" s="25">
        <v>0.95</v>
      </c>
      <c r="FY229" s="25">
        <v>1</v>
      </c>
      <c r="FZ229" s="25">
        <v>1</v>
      </c>
      <c r="GA229" s="25">
        <v>1</v>
      </c>
      <c r="GB229" s="25">
        <v>1</v>
      </c>
      <c r="GC229" s="25">
        <v>1</v>
      </c>
      <c r="GD229" s="25">
        <v>1</v>
      </c>
      <c r="GE229" s="25">
        <v>1</v>
      </c>
      <c r="GF229" s="25">
        <v>1</v>
      </c>
      <c r="GG229" s="25">
        <v>1</v>
      </c>
      <c r="GH229" s="25">
        <v>1</v>
      </c>
      <c r="GI229" s="25">
        <v>1</v>
      </c>
      <c r="GJ229" s="25">
        <v>1</v>
      </c>
      <c r="GK229" s="25">
        <v>1</v>
      </c>
      <c r="GL229" s="25">
        <v>1</v>
      </c>
      <c r="GM229" s="25">
        <v>1</v>
      </c>
      <c r="GN229" s="25">
        <v>1</v>
      </c>
      <c r="GO229" s="25">
        <v>1</v>
      </c>
      <c r="GP229" s="25">
        <v>1</v>
      </c>
      <c r="GQ229" s="25">
        <v>1</v>
      </c>
      <c r="GR229" s="25">
        <v>1</v>
      </c>
      <c r="GS229" s="25">
        <v>1</v>
      </c>
      <c r="GT229" s="25">
        <v>1</v>
      </c>
      <c r="GU229" s="25">
        <v>1</v>
      </c>
      <c r="GV229" s="25" t="s">
        <v>452</v>
      </c>
      <c r="GW229" s="25" t="s">
        <v>452</v>
      </c>
      <c r="GX229" s="25" t="s">
        <v>452</v>
      </c>
      <c r="GY229" s="25" t="s">
        <v>452</v>
      </c>
      <c r="GZ229" s="25" t="s">
        <v>452</v>
      </c>
      <c r="HA229" s="25" t="s">
        <v>452</v>
      </c>
      <c r="HB229" s="25" t="s">
        <v>452</v>
      </c>
      <c r="HC229" s="25" t="s">
        <v>452</v>
      </c>
      <c r="HD229" s="25" t="s">
        <v>452</v>
      </c>
      <c r="HE229" s="25" t="s">
        <v>452</v>
      </c>
      <c r="HF229" s="25" t="s">
        <v>452</v>
      </c>
      <c r="HG229" s="25" t="s">
        <v>452</v>
      </c>
      <c r="HH229" s="25" t="s">
        <v>452</v>
      </c>
      <c r="HI229" s="25"/>
      <c r="HJ229" s="25"/>
      <c r="HK229" s="25"/>
      <c r="HL229" s="25"/>
      <c r="HM229" s="84"/>
      <c r="HN229" s="84"/>
      <c r="HO229" s="84"/>
      <c r="HP229" s="84"/>
      <c r="HQ229" s="84"/>
      <c r="HR229" s="84"/>
      <c r="HS229" s="84"/>
      <c r="HT229" s="84"/>
      <c r="HU229" s="13" t="s">
        <v>1044</v>
      </c>
      <c r="HV229" s="13"/>
      <c r="HW229" s="32"/>
      <c r="HX229" s="55"/>
      <c r="HY229" s="55"/>
      <c r="HZ229" s="55"/>
      <c r="IA229" s="55"/>
      <c r="IB229" s="55"/>
      <c r="IC229" s="55"/>
      <c r="ID229" s="55"/>
      <c r="IE229" s="55"/>
      <c r="IF229" s="107">
        <v>67495.95</v>
      </c>
      <c r="IG229" s="107"/>
      <c r="IH229" s="250">
        <f t="shared" si="104"/>
        <v>0</v>
      </c>
      <c r="II229" s="55"/>
      <c r="IJ229" s="55"/>
      <c r="IK229" s="55"/>
      <c r="IL229" s="55"/>
      <c r="IM229" s="55"/>
      <c r="IN229" s="55"/>
      <c r="IO229" s="55"/>
      <c r="IP229" s="55"/>
      <c r="IQ229" s="55"/>
      <c r="IR229" s="55"/>
      <c r="IS229" s="55"/>
      <c r="IT229" s="55"/>
      <c r="IU229" s="55"/>
      <c r="IV229" s="55"/>
      <c r="IW229" s="55"/>
      <c r="IX229" s="55"/>
      <c r="IY229" s="55"/>
      <c r="IZ229" s="55"/>
      <c r="JA229" s="55"/>
      <c r="JB229" s="55"/>
      <c r="JC229" s="55"/>
      <c r="JD229" s="55">
        <v>2017</v>
      </c>
    </row>
    <row r="230" spans="1:264" s="10" customFormat="1" ht="19.5" hidden="1" customHeight="1">
      <c r="A230" s="26" t="s">
        <v>70</v>
      </c>
      <c r="B230" s="26" t="s">
        <v>198</v>
      </c>
      <c r="C230" s="13" t="s">
        <v>349</v>
      </c>
      <c r="D230" s="13" t="s">
        <v>380</v>
      </c>
      <c r="E230" s="16" t="s">
        <v>350</v>
      </c>
      <c r="F230" s="13" t="s">
        <v>356</v>
      </c>
      <c r="G230" s="26" t="s">
        <v>354</v>
      </c>
      <c r="H230" s="13" t="s">
        <v>1517</v>
      </c>
      <c r="I230" s="15" t="s">
        <v>859</v>
      </c>
      <c r="J230" s="26">
        <v>3</v>
      </c>
      <c r="K230" s="49" t="s">
        <v>375</v>
      </c>
      <c r="L230" s="314" t="s">
        <v>200</v>
      </c>
      <c r="M230" s="14" t="s">
        <v>2022</v>
      </c>
      <c r="N230" s="20" t="s">
        <v>1962</v>
      </c>
      <c r="O230" s="13" t="s">
        <v>199</v>
      </c>
      <c r="P230" s="13" t="s">
        <v>4</v>
      </c>
      <c r="Q230" s="22" t="s">
        <v>1118</v>
      </c>
      <c r="R230" s="314" t="s">
        <v>200</v>
      </c>
      <c r="S230" s="13" t="s">
        <v>706</v>
      </c>
      <c r="T230" s="13" t="s">
        <v>1387</v>
      </c>
      <c r="U230" s="13" t="s">
        <v>479</v>
      </c>
      <c r="V230" s="13" t="s">
        <v>707</v>
      </c>
      <c r="W230" s="13" t="s">
        <v>570</v>
      </c>
      <c r="X230" s="13" t="s">
        <v>570</v>
      </c>
      <c r="Y230" s="13" t="s">
        <v>943</v>
      </c>
      <c r="Z230" s="13" t="s">
        <v>944</v>
      </c>
      <c r="AA230" s="49">
        <v>26078.306230143047</v>
      </c>
      <c r="AB230" s="29">
        <v>0</v>
      </c>
      <c r="AC230" s="29">
        <v>0</v>
      </c>
      <c r="AD230" s="29"/>
      <c r="AE230" s="29">
        <v>0</v>
      </c>
      <c r="AF230" s="29">
        <f t="shared" si="100"/>
        <v>0</v>
      </c>
      <c r="AG230" s="25">
        <v>0.12</v>
      </c>
      <c r="AH230" s="29">
        <f t="shared" si="101"/>
        <v>0</v>
      </c>
      <c r="AI230" s="29">
        <f t="shared" si="102"/>
        <v>0</v>
      </c>
      <c r="AJ230" s="29">
        <f t="shared" si="103"/>
        <v>0</v>
      </c>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f t="shared" si="106"/>
        <v>0</v>
      </c>
      <c r="BG230" s="29">
        <f t="shared" si="109"/>
        <v>0</v>
      </c>
      <c r="BH230" s="29"/>
      <c r="BI230" s="29" t="s">
        <v>570</v>
      </c>
      <c r="BJ230" s="29" t="s">
        <v>570</v>
      </c>
      <c r="BK230" s="29"/>
      <c r="BL230" s="29"/>
      <c r="BM230" s="29"/>
      <c r="BN230" s="13"/>
      <c r="BO230" s="13"/>
      <c r="BP230" s="13"/>
      <c r="BQ230" s="13"/>
      <c r="BR230" s="13"/>
      <c r="BS230" s="13"/>
      <c r="BT230" s="13"/>
      <c r="BU230" s="13"/>
      <c r="BV230" s="13"/>
      <c r="BW230" s="224" t="s">
        <v>570</v>
      </c>
      <c r="BX230" s="23">
        <v>42361</v>
      </c>
      <c r="BY230" s="13" t="s">
        <v>570</v>
      </c>
      <c r="BZ230" s="23">
        <v>42384</v>
      </c>
      <c r="CA230" s="23">
        <v>42397</v>
      </c>
      <c r="CB230" s="224" t="s">
        <v>570</v>
      </c>
      <c r="CC230" s="224" t="s">
        <v>570</v>
      </c>
      <c r="CD230" s="224" t="s">
        <v>570</v>
      </c>
      <c r="CE230" s="13"/>
      <c r="CF230" s="13"/>
      <c r="CG230" s="13"/>
      <c r="CH230" s="13"/>
      <c r="CI230" s="13"/>
      <c r="CJ230" s="13"/>
      <c r="CK230" s="13"/>
      <c r="CL230" s="13"/>
      <c r="CM230" s="13"/>
      <c r="CN230" s="13"/>
      <c r="CO230" s="13"/>
      <c r="CP230" s="13"/>
      <c r="CQ230" s="13"/>
      <c r="CR230" s="13"/>
      <c r="CS230" s="29" t="s">
        <v>570</v>
      </c>
      <c r="CT230" s="29" t="s">
        <v>570</v>
      </c>
      <c r="CU230" s="29" t="s">
        <v>570</v>
      </c>
      <c r="CV230" s="23">
        <v>42613</v>
      </c>
      <c r="CW230" s="30"/>
      <c r="CX230" s="13"/>
      <c r="CY230" s="23">
        <v>42684</v>
      </c>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31">
        <f t="shared" si="110"/>
        <v>0</v>
      </c>
      <c r="DZ230" s="13"/>
      <c r="EA230" s="13"/>
      <c r="EB230" s="13"/>
      <c r="EC230" s="13"/>
      <c r="ED230" s="13"/>
      <c r="EE230" s="13"/>
      <c r="EF230" s="13"/>
      <c r="EG230" s="24" t="s">
        <v>503</v>
      </c>
      <c r="EH230" s="13" t="s">
        <v>503</v>
      </c>
      <c r="EI230" s="23">
        <f t="shared" si="111"/>
        <v>42614</v>
      </c>
      <c r="EJ230" s="13" t="s">
        <v>503</v>
      </c>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25"/>
      <c r="FI230" s="25"/>
      <c r="FJ230" s="25">
        <v>0.2</v>
      </c>
      <c r="FK230" s="25">
        <v>0.28000000000000003</v>
      </c>
      <c r="FL230" s="25">
        <v>0.28000000000000003</v>
      </c>
      <c r="FM230" s="25">
        <v>0.28000000000000003</v>
      </c>
      <c r="FN230" s="25">
        <v>0.28000000000000003</v>
      </c>
      <c r="FO230" s="25">
        <v>0.46</v>
      </c>
      <c r="FP230" s="25">
        <v>0.76</v>
      </c>
      <c r="FQ230" s="25">
        <v>0.79</v>
      </c>
      <c r="FR230" s="25">
        <v>0.79</v>
      </c>
      <c r="FS230" s="25">
        <v>0.85</v>
      </c>
      <c r="FT230" s="25">
        <v>0.94</v>
      </c>
      <c r="FU230" s="25">
        <v>0.94</v>
      </c>
      <c r="FV230" s="25">
        <v>0.95</v>
      </c>
      <c r="FW230" s="25">
        <v>0.95</v>
      </c>
      <c r="FX230" s="25">
        <v>0.95</v>
      </c>
      <c r="FY230" s="25">
        <v>1</v>
      </c>
      <c r="FZ230" s="25">
        <v>1</v>
      </c>
      <c r="GA230" s="25">
        <v>1</v>
      </c>
      <c r="GB230" s="25">
        <v>1</v>
      </c>
      <c r="GC230" s="25">
        <v>1</v>
      </c>
      <c r="GD230" s="25">
        <v>1</v>
      </c>
      <c r="GE230" s="25">
        <v>1</v>
      </c>
      <c r="GF230" s="25">
        <v>1</v>
      </c>
      <c r="GG230" s="25">
        <v>1</v>
      </c>
      <c r="GH230" s="25">
        <v>1</v>
      </c>
      <c r="GI230" s="25">
        <v>1</v>
      </c>
      <c r="GJ230" s="25">
        <v>1</v>
      </c>
      <c r="GK230" s="25">
        <v>1</v>
      </c>
      <c r="GL230" s="25">
        <v>1</v>
      </c>
      <c r="GM230" s="25">
        <v>1</v>
      </c>
      <c r="GN230" s="25">
        <v>1</v>
      </c>
      <c r="GO230" s="25">
        <v>1</v>
      </c>
      <c r="GP230" s="25">
        <v>1</v>
      </c>
      <c r="GQ230" s="25">
        <v>1</v>
      </c>
      <c r="GR230" s="25">
        <v>1</v>
      </c>
      <c r="GS230" s="25">
        <v>1</v>
      </c>
      <c r="GT230" s="25">
        <v>1</v>
      </c>
      <c r="GU230" s="25">
        <v>1</v>
      </c>
      <c r="GV230" s="25" t="s">
        <v>452</v>
      </c>
      <c r="GW230" s="25" t="s">
        <v>452</v>
      </c>
      <c r="GX230" s="25" t="s">
        <v>452</v>
      </c>
      <c r="GY230" s="25" t="s">
        <v>452</v>
      </c>
      <c r="GZ230" s="25" t="s">
        <v>452</v>
      </c>
      <c r="HA230" s="25" t="s">
        <v>452</v>
      </c>
      <c r="HB230" s="25" t="s">
        <v>452</v>
      </c>
      <c r="HC230" s="25" t="s">
        <v>452</v>
      </c>
      <c r="HD230" s="25" t="s">
        <v>452</v>
      </c>
      <c r="HE230" s="25" t="s">
        <v>452</v>
      </c>
      <c r="HF230" s="25" t="s">
        <v>452</v>
      </c>
      <c r="HG230" s="25" t="s">
        <v>452</v>
      </c>
      <c r="HH230" s="25" t="s">
        <v>452</v>
      </c>
      <c r="HI230" s="25"/>
      <c r="HJ230" s="25"/>
      <c r="HK230" s="25"/>
      <c r="HL230" s="25"/>
      <c r="HM230" s="84"/>
      <c r="HN230" s="84"/>
      <c r="HO230" s="84"/>
      <c r="HP230" s="84"/>
      <c r="HQ230" s="84"/>
      <c r="HR230" s="84"/>
      <c r="HS230" s="84"/>
      <c r="HT230" s="84"/>
      <c r="HU230" s="13" t="s">
        <v>1044</v>
      </c>
      <c r="HV230" s="13"/>
      <c r="HW230" s="32"/>
      <c r="HX230" s="55"/>
      <c r="HY230" s="55"/>
      <c r="HZ230" s="55"/>
      <c r="IA230" s="251"/>
      <c r="IB230" s="251"/>
      <c r="IC230" s="251"/>
      <c r="ID230" s="251"/>
      <c r="IE230" s="251"/>
      <c r="IF230" s="107">
        <v>0</v>
      </c>
      <c r="IG230" s="107"/>
      <c r="IH230" s="250">
        <f t="shared" si="104"/>
        <v>0</v>
      </c>
      <c r="II230" s="251"/>
      <c r="IJ230" s="251"/>
      <c r="IK230" s="251"/>
      <c r="IL230" s="251"/>
      <c r="IM230" s="251"/>
      <c r="IN230" s="251"/>
      <c r="IO230" s="251"/>
      <c r="IP230" s="251"/>
      <c r="IQ230" s="251"/>
      <c r="IR230" s="251"/>
      <c r="IS230" s="251"/>
      <c r="IT230" s="251"/>
      <c r="IU230" s="251"/>
      <c r="IV230" s="251"/>
      <c r="IW230" s="251"/>
      <c r="IX230" s="251"/>
      <c r="IY230" s="251"/>
      <c r="IZ230" s="251"/>
      <c r="JA230" s="251"/>
      <c r="JB230" s="251"/>
      <c r="JC230" s="251"/>
      <c r="JD230" s="251">
        <v>2017</v>
      </c>
    </row>
    <row r="231" spans="1:264" s="10" customFormat="1" ht="20.100000000000001" hidden="1" customHeight="1">
      <c r="A231" s="26" t="s">
        <v>70</v>
      </c>
      <c r="B231" s="26" t="s">
        <v>198</v>
      </c>
      <c r="C231" s="13" t="s">
        <v>349</v>
      </c>
      <c r="D231" s="13" t="s">
        <v>380</v>
      </c>
      <c r="E231" s="16" t="s">
        <v>350</v>
      </c>
      <c r="F231" s="13" t="s">
        <v>356</v>
      </c>
      <c r="G231" s="26" t="s">
        <v>354</v>
      </c>
      <c r="H231" s="13" t="s">
        <v>1517</v>
      </c>
      <c r="I231" s="15" t="s">
        <v>860</v>
      </c>
      <c r="J231" s="26">
        <v>4</v>
      </c>
      <c r="K231" s="49" t="s">
        <v>375</v>
      </c>
      <c r="L231" s="314" t="s">
        <v>200</v>
      </c>
      <c r="M231" s="14" t="s">
        <v>2023</v>
      </c>
      <c r="N231" s="20" t="s">
        <v>1963</v>
      </c>
      <c r="O231" s="13" t="s">
        <v>199</v>
      </c>
      <c r="P231" s="13" t="s">
        <v>4</v>
      </c>
      <c r="Q231" s="22" t="s">
        <v>1118</v>
      </c>
      <c r="R231" s="314" t="s">
        <v>200</v>
      </c>
      <c r="S231" s="13" t="s">
        <v>706</v>
      </c>
      <c r="T231" s="13" t="s">
        <v>1387</v>
      </c>
      <c r="U231" s="13" t="s">
        <v>479</v>
      </c>
      <c r="V231" s="13" t="s">
        <v>707</v>
      </c>
      <c r="W231" s="13" t="s">
        <v>570</v>
      </c>
      <c r="X231" s="13" t="s">
        <v>570</v>
      </c>
      <c r="Y231" s="13" t="s">
        <v>943</v>
      </c>
      <c r="Z231" s="13" t="s">
        <v>944</v>
      </c>
      <c r="AA231" s="49">
        <v>3830.0262000000007</v>
      </c>
      <c r="AB231" s="29">
        <v>0</v>
      </c>
      <c r="AC231" s="29">
        <v>0</v>
      </c>
      <c r="AD231" s="29"/>
      <c r="AE231" s="29">
        <v>0</v>
      </c>
      <c r="AF231" s="29">
        <f t="shared" si="100"/>
        <v>0</v>
      </c>
      <c r="AG231" s="25">
        <v>0.12</v>
      </c>
      <c r="AH231" s="29">
        <f t="shared" si="101"/>
        <v>0</v>
      </c>
      <c r="AI231" s="29">
        <f t="shared" si="102"/>
        <v>0</v>
      </c>
      <c r="AJ231" s="29">
        <f t="shared" si="103"/>
        <v>0</v>
      </c>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f t="shared" si="106"/>
        <v>0</v>
      </c>
      <c r="BG231" s="29">
        <f t="shared" si="109"/>
        <v>0</v>
      </c>
      <c r="BH231" s="29"/>
      <c r="BI231" s="29" t="s">
        <v>570</v>
      </c>
      <c r="BJ231" s="29" t="s">
        <v>570</v>
      </c>
      <c r="BK231" s="29"/>
      <c r="BL231" s="29"/>
      <c r="BM231" s="29"/>
      <c r="BN231" s="13"/>
      <c r="BO231" s="13"/>
      <c r="BP231" s="13"/>
      <c r="BQ231" s="13"/>
      <c r="BR231" s="13"/>
      <c r="BS231" s="13"/>
      <c r="BT231" s="13"/>
      <c r="BU231" s="13"/>
      <c r="BV231" s="13"/>
      <c r="BW231" s="224" t="s">
        <v>570</v>
      </c>
      <c r="BX231" s="23">
        <v>42361</v>
      </c>
      <c r="BY231" s="13" t="s">
        <v>570</v>
      </c>
      <c r="BZ231" s="23">
        <v>42384</v>
      </c>
      <c r="CA231" s="23">
        <v>42397</v>
      </c>
      <c r="CB231" s="224" t="s">
        <v>570</v>
      </c>
      <c r="CC231" s="224" t="s">
        <v>570</v>
      </c>
      <c r="CD231" s="224" t="s">
        <v>570</v>
      </c>
      <c r="CE231" s="13"/>
      <c r="CF231" s="13"/>
      <c r="CG231" s="13"/>
      <c r="CH231" s="13"/>
      <c r="CI231" s="13"/>
      <c r="CJ231" s="13"/>
      <c r="CK231" s="13"/>
      <c r="CL231" s="13"/>
      <c r="CM231" s="13"/>
      <c r="CN231" s="13"/>
      <c r="CO231" s="13"/>
      <c r="CP231" s="13"/>
      <c r="CQ231" s="13"/>
      <c r="CR231" s="13"/>
      <c r="CS231" s="29" t="s">
        <v>570</v>
      </c>
      <c r="CT231" s="29" t="s">
        <v>570</v>
      </c>
      <c r="CU231" s="29" t="s">
        <v>570</v>
      </c>
      <c r="CV231" s="23">
        <v>42613</v>
      </c>
      <c r="CW231" s="30"/>
      <c r="CX231" s="13"/>
      <c r="CY231" s="23">
        <v>42684</v>
      </c>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31">
        <f t="shared" si="110"/>
        <v>0</v>
      </c>
      <c r="DZ231" s="13"/>
      <c r="EA231" s="13"/>
      <c r="EB231" s="13"/>
      <c r="EC231" s="13"/>
      <c r="ED231" s="13"/>
      <c r="EE231" s="13"/>
      <c r="EF231" s="13"/>
      <c r="EG231" s="24" t="s">
        <v>503</v>
      </c>
      <c r="EH231" s="13" t="s">
        <v>503</v>
      </c>
      <c r="EI231" s="23">
        <f t="shared" si="111"/>
        <v>42614</v>
      </c>
      <c r="EJ231" s="13" t="s">
        <v>503</v>
      </c>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25"/>
      <c r="FI231" s="25"/>
      <c r="FJ231" s="25">
        <v>0.2</v>
      </c>
      <c r="FK231" s="25">
        <v>0.28000000000000003</v>
      </c>
      <c r="FL231" s="25">
        <v>0.28000000000000003</v>
      </c>
      <c r="FM231" s="25">
        <v>0.28000000000000003</v>
      </c>
      <c r="FN231" s="25">
        <v>0.28000000000000003</v>
      </c>
      <c r="FO231" s="25">
        <v>0.46</v>
      </c>
      <c r="FP231" s="25">
        <v>0.76</v>
      </c>
      <c r="FQ231" s="25">
        <v>0.79</v>
      </c>
      <c r="FR231" s="25">
        <v>0.79</v>
      </c>
      <c r="FS231" s="25">
        <v>0.85</v>
      </c>
      <c r="FT231" s="25">
        <v>0.94</v>
      </c>
      <c r="FU231" s="25">
        <v>0.94</v>
      </c>
      <c r="FV231" s="25">
        <v>0.95</v>
      </c>
      <c r="FW231" s="25">
        <v>0.95</v>
      </c>
      <c r="FX231" s="25">
        <v>0.95</v>
      </c>
      <c r="FY231" s="25">
        <v>1</v>
      </c>
      <c r="FZ231" s="25">
        <v>1</v>
      </c>
      <c r="GA231" s="25">
        <v>1</v>
      </c>
      <c r="GB231" s="25">
        <v>1</v>
      </c>
      <c r="GC231" s="25">
        <v>1</v>
      </c>
      <c r="GD231" s="25">
        <v>1</v>
      </c>
      <c r="GE231" s="25">
        <v>1</v>
      </c>
      <c r="GF231" s="25">
        <v>1</v>
      </c>
      <c r="GG231" s="25">
        <v>1</v>
      </c>
      <c r="GH231" s="25">
        <v>1</v>
      </c>
      <c r="GI231" s="25">
        <v>1</v>
      </c>
      <c r="GJ231" s="25">
        <v>1</v>
      </c>
      <c r="GK231" s="25">
        <v>1</v>
      </c>
      <c r="GL231" s="25">
        <v>1</v>
      </c>
      <c r="GM231" s="25">
        <v>1</v>
      </c>
      <c r="GN231" s="25">
        <v>1</v>
      </c>
      <c r="GO231" s="25">
        <v>1</v>
      </c>
      <c r="GP231" s="25">
        <v>1</v>
      </c>
      <c r="GQ231" s="25">
        <v>1</v>
      </c>
      <c r="GR231" s="25">
        <v>1</v>
      </c>
      <c r="GS231" s="25">
        <v>1</v>
      </c>
      <c r="GT231" s="25">
        <v>1</v>
      </c>
      <c r="GU231" s="25">
        <v>1</v>
      </c>
      <c r="GV231" s="25" t="s">
        <v>452</v>
      </c>
      <c r="GW231" s="25" t="s">
        <v>452</v>
      </c>
      <c r="GX231" s="25" t="s">
        <v>452</v>
      </c>
      <c r="GY231" s="25" t="s">
        <v>452</v>
      </c>
      <c r="GZ231" s="25" t="s">
        <v>452</v>
      </c>
      <c r="HA231" s="25" t="s">
        <v>452</v>
      </c>
      <c r="HB231" s="25" t="s">
        <v>452</v>
      </c>
      <c r="HC231" s="25" t="s">
        <v>452</v>
      </c>
      <c r="HD231" s="25" t="s">
        <v>452</v>
      </c>
      <c r="HE231" s="25" t="s">
        <v>452</v>
      </c>
      <c r="HF231" s="25" t="s">
        <v>452</v>
      </c>
      <c r="HG231" s="25" t="s">
        <v>452</v>
      </c>
      <c r="HH231" s="25" t="s">
        <v>452</v>
      </c>
      <c r="HI231" s="25"/>
      <c r="HJ231" s="25"/>
      <c r="HK231" s="25"/>
      <c r="HL231" s="25"/>
      <c r="HM231" s="84"/>
      <c r="HN231" s="84"/>
      <c r="HO231" s="84"/>
      <c r="HP231" s="84"/>
      <c r="HQ231" s="84"/>
      <c r="HR231" s="84"/>
      <c r="HS231" s="84"/>
      <c r="HT231" s="84"/>
      <c r="HU231" s="13" t="s">
        <v>1044</v>
      </c>
      <c r="HV231" s="13"/>
      <c r="HW231" s="32"/>
      <c r="HX231" s="55"/>
      <c r="HY231" s="55"/>
      <c r="HZ231" s="55"/>
      <c r="IA231" s="251"/>
      <c r="IB231" s="251"/>
      <c r="IC231" s="251"/>
      <c r="ID231" s="251"/>
      <c r="IE231" s="251"/>
      <c r="IF231" s="107">
        <v>0</v>
      </c>
      <c r="IG231" s="107"/>
      <c r="IH231" s="250">
        <f t="shared" si="104"/>
        <v>0</v>
      </c>
      <c r="II231" s="251"/>
      <c r="IJ231" s="251"/>
      <c r="IK231" s="251"/>
      <c r="IL231" s="251"/>
      <c r="IM231" s="251"/>
      <c r="IN231" s="251"/>
      <c r="IO231" s="251"/>
      <c r="IP231" s="251"/>
      <c r="IQ231" s="251"/>
      <c r="IR231" s="251"/>
      <c r="IS231" s="251"/>
      <c r="IT231" s="251"/>
      <c r="IU231" s="251"/>
      <c r="IV231" s="251"/>
      <c r="IW231" s="251"/>
      <c r="IX231" s="251"/>
      <c r="IY231" s="251"/>
      <c r="IZ231" s="251"/>
      <c r="JA231" s="251"/>
      <c r="JB231" s="251"/>
      <c r="JC231" s="251"/>
      <c r="JD231" s="251">
        <v>2017</v>
      </c>
    </row>
    <row r="232" spans="1:264" s="10" customFormat="1" ht="20.100000000000001" hidden="1" customHeight="1">
      <c r="A232" s="26" t="s">
        <v>70</v>
      </c>
      <c r="B232" s="26" t="s">
        <v>198</v>
      </c>
      <c r="C232" s="13" t="s">
        <v>349</v>
      </c>
      <c r="D232" s="13" t="s">
        <v>380</v>
      </c>
      <c r="E232" s="16" t="s">
        <v>350</v>
      </c>
      <c r="F232" s="13" t="s">
        <v>356</v>
      </c>
      <c r="G232" s="26" t="s">
        <v>354</v>
      </c>
      <c r="H232" s="13" t="s">
        <v>1517</v>
      </c>
      <c r="I232" s="15" t="s">
        <v>861</v>
      </c>
      <c r="J232" s="26">
        <v>5</v>
      </c>
      <c r="K232" s="49" t="s">
        <v>375</v>
      </c>
      <c r="L232" s="314" t="s">
        <v>200</v>
      </c>
      <c r="M232" s="14" t="s">
        <v>2024</v>
      </c>
      <c r="N232" s="20" t="s">
        <v>1964</v>
      </c>
      <c r="O232" s="13" t="s">
        <v>199</v>
      </c>
      <c r="P232" s="13" t="s">
        <v>4</v>
      </c>
      <c r="Q232" s="22" t="s">
        <v>1118</v>
      </c>
      <c r="R232" s="314" t="s">
        <v>200</v>
      </c>
      <c r="S232" s="13" t="s">
        <v>706</v>
      </c>
      <c r="T232" s="13" t="s">
        <v>1387</v>
      </c>
      <c r="U232" s="13" t="s">
        <v>479</v>
      </c>
      <c r="V232" s="13" t="s">
        <v>707</v>
      </c>
      <c r="W232" s="13" t="s">
        <v>570</v>
      </c>
      <c r="X232" s="13" t="s">
        <v>570</v>
      </c>
      <c r="Y232" s="13" t="s">
        <v>943</v>
      </c>
      <c r="Z232" s="13" t="s">
        <v>944</v>
      </c>
      <c r="AA232" s="49">
        <v>2097.5150000000003</v>
      </c>
      <c r="AB232" s="29">
        <v>0</v>
      </c>
      <c r="AC232" s="29">
        <v>0</v>
      </c>
      <c r="AD232" s="29"/>
      <c r="AE232" s="29">
        <v>0</v>
      </c>
      <c r="AF232" s="29">
        <f t="shared" si="100"/>
        <v>0</v>
      </c>
      <c r="AG232" s="25">
        <v>0.12</v>
      </c>
      <c r="AH232" s="29">
        <f t="shared" si="101"/>
        <v>0</v>
      </c>
      <c r="AI232" s="29">
        <f t="shared" si="102"/>
        <v>0</v>
      </c>
      <c r="AJ232" s="29">
        <f t="shared" si="103"/>
        <v>0</v>
      </c>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f t="shared" si="106"/>
        <v>0</v>
      </c>
      <c r="BG232" s="29">
        <f t="shared" si="109"/>
        <v>0</v>
      </c>
      <c r="BH232" s="29"/>
      <c r="BI232" s="29" t="s">
        <v>570</v>
      </c>
      <c r="BJ232" s="29" t="s">
        <v>570</v>
      </c>
      <c r="BK232" s="29"/>
      <c r="BL232" s="29"/>
      <c r="BM232" s="29"/>
      <c r="BN232" s="13"/>
      <c r="BO232" s="13"/>
      <c r="BP232" s="13"/>
      <c r="BQ232" s="13"/>
      <c r="BR232" s="13"/>
      <c r="BS232" s="13"/>
      <c r="BT232" s="13"/>
      <c r="BU232" s="13"/>
      <c r="BV232" s="13"/>
      <c r="BW232" s="224" t="s">
        <v>570</v>
      </c>
      <c r="BX232" s="23">
        <v>42361</v>
      </c>
      <c r="BY232" s="13" t="s">
        <v>570</v>
      </c>
      <c r="BZ232" s="23">
        <v>42384</v>
      </c>
      <c r="CA232" s="23">
        <v>42397</v>
      </c>
      <c r="CB232" s="224" t="s">
        <v>570</v>
      </c>
      <c r="CC232" s="224" t="s">
        <v>570</v>
      </c>
      <c r="CD232" s="224" t="s">
        <v>570</v>
      </c>
      <c r="CE232" s="13"/>
      <c r="CF232" s="13"/>
      <c r="CG232" s="13"/>
      <c r="CH232" s="13"/>
      <c r="CI232" s="13"/>
      <c r="CJ232" s="13"/>
      <c r="CK232" s="13"/>
      <c r="CL232" s="13"/>
      <c r="CM232" s="13"/>
      <c r="CN232" s="13"/>
      <c r="CO232" s="13"/>
      <c r="CP232" s="13"/>
      <c r="CQ232" s="13"/>
      <c r="CR232" s="13"/>
      <c r="CS232" s="29" t="s">
        <v>570</v>
      </c>
      <c r="CT232" s="29" t="s">
        <v>570</v>
      </c>
      <c r="CU232" s="29" t="s">
        <v>570</v>
      </c>
      <c r="CV232" s="23">
        <v>42613</v>
      </c>
      <c r="CW232" s="30"/>
      <c r="CX232" s="13"/>
      <c r="CY232" s="23">
        <v>42684</v>
      </c>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31">
        <f t="shared" si="110"/>
        <v>0</v>
      </c>
      <c r="DZ232" s="13"/>
      <c r="EA232" s="13"/>
      <c r="EB232" s="13"/>
      <c r="EC232" s="13"/>
      <c r="ED232" s="13"/>
      <c r="EE232" s="13"/>
      <c r="EF232" s="13"/>
      <c r="EG232" s="24" t="s">
        <v>503</v>
      </c>
      <c r="EH232" s="13" t="s">
        <v>503</v>
      </c>
      <c r="EI232" s="23">
        <f t="shared" si="111"/>
        <v>42614</v>
      </c>
      <c r="EJ232" s="13" t="s">
        <v>503</v>
      </c>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25"/>
      <c r="FI232" s="25"/>
      <c r="FJ232" s="25">
        <v>0.2</v>
      </c>
      <c r="FK232" s="25">
        <v>0.28000000000000003</v>
      </c>
      <c r="FL232" s="25">
        <v>0.28000000000000003</v>
      </c>
      <c r="FM232" s="25">
        <v>0.28000000000000003</v>
      </c>
      <c r="FN232" s="25">
        <v>0.28000000000000003</v>
      </c>
      <c r="FO232" s="25">
        <v>0.46</v>
      </c>
      <c r="FP232" s="25">
        <v>0.76</v>
      </c>
      <c r="FQ232" s="25">
        <v>0.79</v>
      </c>
      <c r="FR232" s="25">
        <v>0.79</v>
      </c>
      <c r="FS232" s="25">
        <v>0.85</v>
      </c>
      <c r="FT232" s="25">
        <v>0.94</v>
      </c>
      <c r="FU232" s="25">
        <v>0.94</v>
      </c>
      <c r="FV232" s="25">
        <v>0.95</v>
      </c>
      <c r="FW232" s="25">
        <v>0.95</v>
      </c>
      <c r="FX232" s="25">
        <v>0.95</v>
      </c>
      <c r="FY232" s="25">
        <v>1</v>
      </c>
      <c r="FZ232" s="25">
        <v>1</v>
      </c>
      <c r="GA232" s="25">
        <v>1</v>
      </c>
      <c r="GB232" s="25">
        <v>1</v>
      </c>
      <c r="GC232" s="25">
        <v>1</v>
      </c>
      <c r="GD232" s="25">
        <v>1</v>
      </c>
      <c r="GE232" s="25">
        <v>1</v>
      </c>
      <c r="GF232" s="25">
        <v>1</v>
      </c>
      <c r="GG232" s="25">
        <v>1</v>
      </c>
      <c r="GH232" s="25">
        <v>1</v>
      </c>
      <c r="GI232" s="25">
        <v>1</v>
      </c>
      <c r="GJ232" s="25">
        <v>1</v>
      </c>
      <c r="GK232" s="25">
        <v>1</v>
      </c>
      <c r="GL232" s="25">
        <v>1</v>
      </c>
      <c r="GM232" s="25">
        <v>1</v>
      </c>
      <c r="GN232" s="25">
        <v>1</v>
      </c>
      <c r="GO232" s="25">
        <v>1</v>
      </c>
      <c r="GP232" s="25">
        <v>1</v>
      </c>
      <c r="GQ232" s="25">
        <v>1</v>
      </c>
      <c r="GR232" s="25">
        <v>1</v>
      </c>
      <c r="GS232" s="25">
        <v>1</v>
      </c>
      <c r="GT232" s="25">
        <v>1</v>
      </c>
      <c r="GU232" s="25">
        <v>1</v>
      </c>
      <c r="GV232" s="25" t="s">
        <v>452</v>
      </c>
      <c r="GW232" s="25" t="s">
        <v>452</v>
      </c>
      <c r="GX232" s="25" t="s">
        <v>452</v>
      </c>
      <c r="GY232" s="25" t="s">
        <v>452</v>
      </c>
      <c r="GZ232" s="25" t="s">
        <v>452</v>
      </c>
      <c r="HA232" s="25" t="s">
        <v>452</v>
      </c>
      <c r="HB232" s="25" t="s">
        <v>452</v>
      </c>
      <c r="HC232" s="25" t="s">
        <v>452</v>
      </c>
      <c r="HD232" s="25" t="s">
        <v>452</v>
      </c>
      <c r="HE232" s="25" t="s">
        <v>452</v>
      </c>
      <c r="HF232" s="25" t="s">
        <v>452</v>
      </c>
      <c r="HG232" s="25" t="s">
        <v>452</v>
      </c>
      <c r="HH232" s="25" t="s">
        <v>452</v>
      </c>
      <c r="HI232" s="25"/>
      <c r="HJ232" s="25"/>
      <c r="HK232" s="25"/>
      <c r="HL232" s="25"/>
      <c r="HM232" s="84"/>
      <c r="HN232" s="84"/>
      <c r="HO232" s="84"/>
      <c r="HP232" s="84"/>
      <c r="HQ232" s="84"/>
      <c r="HR232" s="84"/>
      <c r="HS232" s="84"/>
      <c r="HT232" s="84"/>
      <c r="HU232" s="13" t="s">
        <v>1044</v>
      </c>
      <c r="HV232" s="13"/>
      <c r="HW232" s="32"/>
      <c r="HX232" s="55"/>
      <c r="HY232" s="55"/>
      <c r="HZ232" s="55"/>
      <c r="IA232" s="251"/>
      <c r="IB232" s="251"/>
      <c r="IC232" s="251"/>
      <c r="ID232" s="251"/>
      <c r="IE232" s="251"/>
      <c r="IF232" s="107">
        <v>0</v>
      </c>
      <c r="IG232" s="107"/>
      <c r="IH232" s="250">
        <f t="shared" si="104"/>
        <v>0</v>
      </c>
      <c r="II232" s="251"/>
      <c r="IJ232" s="251"/>
      <c r="IK232" s="251"/>
      <c r="IL232" s="251"/>
      <c r="IM232" s="251"/>
      <c r="IN232" s="251"/>
      <c r="IO232" s="251"/>
      <c r="IP232" s="251"/>
      <c r="IQ232" s="251"/>
      <c r="IR232" s="251"/>
      <c r="IS232" s="251"/>
      <c r="IT232" s="251"/>
      <c r="IU232" s="251"/>
      <c r="IV232" s="251"/>
      <c r="IW232" s="251"/>
      <c r="IX232" s="251"/>
      <c r="IY232" s="251"/>
      <c r="IZ232" s="251"/>
      <c r="JA232" s="251"/>
      <c r="JB232" s="251"/>
      <c r="JC232" s="251"/>
      <c r="JD232" s="251">
        <v>2017</v>
      </c>
    </row>
    <row r="233" spans="1:264" s="5" customFormat="1" ht="20.100000000000001" hidden="1" customHeight="1">
      <c r="A233" s="26" t="s">
        <v>86</v>
      </c>
      <c r="B233" s="26" t="s">
        <v>198</v>
      </c>
      <c r="C233" s="13" t="s">
        <v>349</v>
      </c>
      <c r="D233" s="13" t="s">
        <v>380</v>
      </c>
      <c r="E233" s="16" t="s">
        <v>350</v>
      </c>
      <c r="F233" s="13" t="s">
        <v>356</v>
      </c>
      <c r="G233" s="39" t="s">
        <v>351</v>
      </c>
      <c r="H233" s="13" t="s">
        <v>1547</v>
      </c>
      <c r="I233" s="313" t="s">
        <v>88</v>
      </c>
      <c r="J233" s="40">
        <v>1</v>
      </c>
      <c r="K233" s="49" t="s">
        <v>375</v>
      </c>
      <c r="L233" s="314" t="s">
        <v>201</v>
      </c>
      <c r="M233" s="14" t="s">
        <v>202</v>
      </c>
      <c r="N233" s="313"/>
      <c r="O233" s="13" t="s">
        <v>199</v>
      </c>
      <c r="P233" s="13" t="s">
        <v>4</v>
      </c>
      <c r="Q233" s="22" t="s">
        <v>794</v>
      </c>
      <c r="R233" s="22"/>
      <c r="S233" s="13"/>
      <c r="T233" s="13"/>
      <c r="U233" s="13"/>
      <c r="V233" s="13"/>
      <c r="W233" s="13" t="s">
        <v>570</v>
      </c>
      <c r="X233" s="13" t="s">
        <v>570</v>
      </c>
      <c r="Y233" s="13"/>
      <c r="Z233" s="13"/>
      <c r="AA233" s="29"/>
      <c r="AB233" s="29">
        <v>60614.22</v>
      </c>
      <c r="AC233" s="29">
        <v>0</v>
      </c>
      <c r="AD233" s="29">
        <v>60614.22</v>
      </c>
      <c r="AE233" s="29">
        <v>0</v>
      </c>
      <c r="AF233" s="29">
        <f t="shared" si="100"/>
        <v>60614.22</v>
      </c>
      <c r="AG233" s="25">
        <v>0.12</v>
      </c>
      <c r="AH233" s="29">
        <f t="shared" si="101"/>
        <v>7273.7064</v>
      </c>
      <c r="AI233" s="29">
        <f t="shared" si="102"/>
        <v>0</v>
      </c>
      <c r="AJ233" s="29">
        <f t="shared" si="103"/>
        <v>67887.926400000011</v>
      </c>
      <c r="AK233" s="29">
        <v>0</v>
      </c>
      <c r="AL233" s="29">
        <f>AB233-AK233</f>
        <v>60614.22</v>
      </c>
      <c r="AM233" s="29"/>
      <c r="AN233" s="29"/>
      <c r="AO233" s="29">
        <v>0</v>
      </c>
      <c r="AP233" s="29"/>
      <c r="AQ233" s="29"/>
      <c r="AR233" s="29"/>
      <c r="AS233" s="29"/>
      <c r="AT233" s="29"/>
      <c r="AU233" s="29"/>
      <c r="AV233" s="29"/>
      <c r="AW233" s="29"/>
      <c r="AX233" s="29"/>
      <c r="AY233" s="29"/>
      <c r="AZ233" s="29"/>
      <c r="BA233" s="29"/>
      <c r="BB233" s="29"/>
      <c r="BC233" s="29"/>
      <c r="BD233" s="29"/>
      <c r="BE233" s="29"/>
      <c r="BF233" s="29"/>
      <c r="BG233" s="29">
        <f t="shared" si="109"/>
        <v>0</v>
      </c>
      <c r="BH233" s="29"/>
      <c r="BI233" s="23"/>
      <c r="BJ233" s="29" t="s">
        <v>570</v>
      </c>
      <c r="BK233" s="23"/>
      <c r="BL233" s="23"/>
      <c r="BM233" s="23"/>
      <c r="BN233" s="13"/>
      <c r="BO233" s="13"/>
      <c r="BP233" s="13"/>
      <c r="BQ233" s="13"/>
      <c r="BR233" s="13"/>
      <c r="BS233" s="13"/>
      <c r="BT233" s="13"/>
      <c r="BU233" s="13"/>
      <c r="BV233" s="13"/>
      <c r="BW233" s="13"/>
      <c r="BX233" s="13"/>
      <c r="BY233" s="13"/>
      <c r="BZ233" s="13"/>
      <c r="CA233" s="13"/>
      <c r="CB233" s="224" t="s">
        <v>570</v>
      </c>
      <c r="CC233" s="224" t="s">
        <v>570</v>
      </c>
      <c r="CD233" s="224" t="s">
        <v>570</v>
      </c>
      <c r="CE233" s="13"/>
      <c r="CF233" s="13"/>
      <c r="CG233" s="13"/>
      <c r="CH233" s="13"/>
      <c r="CI233" s="13"/>
      <c r="CJ233" s="13"/>
      <c r="CK233" s="13"/>
      <c r="CL233" s="13"/>
      <c r="CM233" s="13"/>
      <c r="CN233" s="13"/>
      <c r="CO233" s="13"/>
      <c r="CP233" s="13"/>
      <c r="CQ233" s="13"/>
      <c r="CR233" s="13"/>
      <c r="CS233" s="29" t="s">
        <v>570</v>
      </c>
      <c r="CT233" s="29" t="s">
        <v>570</v>
      </c>
      <c r="CU233" s="29" t="s">
        <v>570</v>
      </c>
      <c r="CV233" s="23"/>
      <c r="CW233" s="30"/>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31">
        <f t="shared" si="110"/>
        <v>0</v>
      </c>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61"/>
      <c r="FU233" s="61"/>
      <c r="FV233" s="25">
        <v>1</v>
      </c>
      <c r="FW233" s="25">
        <v>1</v>
      </c>
      <c r="FX233" s="25">
        <v>1</v>
      </c>
      <c r="FY233" s="25">
        <v>1</v>
      </c>
      <c r="FZ233" s="25">
        <v>1</v>
      </c>
      <c r="GA233" s="25">
        <v>1</v>
      </c>
      <c r="GB233" s="25">
        <v>1</v>
      </c>
      <c r="GC233" s="25">
        <v>1</v>
      </c>
      <c r="GD233" s="25">
        <v>1</v>
      </c>
      <c r="GE233" s="25">
        <v>1</v>
      </c>
      <c r="GF233" s="25">
        <v>1</v>
      </c>
      <c r="GG233" s="25">
        <v>1</v>
      </c>
      <c r="GH233" s="25">
        <v>1</v>
      </c>
      <c r="GI233" s="25">
        <v>1</v>
      </c>
      <c r="GJ233" s="25">
        <v>1</v>
      </c>
      <c r="GK233" s="25">
        <v>1</v>
      </c>
      <c r="GL233" s="25">
        <v>1</v>
      </c>
      <c r="GM233" s="25">
        <v>1</v>
      </c>
      <c r="GN233" s="25">
        <v>1</v>
      </c>
      <c r="GO233" s="25">
        <v>1</v>
      </c>
      <c r="GP233" s="25">
        <v>1</v>
      </c>
      <c r="GQ233" s="25">
        <v>1</v>
      </c>
      <c r="GR233" s="25">
        <v>1</v>
      </c>
      <c r="GS233" s="25">
        <v>1</v>
      </c>
      <c r="GT233" s="25">
        <v>1</v>
      </c>
      <c r="GU233" s="25">
        <v>1</v>
      </c>
      <c r="GV233" s="25" t="s">
        <v>1588</v>
      </c>
      <c r="GW233" s="25" t="s">
        <v>1588</v>
      </c>
      <c r="GX233" s="25" t="s">
        <v>1588</v>
      </c>
      <c r="GY233" s="25" t="s">
        <v>1588</v>
      </c>
      <c r="GZ233" s="25" t="s">
        <v>1588</v>
      </c>
      <c r="HA233" s="25" t="s">
        <v>1588</v>
      </c>
      <c r="HB233" s="25" t="s">
        <v>1588</v>
      </c>
      <c r="HC233" s="25" t="s">
        <v>1889</v>
      </c>
      <c r="HD233" s="25" t="s">
        <v>1889</v>
      </c>
      <c r="HE233" s="25" t="s">
        <v>1889</v>
      </c>
      <c r="HF233" s="25" t="s">
        <v>1889</v>
      </c>
      <c r="HG233" s="25" t="s">
        <v>1889</v>
      </c>
      <c r="HH233" s="25" t="s">
        <v>1889</v>
      </c>
      <c r="HI233" s="25"/>
      <c r="HJ233" s="25"/>
      <c r="HK233" s="25"/>
      <c r="HL233" s="25"/>
      <c r="HM233" s="84"/>
      <c r="HN233" s="84"/>
      <c r="HO233" s="84"/>
      <c r="HP233" s="84"/>
      <c r="HQ233" s="84"/>
      <c r="HR233" s="84"/>
      <c r="HS233" s="84"/>
      <c r="HT233" s="84"/>
      <c r="HU233" s="13" t="s">
        <v>836</v>
      </c>
      <c r="HV233" s="13"/>
      <c r="HW233" s="32"/>
      <c r="HX233" s="55"/>
      <c r="HY233" s="55"/>
      <c r="HZ233" s="55"/>
      <c r="IA233" s="55"/>
      <c r="IB233" s="55"/>
      <c r="IC233" s="55"/>
      <c r="ID233" s="55"/>
      <c r="IE233" s="55"/>
      <c r="IF233" s="107">
        <v>60614.22</v>
      </c>
      <c r="IG233" s="107">
        <v>0</v>
      </c>
      <c r="IH233" s="250">
        <f t="shared" si="104"/>
        <v>0</v>
      </c>
      <c r="II233" s="55"/>
      <c r="IJ233" s="55"/>
      <c r="IK233" s="55"/>
      <c r="IL233" s="55"/>
      <c r="IM233" s="55"/>
      <c r="IN233" s="55"/>
      <c r="IO233" s="55"/>
      <c r="IP233" s="55"/>
      <c r="IQ233" s="55"/>
      <c r="IR233" s="55"/>
      <c r="IS233" s="55"/>
      <c r="IT233" s="55"/>
      <c r="IU233" s="55"/>
      <c r="IV233" s="55"/>
      <c r="IW233" s="55"/>
      <c r="IX233" s="55"/>
      <c r="IY233" s="55"/>
      <c r="IZ233" s="55"/>
      <c r="JA233" s="55"/>
      <c r="JB233" s="55"/>
      <c r="JC233" s="55"/>
      <c r="JD233" s="55">
        <v>2017</v>
      </c>
    </row>
    <row r="234" spans="1:264" s="5" customFormat="1" ht="24.95" customHeight="1">
      <c r="A234" s="26" t="s">
        <v>1811</v>
      </c>
      <c r="B234" s="26" t="s">
        <v>716</v>
      </c>
      <c r="C234" s="26" t="s">
        <v>362</v>
      </c>
      <c r="D234" s="26" t="s">
        <v>362</v>
      </c>
      <c r="E234" s="26" t="s">
        <v>362</v>
      </c>
      <c r="F234" s="26" t="s">
        <v>363</v>
      </c>
      <c r="G234" s="39" t="s">
        <v>354</v>
      </c>
      <c r="H234" s="39" t="s">
        <v>1582</v>
      </c>
      <c r="I234" s="39"/>
      <c r="J234" s="39"/>
      <c r="K234" s="49" t="s">
        <v>375</v>
      </c>
      <c r="L234" s="314" t="s">
        <v>717</v>
      </c>
      <c r="M234" s="15" t="s">
        <v>786</v>
      </c>
      <c r="N234" s="20"/>
      <c r="O234" s="13" t="s">
        <v>544</v>
      </c>
      <c r="P234" s="13" t="s">
        <v>15</v>
      </c>
      <c r="Q234" s="22" t="s">
        <v>1118</v>
      </c>
      <c r="R234" s="314" t="s">
        <v>717</v>
      </c>
      <c r="S234" s="22" t="s">
        <v>1613</v>
      </c>
      <c r="T234" s="13" t="s">
        <v>1387</v>
      </c>
      <c r="U234" s="13" t="s">
        <v>479</v>
      </c>
      <c r="V234" s="24">
        <v>1791815378001</v>
      </c>
      <c r="W234" s="13" t="s">
        <v>570</v>
      </c>
      <c r="X234" s="13" t="s">
        <v>570</v>
      </c>
      <c r="Y234" s="13" t="s">
        <v>1102</v>
      </c>
      <c r="Z234" s="13"/>
      <c r="AA234" s="29"/>
      <c r="AB234" s="29">
        <v>41112</v>
      </c>
      <c r="AC234" s="29">
        <v>0</v>
      </c>
      <c r="AD234" s="29">
        <v>41112</v>
      </c>
      <c r="AE234" s="29">
        <v>0</v>
      </c>
      <c r="AF234" s="29">
        <f t="shared" si="100"/>
        <v>41112</v>
      </c>
      <c r="AG234" s="25">
        <v>0.12</v>
      </c>
      <c r="AH234" s="29">
        <f t="shared" si="101"/>
        <v>4933.4399999999996</v>
      </c>
      <c r="AI234" s="29">
        <f t="shared" si="102"/>
        <v>0</v>
      </c>
      <c r="AJ234" s="29">
        <f t="shared" si="103"/>
        <v>46045.440000000002</v>
      </c>
      <c r="AK234" s="29">
        <v>39056.400000000001</v>
      </c>
      <c r="AL234" s="29">
        <f>AB234-AK234</f>
        <v>2055.5999999999985</v>
      </c>
      <c r="AM234" s="29"/>
      <c r="AN234" s="55"/>
      <c r="AO234" s="29">
        <v>41112</v>
      </c>
      <c r="AP234" s="29"/>
      <c r="AQ234" s="29">
        <v>39056.400000000001</v>
      </c>
      <c r="AR234" s="25">
        <v>0.14000000000000001</v>
      </c>
      <c r="AS234" s="29">
        <f>AQ234*0.14</f>
        <v>5467.8960000000006</v>
      </c>
      <c r="AT234" s="29">
        <f>AQ234*1.14</f>
        <v>44524.295999999995</v>
      </c>
      <c r="AU234" s="29"/>
      <c r="AV234" s="29"/>
      <c r="AW234" s="29"/>
      <c r="AX234" s="29"/>
      <c r="AY234" s="29"/>
      <c r="AZ234" s="29"/>
      <c r="BA234" s="29"/>
      <c r="BB234" s="29"/>
      <c r="BC234" s="29"/>
      <c r="BD234" s="29"/>
      <c r="BE234" s="29"/>
      <c r="BF234" s="29"/>
      <c r="BG234" s="29">
        <f t="shared" si="109"/>
        <v>0</v>
      </c>
      <c r="BH234" s="29" t="s">
        <v>776</v>
      </c>
      <c r="BI234" s="23"/>
      <c r="BJ234" s="29" t="s">
        <v>570</v>
      </c>
      <c r="BK234" s="29" t="s">
        <v>570</v>
      </c>
      <c r="BL234" s="29" t="s">
        <v>570</v>
      </c>
      <c r="BM234" s="29" t="s">
        <v>570</v>
      </c>
      <c r="BN234" s="23">
        <v>42724</v>
      </c>
      <c r="BO234" s="13" t="s">
        <v>570</v>
      </c>
      <c r="BP234" s="13" t="s">
        <v>570</v>
      </c>
      <c r="BQ234" s="23">
        <v>42725</v>
      </c>
      <c r="BR234" s="13" t="s">
        <v>570</v>
      </c>
      <c r="BS234" s="23">
        <v>42731</v>
      </c>
      <c r="BT234" s="23">
        <v>42732</v>
      </c>
      <c r="BU234" s="13" t="s">
        <v>570</v>
      </c>
      <c r="BV234" s="13" t="s">
        <v>570</v>
      </c>
      <c r="BW234" s="13"/>
      <c r="BX234" s="23">
        <v>42766</v>
      </c>
      <c r="BY234" s="13" t="s">
        <v>570</v>
      </c>
      <c r="BZ234" s="13" t="s">
        <v>570</v>
      </c>
      <c r="CA234" s="23">
        <v>42779</v>
      </c>
      <c r="CB234" s="23" t="s">
        <v>570</v>
      </c>
      <c r="CC234" s="23"/>
      <c r="CD234" s="23"/>
      <c r="CE234" s="23" t="s">
        <v>570</v>
      </c>
      <c r="CF234" s="23"/>
      <c r="CG234" s="23"/>
      <c r="CH234" s="23"/>
      <c r="CI234" s="23"/>
      <c r="CJ234" s="23"/>
      <c r="CK234" s="23"/>
      <c r="CL234" s="23"/>
      <c r="CM234" s="23"/>
      <c r="CN234" s="23"/>
      <c r="CO234" s="23"/>
      <c r="CP234" s="23"/>
      <c r="CQ234" s="23"/>
      <c r="CR234" s="23"/>
      <c r="CS234" s="23"/>
      <c r="CT234" s="29" t="s">
        <v>570</v>
      </c>
      <c r="CU234" s="29" t="s">
        <v>570</v>
      </c>
      <c r="CV234" s="23">
        <v>42824</v>
      </c>
      <c r="CW234" s="30">
        <v>15622.56</v>
      </c>
      <c r="CX234" s="23" t="s">
        <v>1401</v>
      </c>
      <c r="CY234" s="23">
        <v>42888</v>
      </c>
      <c r="CZ234" s="37">
        <v>23433.84</v>
      </c>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37">
        <v>23433.84</v>
      </c>
      <c r="DY234" s="31"/>
      <c r="DZ234" s="13"/>
      <c r="EA234" s="13"/>
      <c r="EB234" s="13"/>
      <c r="EC234" s="13"/>
      <c r="ED234" s="13"/>
      <c r="EE234" s="13"/>
      <c r="EF234" s="13"/>
      <c r="EG234" s="24" t="s">
        <v>503</v>
      </c>
      <c r="EH234" s="13" t="s">
        <v>588</v>
      </c>
      <c r="EI234" s="13" t="s">
        <v>503</v>
      </c>
      <c r="EJ234" s="2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23">
        <v>42840</v>
      </c>
      <c r="FH234" s="13"/>
      <c r="FI234" s="13"/>
      <c r="FJ234" s="13"/>
      <c r="FK234" s="13"/>
      <c r="FL234" s="13"/>
      <c r="FM234" s="13"/>
      <c r="FN234" s="13"/>
      <c r="FO234" s="13"/>
      <c r="FP234" s="13"/>
      <c r="FQ234" s="13"/>
      <c r="FR234" s="13"/>
      <c r="FS234" s="13"/>
      <c r="FT234" s="13"/>
      <c r="FU234" s="13"/>
      <c r="FV234" s="13"/>
      <c r="FW234" s="13"/>
      <c r="FX234" s="25">
        <v>1</v>
      </c>
      <c r="FY234" s="25">
        <v>1</v>
      </c>
      <c r="FZ234" s="25">
        <v>1</v>
      </c>
      <c r="GA234" s="25">
        <v>1</v>
      </c>
      <c r="GB234" s="25">
        <v>1</v>
      </c>
      <c r="GC234" s="25">
        <v>1</v>
      </c>
      <c r="GD234" s="25">
        <v>1</v>
      </c>
      <c r="GE234" s="25">
        <v>1</v>
      </c>
      <c r="GF234" s="25">
        <v>1</v>
      </c>
      <c r="GG234" s="25">
        <v>1</v>
      </c>
      <c r="GH234" s="25">
        <v>1</v>
      </c>
      <c r="GI234" s="25">
        <v>1</v>
      </c>
      <c r="GJ234" s="25">
        <v>1</v>
      </c>
      <c r="GK234" s="25">
        <v>1</v>
      </c>
      <c r="GL234" s="25">
        <v>1</v>
      </c>
      <c r="GM234" s="25">
        <v>1</v>
      </c>
      <c r="GN234" s="25">
        <v>1</v>
      </c>
      <c r="GO234" s="25">
        <v>1</v>
      </c>
      <c r="GP234" s="25">
        <v>1</v>
      </c>
      <c r="GQ234" s="25">
        <v>1</v>
      </c>
      <c r="GR234" s="25">
        <v>1</v>
      </c>
      <c r="GS234" s="25">
        <v>1</v>
      </c>
      <c r="GT234" s="25">
        <v>1</v>
      </c>
      <c r="GU234" s="25">
        <v>1</v>
      </c>
      <c r="GV234" s="25" t="s">
        <v>1588</v>
      </c>
      <c r="GW234" s="25" t="s">
        <v>1588</v>
      </c>
      <c r="GX234" s="25" t="s">
        <v>1588</v>
      </c>
      <c r="GY234" s="25" t="s">
        <v>1588</v>
      </c>
      <c r="GZ234" s="25" t="s">
        <v>1588</v>
      </c>
      <c r="HA234" s="25" t="s">
        <v>1588</v>
      </c>
      <c r="HB234" s="25" t="s">
        <v>1588</v>
      </c>
      <c r="HC234" s="25" t="s">
        <v>455</v>
      </c>
      <c r="HD234" s="25" t="s">
        <v>455</v>
      </c>
      <c r="HE234" s="25" t="s">
        <v>455</v>
      </c>
      <c r="HF234" s="25" t="s">
        <v>455</v>
      </c>
      <c r="HG234" s="25" t="s">
        <v>455</v>
      </c>
      <c r="HH234" s="25" t="s">
        <v>455</v>
      </c>
      <c r="HI234" s="25"/>
      <c r="HJ234" s="25"/>
      <c r="HK234" s="25"/>
      <c r="HL234" s="25"/>
      <c r="HM234" s="84"/>
      <c r="HN234" s="84"/>
      <c r="HO234" s="84"/>
      <c r="HP234" s="84"/>
      <c r="HQ234" s="84"/>
      <c r="HR234" s="84"/>
      <c r="HS234" s="84"/>
      <c r="HT234" s="84"/>
      <c r="HU234" s="13"/>
      <c r="HV234" s="13"/>
      <c r="HW234" s="32"/>
      <c r="HX234" s="55"/>
      <c r="HY234" s="55"/>
      <c r="HZ234" s="55"/>
      <c r="IA234" s="55"/>
      <c r="IB234" s="55"/>
      <c r="IC234" s="55"/>
      <c r="ID234" s="55"/>
      <c r="IE234" s="55"/>
      <c r="IF234" s="107">
        <v>41112</v>
      </c>
      <c r="IG234" s="107"/>
      <c r="IH234" s="250">
        <f t="shared" si="104"/>
        <v>39056.400000000001</v>
      </c>
      <c r="II234" s="55"/>
      <c r="IJ234" s="55"/>
      <c r="IK234" s="55"/>
      <c r="IL234" s="55"/>
      <c r="IM234" s="55"/>
      <c r="IN234" s="55"/>
      <c r="IO234" s="55"/>
      <c r="IP234" s="55"/>
      <c r="IQ234" s="55"/>
      <c r="IR234" s="55"/>
      <c r="IS234" s="55"/>
      <c r="IT234" s="55"/>
      <c r="IU234" s="55"/>
      <c r="IV234" s="55"/>
      <c r="IW234" s="55"/>
      <c r="IX234" s="55"/>
      <c r="IY234" s="55"/>
      <c r="IZ234" s="55"/>
      <c r="JA234" s="55"/>
      <c r="JB234" s="55"/>
      <c r="JC234" s="55"/>
      <c r="JD234" s="55"/>
    </row>
    <row r="235" spans="1:264" s="9" customFormat="1" ht="24.95" customHeight="1">
      <c r="A235" s="26" t="s">
        <v>1811</v>
      </c>
      <c r="B235" s="26" t="s">
        <v>716</v>
      </c>
      <c r="C235" s="26" t="s">
        <v>362</v>
      </c>
      <c r="D235" s="26" t="s">
        <v>362</v>
      </c>
      <c r="E235" s="26" t="s">
        <v>362</v>
      </c>
      <c r="F235" s="26" t="s">
        <v>363</v>
      </c>
      <c r="G235" s="39" t="s">
        <v>354</v>
      </c>
      <c r="H235" s="39" t="s">
        <v>1582</v>
      </c>
      <c r="I235" s="39"/>
      <c r="J235" s="39"/>
      <c r="K235" s="49" t="s">
        <v>375</v>
      </c>
      <c r="L235" s="314" t="s">
        <v>1540</v>
      </c>
      <c r="M235" s="15" t="s">
        <v>1601</v>
      </c>
      <c r="N235" s="20"/>
      <c r="O235" s="13" t="s">
        <v>544</v>
      </c>
      <c r="P235" s="13" t="s">
        <v>15</v>
      </c>
      <c r="Q235" s="22" t="s">
        <v>1118</v>
      </c>
      <c r="R235" s="314" t="s">
        <v>1540</v>
      </c>
      <c r="S235" s="22" t="s">
        <v>1613</v>
      </c>
      <c r="T235" s="13" t="s">
        <v>1387</v>
      </c>
      <c r="U235" s="13" t="s">
        <v>479</v>
      </c>
      <c r="V235" s="24">
        <v>1791815378001</v>
      </c>
      <c r="W235" s="13" t="s">
        <v>570</v>
      </c>
      <c r="X235" s="13" t="s">
        <v>570</v>
      </c>
      <c r="Y235" s="13" t="s">
        <v>1102</v>
      </c>
      <c r="Z235" s="178"/>
      <c r="AA235" s="49"/>
      <c r="AB235" s="37">
        <v>39200</v>
      </c>
      <c r="AC235" s="29">
        <v>0</v>
      </c>
      <c r="AD235" s="37">
        <v>39200</v>
      </c>
      <c r="AE235" s="29">
        <v>0</v>
      </c>
      <c r="AF235" s="29">
        <f t="shared" si="100"/>
        <v>39200</v>
      </c>
      <c r="AG235" s="25">
        <v>0.12</v>
      </c>
      <c r="AH235" s="29">
        <f t="shared" si="101"/>
        <v>4704</v>
      </c>
      <c r="AI235" s="29">
        <f t="shared" si="102"/>
        <v>0</v>
      </c>
      <c r="AJ235" s="29">
        <f t="shared" si="103"/>
        <v>43904.000000000007</v>
      </c>
      <c r="AK235" s="29"/>
      <c r="AL235" s="29"/>
      <c r="AM235" s="29"/>
      <c r="AN235" s="179"/>
      <c r="AO235" s="37">
        <v>39200</v>
      </c>
      <c r="AP235" s="179"/>
      <c r="AQ235" s="37">
        <v>39200</v>
      </c>
      <c r="AR235" s="25">
        <v>0.12</v>
      </c>
      <c r="AS235" s="29">
        <f>AQ235*0.14</f>
        <v>5488.0000000000009</v>
      </c>
      <c r="AT235" s="29">
        <f>AQ235*1.14</f>
        <v>44687.999999999993</v>
      </c>
      <c r="AU235" s="179"/>
      <c r="AV235" s="179"/>
      <c r="AW235" s="179"/>
      <c r="AX235" s="179"/>
      <c r="AY235" s="179"/>
      <c r="AZ235" s="179"/>
      <c r="BA235" s="179"/>
      <c r="BB235" s="179"/>
      <c r="BC235" s="179"/>
      <c r="BD235" s="179"/>
      <c r="BE235" s="179"/>
      <c r="BF235" s="179"/>
      <c r="BG235" s="29">
        <f t="shared" si="109"/>
        <v>0</v>
      </c>
      <c r="BH235" s="179"/>
      <c r="BI235" s="29" t="s">
        <v>570</v>
      </c>
      <c r="BJ235" s="29" t="s">
        <v>570</v>
      </c>
      <c r="BK235" s="29" t="s">
        <v>570</v>
      </c>
      <c r="BL235" s="29" t="s">
        <v>570</v>
      </c>
      <c r="BM235" s="29" t="s">
        <v>570</v>
      </c>
      <c r="BN235" s="104"/>
      <c r="BO235" s="104"/>
      <c r="BP235" s="104"/>
      <c r="BQ235" s="104"/>
      <c r="BR235" s="104"/>
      <c r="BS235" s="104"/>
      <c r="BT235" s="104"/>
      <c r="BU235" s="13" t="s">
        <v>570</v>
      </c>
      <c r="BV235" s="13" t="s">
        <v>570</v>
      </c>
      <c r="BW235" s="224" t="s">
        <v>570</v>
      </c>
      <c r="BX235" s="104"/>
      <c r="BY235" s="104"/>
      <c r="BZ235" s="104"/>
      <c r="CA235" s="104"/>
      <c r="CB235" s="224" t="s">
        <v>570</v>
      </c>
      <c r="CC235" s="224"/>
      <c r="CD235" s="224"/>
      <c r="CE235" s="104"/>
      <c r="CF235" s="104"/>
      <c r="CG235" s="104"/>
      <c r="CH235" s="104"/>
      <c r="CI235" s="104"/>
      <c r="CJ235" s="104"/>
      <c r="CK235" s="104"/>
      <c r="CL235" s="104"/>
      <c r="CM235" s="104"/>
      <c r="CN235" s="104"/>
      <c r="CO235" s="104"/>
      <c r="CP235" s="104"/>
      <c r="CQ235" s="104"/>
      <c r="CR235" s="104"/>
      <c r="CS235" s="104"/>
      <c r="CT235" s="179"/>
      <c r="CU235" s="179"/>
      <c r="CV235" s="23"/>
      <c r="CW235" s="30"/>
      <c r="CX235" s="104"/>
      <c r="CY235" s="104"/>
      <c r="CZ235" s="104"/>
      <c r="DA235" s="104"/>
      <c r="DB235" s="104"/>
      <c r="DC235" s="104"/>
      <c r="DD235" s="104"/>
      <c r="DE235" s="104"/>
      <c r="DF235" s="104"/>
      <c r="DG235" s="104"/>
      <c r="DH235" s="104"/>
      <c r="DI235" s="104"/>
      <c r="DJ235" s="104"/>
      <c r="DK235" s="104"/>
      <c r="DL235" s="104"/>
      <c r="DM235" s="104"/>
      <c r="DN235" s="104"/>
      <c r="DO235" s="104"/>
      <c r="DP235" s="104"/>
      <c r="DQ235" s="104"/>
      <c r="DR235" s="104"/>
      <c r="DS235" s="104"/>
      <c r="DT235" s="104"/>
      <c r="DU235" s="104"/>
      <c r="DV235" s="104"/>
      <c r="DW235" s="104"/>
      <c r="DX235" s="104"/>
      <c r="DY235" s="31">
        <f>CW235+CZ235+DC235+DF235+DI235+DL235+DO235+DR235+DU235+DX235</f>
        <v>0</v>
      </c>
      <c r="DZ235" s="104"/>
      <c r="EA235" s="104"/>
      <c r="EB235" s="104"/>
      <c r="EC235" s="104"/>
      <c r="ED235" s="104"/>
      <c r="EE235" s="104"/>
      <c r="EF235" s="104"/>
      <c r="EG235" s="104"/>
      <c r="EH235" s="104"/>
      <c r="EI235" s="104"/>
      <c r="EJ235" s="104"/>
      <c r="EK235" s="104"/>
      <c r="EL235" s="104"/>
      <c r="EM235" s="104"/>
      <c r="EN235" s="104"/>
      <c r="EO235" s="104"/>
      <c r="EP235" s="104"/>
      <c r="EQ235" s="104"/>
      <c r="ER235" s="104"/>
      <c r="ES235" s="104"/>
      <c r="ET235" s="104"/>
      <c r="EU235" s="104"/>
      <c r="EV235" s="104"/>
      <c r="EW235" s="104"/>
      <c r="EX235" s="104"/>
      <c r="EY235" s="104"/>
      <c r="EZ235" s="104"/>
      <c r="FA235" s="104"/>
      <c r="FB235" s="104"/>
      <c r="FC235" s="104"/>
      <c r="FD235" s="104"/>
      <c r="FE235" s="104"/>
      <c r="FF235" s="104"/>
      <c r="FG235" s="104"/>
      <c r="FH235" s="104"/>
      <c r="FI235" s="104"/>
      <c r="FJ235" s="104"/>
      <c r="FK235" s="104"/>
      <c r="FL235" s="104"/>
      <c r="FM235" s="104"/>
      <c r="FN235" s="104"/>
      <c r="FO235" s="104"/>
      <c r="FP235" s="104"/>
      <c r="FQ235" s="104"/>
      <c r="FR235" s="104"/>
      <c r="FS235" s="104"/>
      <c r="FT235" s="104"/>
      <c r="FU235" s="104"/>
      <c r="FV235" s="36">
        <v>0</v>
      </c>
      <c r="FW235" s="36">
        <v>0</v>
      </c>
      <c r="FX235" s="36">
        <v>0</v>
      </c>
      <c r="FY235" s="36">
        <v>0</v>
      </c>
      <c r="FZ235" s="36">
        <v>0</v>
      </c>
      <c r="GA235" s="36">
        <v>0</v>
      </c>
      <c r="GB235" s="36">
        <v>0</v>
      </c>
      <c r="GC235" s="25">
        <v>0</v>
      </c>
      <c r="GD235" s="25">
        <v>0</v>
      </c>
      <c r="GE235" s="25">
        <v>0</v>
      </c>
      <c r="GF235" s="25">
        <v>0</v>
      </c>
      <c r="GG235" s="25">
        <v>0</v>
      </c>
      <c r="GH235" s="25">
        <v>1</v>
      </c>
      <c r="GI235" s="25">
        <v>1</v>
      </c>
      <c r="GJ235" s="25">
        <v>1</v>
      </c>
      <c r="GK235" s="25">
        <v>1</v>
      </c>
      <c r="GL235" s="25">
        <v>1</v>
      </c>
      <c r="GM235" s="25">
        <v>1</v>
      </c>
      <c r="GN235" s="25">
        <v>1</v>
      </c>
      <c r="GO235" s="25">
        <v>1</v>
      </c>
      <c r="GP235" s="25">
        <v>1</v>
      </c>
      <c r="GQ235" s="25">
        <v>1</v>
      </c>
      <c r="GR235" s="25">
        <v>1</v>
      </c>
      <c r="GS235" s="25">
        <v>1</v>
      </c>
      <c r="GT235" s="25">
        <v>1</v>
      </c>
      <c r="GU235" s="25">
        <v>1</v>
      </c>
      <c r="GV235" s="25" t="s">
        <v>1588</v>
      </c>
      <c r="GW235" s="25" t="s">
        <v>1588</v>
      </c>
      <c r="GX235" s="25" t="s">
        <v>1588</v>
      </c>
      <c r="GY235" s="25" t="s">
        <v>1588</v>
      </c>
      <c r="GZ235" s="25" t="s">
        <v>1588</v>
      </c>
      <c r="HA235" s="25" t="s">
        <v>1588</v>
      </c>
      <c r="HB235" s="25" t="s">
        <v>1588</v>
      </c>
      <c r="HC235" s="25" t="s">
        <v>1588</v>
      </c>
      <c r="HD235" s="25" t="s">
        <v>1588</v>
      </c>
      <c r="HE235" s="25" t="s">
        <v>1588</v>
      </c>
      <c r="HF235" s="25" t="s">
        <v>1588</v>
      </c>
      <c r="HG235" s="25" t="s">
        <v>1588</v>
      </c>
      <c r="HH235" s="25" t="s">
        <v>1588</v>
      </c>
      <c r="HI235" s="25"/>
      <c r="HJ235" s="25"/>
      <c r="HK235" s="25"/>
      <c r="HL235" s="25"/>
      <c r="HM235" s="84" t="s">
        <v>1744</v>
      </c>
      <c r="HN235" s="84"/>
      <c r="HO235" s="84"/>
      <c r="HP235" s="84"/>
      <c r="HQ235" s="84"/>
      <c r="HR235" s="84"/>
      <c r="HS235" s="84"/>
      <c r="HT235" s="84"/>
      <c r="HU235" s="104"/>
      <c r="HV235" s="104"/>
      <c r="HW235" s="180"/>
      <c r="HX235" s="244"/>
      <c r="HY235" s="244"/>
      <c r="HZ235" s="244"/>
      <c r="IA235" s="252"/>
      <c r="IB235" s="252"/>
      <c r="IC235" s="252"/>
      <c r="ID235" s="252"/>
      <c r="IE235" s="252"/>
      <c r="IF235" s="107">
        <v>39200</v>
      </c>
      <c r="IG235" s="107"/>
      <c r="IH235" s="250">
        <f t="shared" si="104"/>
        <v>0</v>
      </c>
      <c r="II235" s="252"/>
      <c r="IJ235" s="252"/>
      <c r="IK235" s="252"/>
      <c r="IL235" s="252"/>
      <c r="IM235" s="252"/>
      <c r="IN235" s="252"/>
      <c r="IO235" s="252"/>
      <c r="IP235" s="252"/>
      <c r="IQ235" s="252"/>
      <c r="IR235" s="252"/>
      <c r="IS235" s="252"/>
      <c r="IT235" s="252"/>
      <c r="IU235" s="252"/>
      <c r="IV235" s="252"/>
      <c r="IW235" s="252"/>
      <c r="IX235" s="252"/>
      <c r="IY235" s="252"/>
      <c r="IZ235" s="252"/>
      <c r="JA235" s="252"/>
      <c r="JB235" s="252"/>
      <c r="JC235" s="252"/>
      <c r="JD235" s="252"/>
    </row>
    <row r="236" spans="1:264" s="9" customFormat="1" ht="24.95" customHeight="1">
      <c r="A236" s="26" t="s">
        <v>1811</v>
      </c>
      <c r="B236" s="26" t="s">
        <v>716</v>
      </c>
      <c r="C236" s="26" t="s">
        <v>362</v>
      </c>
      <c r="D236" s="26" t="s">
        <v>362</v>
      </c>
      <c r="E236" s="26" t="s">
        <v>362</v>
      </c>
      <c r="F236" s="26" t="s">
        <v>363</v>
      </c>
      <c r="G236" s="39" t="s">
        <v>354</v>
      </c>
      <c r="H236" s="39" t="s">
        <v>1582</v>
      </c>
      <c r="I236" s="39"/>
      <c r="J236" s="39"/>
      <c r="K236" s="49" t="s">
        <v>375</v>
      </c>
      <c r="L236" s="314" t="s">
        <v>1542</v>
      </c>
      <c r="M236" s="15" t="s">
        <v>1527</v>
      </c>
      <c r="N236" s="20"/>
      <c r="O236" s="13" t="s">
        <v>544</v>
      </c>
      <c r="P236" s="13" t="s">
        <v>15</v>
      </c>
      <c r="Q236" s="22" t="s">
        <v>1118</v>
      </c>
      <c r="R236" s="314" t="s">
        <v>1542</v>
      </c>
      <c r="S236" s="22" t="s">
        <v>1613</v>
      </c>
      <c r="T236" s="13" t="s">
        <v>1387</v>
      </c>
      <c r="U236" s="13" t="s">
        <v>479</v>
      </c>
      <c r="V236" s="24">
        <v>1791815378001</v>
      </c>
      <c r="W236" s="13" t="s">
        <v>570</v>
      </c>
      <c r="X236" s="13" t="s">
        <v>570</v>
      </c>
      <c r="Y236" s="104" t="s">
        <v>1872</v>
      </c>
      <c r="Z236" s="178"/>
      <c r="AA236" s="179"/>
      <c r="AB236" s="29">
        <v>29495</v>
      </c>
      <c r="AC236" s="29">
        <v>0</v>
      </c>
      <c r="AD236" s="29">
        <v>29495</v>
      </c>
      <c r="AE236" s="29">
        <v>0</v>
      </c>
      <c r="AF236" s="29">
        <v>26545.5</v>
      </c>
      <c r="AG236" s="25">
        <v>0.12</v>
      </c>
      <c r="AH236" s="29">
        <f t="shared" si="101"/>
        <v>3539.4</v>
      </c>
      <c r="AI236" s="29">
        <f t="shared" si="102"/>
        <v>0</v>
      </c>
      <c r="AJ236" s="29">
        <f t="shared" si="103"/>
        <v>29730.960000000003</v>
      </c>
      <c r="AK236" s="29"/>
      <c r="AL236" s="29"/>
      <c r="AM236" s="29"/>
      <c r="AN236" s="179"/>
      <c r="AO236" s="179"/>
      <c r="AP236" s="179"/>
      <c r="AQ236" s="179">
        <v>26545.5</v>
      </c>
      <c r="AR236" s="25">
        <v>0.12</v>
      </c>
      <c r="AS236" s="29">
        <f>AQ236*AR236</f>
        <v>3185.46</v>
      </c>
      <c r="AT236" s="179">
        <f>AQ236+AS236</f>
        <v>29730.959999999999</v>
      </c>
      <c r="AU236" s="179"/>
      <c r="AV236" s="179"/>
      <c r="AW236" s="179"/>
      <c r="AX236" s="179"/>
      <c r="AY236" s="179"/>
      <c r="AZ236" s="179"/>
      <c r="BA236" s="179"/>
      <c r="BB236" s="179"/>
      <c r="BC236" s="179"/>
      <c r="BD236" s="179"/>
      <c r="BE236" s="179"/>
      <c r="BF236" s="179"/>
      <c r="BG236" s="29"/>
      <c r="BH236" s="179"/>
      <c r="BI236" s="29"/>
      <c r="BJ236" s="29" t="s">
        <v>570</v>
      </c>
      <c r="BK236" s="29" t="s">
        <v>570</v>
      </c>
      <c r="BL236" s="29" t="s">
        <v>570</v>
      </c>
      <c r="BM236" s="29" t="s">
        <v>570</v>
      </c>
      <c r="BN236" s="104"/>
      <c r="BO236" s="104"/>
      <c r="BP236" s="104"/>
      <c r="BQ236" s="104"/>
      <c r="BR236" s="104"/>
      <c r="BS236" s="104"/>
      <c r="BT236" s="181">
        <v>43628</v>
      </c>
      <c r="BU236" s="13" t="s">
        <v>570</v>
      </c>
      <c r="BV236" s="13" t="s">
        <v>570</v>
      </c>
      <c r="BW236" s="224"/>
      <c r="BX236" s="181">
        <v>43628</v>
      </c>
      <c r="BY236" s="13" t="s">
        <v>570</v>
      </c>
      <c r="BZ236" s="13" t="s">
        <v>570</v>
      </c>
      <c r="CA236" s="23">
        <v>42779</v>
      </c>
      <c r="CB236" s="23" t="s">
        <v>570</v>
      </c>
      <c r="CC236" s="224" t="s">
        <v>570</v>
      </c>
      <c r="CD236" s="224" t="s">
        <v>570</v>
      </c>
      <c r="CE236" s="224" t="s">
        <v>570</v>
      </c>
      <c r="CF236" s="104"/>
      <c r="CG236" s="104"/>
      <c r="CH236" s="104"/>
      <c r="CI236" s="104"/>
      <c r="CJ236" s="104"/>
      <c r="CK236" s="104"/>
      <c r="CL236" s="104"/>
      <c r="CM236" s="104"/>
      <c r="CN236" s="104"/>
      <c r="CO236" s="104"/>
      <c r="CP236" s="104"/>
      <c r="CQ236" s="104"/>
      <c r="CR236" s="104"/>
      <c r="CS236" s="224" t="s">
        <v>570</v>
      </c>
      <c r="CT236" s="224" t="s">
        <v>570</v>
      </c>
      <c r="CU236" s="224" t="s">
        <v>570</v>
      </c>
      <c r="CV236" s="23"/>
      <c r="CW236" s="30"/>
      <c r="CX236" s="104"/>
      <c r="CY236" s="104"/>
      <c r="CZ236" s="104"/>
      <c r="DA236" s="104"/>
      <c r="DB236" s="104"/>
      <c r="DC236" s="104"/>
      <c r="DD236" s="104"/>
      <c r="DE236" s="104"/>
      <c r="DF236" s="104"/>
      <c r="DG236" s="104"/>
      <c r="DH236" s="104"/>
      <c r="DI236" s="104"/>
      <c r="DJ236" s="104"/>
      <c r="DK236" s="104"/>
      <c r="DL236" s="104"/>
      <c r="DM236" s="104"/>
      <c r="DN236" s="104"/>
      <c r="DO236" s="104"/>
      <c r="DP236" s="104"/>
      <c r="DQ236" s="104"/>
      <c r="DR236" s="104"/>
      <c r="DS236" s="104"/>
      <c r="DT236" s="104"/>
      <c r="DU236" s="104"/>
      <c r="DV236" s="104"/>
      <c r="DW236" s="104"/>
      <c r="DX236" s="104"/>
      <c r="DY236" s="31"/>
      <c r="DZ236" s="104"/>
      <c r="EA236" s="104"/>
      <c r="EB236" s="104"/>
      <c r="EC236" s="104"/>
      <c r="ED236" s="104"/>
      <c r="EE236" s="104"/>
      <c r="EF236" s="104"/>
      <c r="EG236" s="104"/>
      <c r="EH236" s="104"/>
      <c r="EI236" s="104"/>
      <c r="EJ236" s="104"/>
      <c r="EK236" s="104"/>
      <c r="EL236" s="104"/>
      <c r="EM236" s="104"/>
      <c r="EN236" s="104"/>
      <c r="EO236" s="104"/>
      <c r="EP236" s="104"/>
      <c r="EQ236" s="104"/>
      <c r="ER236" s="104"/>
      <c r="ES236" s="104"/>
      <c r="ET236" s="104"/>
      <c r="EU236" s="104"/>
      <c r="EV236" s="104"/>
      <c r="EW236" s="104"/>
      <c r="EX236" s="104"/>
      <c r="EY236" s="104"/>
      <c r="EZ236" s="104"/>
      <c r="FA236" s="104"/>
      <c r="FB236" s="104"/>
      <c r="FC236" s="104"/>
      <c r="FD236" s="104"/>
      <c r="FE236" s="104"/>
      <c r="FF236" s="104"/>
      <c r="FG236" s="104"/>
      <c r="FH236" s="104"/>
      <c r="FI236" s="104"/>
      <c r="FJ236" s="104"/>
      <c r="FK236" s="104"/>
      <c r="FL236" s="104"/>
      <c r="FM236" s="104"/>
      <c r="FN236" s="104"/>
      <c r="FO236" s="104"/>
      <c r="FP236" s="104"/>
      <c r="FQ236" s="104"/>
      <c r="FR236" s="104"/>
      <c r="FS236" s="104"/>
      <c r="FT236" s="104"/>
      <c r="FU236" s="104"/>
      <c r="FV236" s="36"/>
      <c r="FW236" s="36"/>
      <c r="FX236" s="36"/>
      <c r="FY236" s="36"/>
      <c r="FZ236" s="36"/>
      <c r="GA236" s="36"/>
      <c r="GB236" s="36"/>
      <c r="GC236" s="25"/>
      <c r="GD236" s="25"/>
      <c r="GE236" s="25"/>
      <c r="GF236" s="25"/>
      <c r="GG236" s="25"/>
      <c r="GH236" s="25"/>
      <c r="GI236" s="25"/>
      <c r="GJ236" s="25"/>
      <c r="GK236" s="25"/>
      <c r="GL236" s="25"/>
      <c r="GM236" s="25"/>
      <c r="GN236" s="25"/>
      <c r="GO236" s="25">
        <v>0</v>
      </c>
      <c r="GP236" s="25">
        <v>0</v>
      </c>
      <c r="GQ236" s="25">
        <v>0</v>
      </c>
      <c r="GR236" s="25">
        <v>0</v>
      </c>
      <c r="GS236" s="25">
        <v>0</v>
      </c>
      <c r="GT236" s="25">
        <v>0</v>
      </c>
      <c r="GU236" s="25">
        <v>0</v>
      </c>
      <c r="GV236" s="25" t="s">
        <v>1588</v>
      </c>
      <c r="GW236" s="25" t="s">
        <v>1588</v>
      </c>
      <c r="GX236" s="25" t="s">
        <v>1588</v>
      </c>
      <c r="GY236" s="25" t="s">
        <v>1588</v>
      </c>
      <c r="GZ236" s="25" t="s">
        <v>1588</v>
      </c>
      <c r="HA236" s="25" t="s">
        <v>1588</v>
      </c>
      <c r="HB236" s="25" t="s">
        <v>1588</v>
      </c>
      <c r="HC236" s="25" t="s">
        <v>1588</v>
      </c>
      <c r="HD236" s="25" t="s">
        <v>1588</v>
      </c>
      <c r="HE236" s="25" t="s">
        <v>1588</v>
      </c>
      <c r="HF236" s="25" t="s">
        <v>1588</v>
      </c>
      <c r="HG236" s="25" t="s">
        <v>1588</v>
      </c>
      <c r="HH236" s="25" t="s">
        <v>1588</v>
      </c>
      <c r="HI236" s="25" t="s">
        <v>1873</v>
      </c>
      <c r="HJ236" s="25"/>
      <c r="HK236" s="25"/>
      <c r="HL236" s="25"/>
      <c r="HM236" s="84" t="s">
        <v>1750</v>
      </c>
      <c r="HN236" s="84"/>
      <c r="HO236" s="84"/>
      <c r="HP236" s="84"/>
      <c r="HQ236" s="84"/>
      <c r="HR236" s="84"/>
      <c r="HS236" s="84"/>
      <c r="HT236" s="84"/>
      <c r="HU236" s="182" t="s">
        <v>1813</v>
      </c>
      <c r="HV236" s="104"/>
      <c r="HW236" s="180"/>
      <c r="HX236" s="244"/>
      <c r="HY236" s="244"/>
      <c r="HZ236" s="244"/>
      <c r="IA236" s="252"/>
      <c r="IB236" s="252"/>
      <c r="IC236" s="252"/>
      <c r="ID236" s="252"/>
      <c r="IE236" s="252"/>
      <c r="IF236" s="107">
        <v>12344</v>
      </c>
      <c r="IG236" s="107"/>
      <c r="IH236" s="250">
        <f t="shared" si="104"/>
        <v>0</v>
      </c>
      <c r="II236" s="252"/>
      <c r="IJ236" s="252"/>
      <c r="IK236" s="252"/>
      <c r="IL236" s="252"/>
      <c r="IM236" s="252"/>
      <c r="IN236" s="252"/>
      <c r="IO236" s="252"/>
      <c r="IP236" s="252"/>
      <c r="IQ236" s="252"/>
      <c r="IR236" s="252"/>
      <c r="IS236" s="252"/>
      <c r="IT236" s="252"/>
      <c r="IU236" s="252"/>
      <c r="IV236" s="252"/>
      <c r="IW236" s="252"/>
      <c r="IX236" s="252"/>
      <c r="IY236" s="252"/>
      <c r="IZ236" s="252"/>
      <c r="JA236" s="252"/>
      <c r="JB236" s="252"/>
      <c r="JC236" s="252"/>
      <c r="JD236" s="252"/>
    </row>
    <row r="237" spans="1:264" s="371" customFormat="1" ht="24.95" customHeight="1">
      <c r="A237" s="326" t="s">
        <v>1811</v>
      </c>
      <c r="B237" s="326" t="s">
        <v>716</v>
      </c>
      <c r="C237" s="26" t="s">
        <v>362</v>
      </c>
      <c r="D237" s="26" t="s">
        <v>362</v>
      </c>
      <c r="E237" s="26" t="s">
        <v>362</v>
      </c>
      <c r="F237" s="26" t="s">
        <v>363</v>
      </c>
      <c r="G237" s="39" t="s">
        <v>354</v>
      </c>
      <c r="H237" s="39" t="s">
        <v>1582</v>
      </c>
      <c r="I237" s="39"/>
      <c r="J237" s="39"/>
      <c r="K237" s="49" t="s">
        <v>375</v>
      </c>
      <c r="L237" s="364" t="s">
        <v>1543</v>
      </c>
      <c r="M237" s="365" t="s">
        <v>2112</v>
      </c>
      <c r="N237" s="332"/>
      <c r="O237" s="307" t="s">
        <v>544</v>
      </c>
      <c r="P237" s="307" t="s">
        <v>15</v>
      </c>
      <c r="Q237" s="333" t="s">
        <v>547</v>
      </c>
      <c r="R237" s="183"/>
      <c r="S237" s="104"/>
      <c r="T237" s="104"/>
      <c r="U237" s="104"/>
      <c r="V237" s="104"/>
      <c r="W237" s="13" t="s">
        <v>570</v>
      </c>
      <c r="X237" s="13" t="s">
        <v>570</v>
      </c>
      <c r="Y237" s="104"/>
      <c r="Z237" s="178"/>
      <c r="AA237" s="179"/>
      <c r="AB237" s="335">
        <v>16500</v>
      </c>
      <c r="AC237" s="335">
        <v>0</v>
      </c>
      <c r="AD237" s="335">
        <f>AB237</f>
        <v>16500</v>
      </c>
      <c r="AE237" s="335">
        <v>0</v>
      </c>
      <c r="AF237" s="335">
        <f t="shared" si="100"/>
        <v>16500</v>
      </c>
      <c r="AG237" s="308">
        <v>0.12</v>
      </c>
      <c r="AH237" s="335">
        <f t="shared" si="101"/>
        <v>1980</v>
      </c>
      <c r="AI237" s="335">
        <f t="shared" si="102"/>
        <v>0</v>
      </c>
      <c r="AJ237" s="335">
        <f t="shared" si="103"/>
        <v>18480</v>
      </c>
      <c r="AK237" s="335"/>
      <c r="AL237" s="335"/>
      <c r="AM237" s="29"/>
      <c r="AN237" s="179"/>
      <c r="AO237" s="179"/>
      <c r="AP237" s="179"/>
      <c r="AQ237" s="179"/>
      <c r="AR237" s="25"/>
      <c r="AS237" s="25"/>
      <c r="AT237" s="179"/>
      <c r="AU237" s="179"/>
      <c r="AV237" s="179"/>
      <c r="AW237" s="179"/>
      <c r="AX237" s="179"/>
      <c r="AY237" s="179"/>
      <c r="AZ237" s="179"/>
      <c r="BA237" s="179"/>
      <c r="BB237" s="179"/>
      <c r="BC237" s="179"/>
      <c r="BD237" s="179"/>
      <c r="BE237" s="179"/>
      <c r="BF237" s="179"/>
      <c r="BG237" s="29"/>
      <c r="BH237" s="179"/>
      <c r="BI237" s="29"/>
      <c r="BJ237" s="29" t="s">
        <v>570</v>
      </c>
      <c r="BK237" s="29" t="s">
        <v>570</v>
      </c>
      <c r="BL237" s="29" t="s">
        <v>570</v>
      </c>
      <c r="BM237" s="29" t="s">
        <v>570</v>
      </c>
      <c r="BN237" s="104"/>
      <c r="BO237" s="104"/>
      <c r="BP237" s="104"/>
      <c r="BQ237" s="104"/>
      <c r="BR237" s="104"/>
      <c r="BS237" s="104"/>
      <c r="BT237" s="104"/>
      <c r="BU237" s="13" t="s">
        <v>570</v>
      </c>
      <c r="BV237" s="13" t="s">
        <v>570</v>
      </c>
      <c r="BW237" s="224"/>
      <c r="BX237" s="104"/>
      <c r="BY237" s="104"/>
      <c r="BZ237" s="104"/>
      <c r="CA237" s="104"/>
      <c r="CB237" s="224"/>
      <c r="CC237" s="224"/>
      <c r="CD237" s="224"/>
      <c r="CE237" s="104"/>
      <c r="CF237" s="104"/>
      <c r="CG237" s="104"/>
      <c r="CH237" s="104"/>
      <c r="CI237" s="104"/>
      <c r="CJ237" s="104"/>
      <c r="CK237" s="104"/>
      <c r="CL237" s="104"/>
      <c r="CM237" s="104"/>
      <c r="CN237" s="104"/>
      <c r="CO237" s="104"/>
      <c r="CP237" s="104"/>
      <c r="CQ237" s="104"/>
      <c r="CR237" s="104"/>
      <c r="CS237" s="104"/>
      <c r="CT237" s="179"/>
      <c r="CU237" s="179"/>
      <c r="CV237" s="23"/>
      <c r="CW237" s="30"/>
      <c r="CX237" s="104"/>
      <c r="CY237" s="104"/>
      <c r="CZ237" s="104"/>
      <c r="DA237" s="104"/>
      <c r="DB237" s="104"/>
      <c r="DC237" s="104"/>
      <c r="DD237" s="104"/>
      <c r="DE237" s="104"/>
      <c r="DF237" s="104"/>
      <c r="DG237" s="104"/>
      <c r="DH237" s="104"/>
      <c r="DI237" s="104"/>
      <c r="DJ237" s="104"/>
      <c r="DK237" s="104"/>
      <c r="DL237" s="104"/>
      <c r="DM237" s="104"/>
      <c r="DN237" s="104"/>
      <c r="DO237" s="104"/>
      <c r="DP237" s="104"/>
      <c r="DQ237" s="104"/>
      <c r="DR237" s="104"/>
      <c r="DS237" s="104"/>
      <c r="DT237" s="104"/>
      <c r="DU237" s="104"/>
      <c r="DV237" s="104"/>
      <c r="DW237" s="104"/>
      <c r="DX237" s="104"/>
      <c r="DY237" s="31"/>
      <c r="DZ237" s="104"/>
      <c r="EA237" s="104"/>
      <c r="EB237" s="104"/>
      <c r="EC237" s="104"/>
      <c r="ED237" s="104"/>
      <c r="EE237" s="104"/>
      <c r="EF237" s="104"/>
      <c r="EG237" s="104"/>
      <c r="EH237" s="104"/>
      <c r="EI237" s="104"/>
      <c r="EJ237" s="104"/>
      <c r="EK237" s="104"/>
      <c r="EL237" s="104"/>
      <c r="EM237" s="104"/>
      <c r="EN237" s="104"/>
      <c r="EO237" s="104"/>
      <c r="EP237" s="104"/>
      <c r="EQ237" s="104"/>
      <c r="ER237" s="104"/>
      <c r="ES237" s="104"/>
      <c r="ET237" s="104"/>
      <c r="EU237" s="104"/>
      <c r="EV237" s="104"/>
      <c r="EW237" s="104"/>
      <c r="EX237" s="104"/>
      <c r="EY237" s="104"/>
      <c r="EZ237" s="104"/>
      <c r="FA237" s="104"/>
      <c r="FB237" s="104"/>
      <c r="FC237" s="104"/>
      <c r="FD237" s="104"/>
      <c r="FE237" s="104"/>
      <c r="FF237" s="104"/>
      <c r="FG237" s="104"/>
      <c r="FH237" s="104"/>
      <c r="FI237" s="104"/>
      <c r="FJ237" s="104"/>
      <c r="FK237" s="104"/>
      <c r="FL237" s="104"/>
      <c r="FM237" s="104"/>
      <c r="FN237" s="104"/>
      <c r="FO237" s="104"/>
      <c r="FP237" s="104"/>
      <c r="FQ237" s="104"/>
      <c r="FR237" s="104"/>
      <c r="FS237" s="104"/>
      <c r="FT237" s="104"/>
      <c r="FU237" s="104"/>
      <c r="FV237" s="36"/>
      <c r="FW237" s="36"/>
      <c r="FX237" s="36"/>
      <c r="FY237" s="36"/>
      <c r="FZ237" s="36"/>
      <c r="GA237" s="36"/>
      <c r="GB237" s="36"/>
      <c r="GC237" s="25"/>
      <c r="GD237" s="25"/>
      <c r="GE237" s="25"/>
      <c r="GF237" s="25"/>
      <c r="GG237" s="25"/>
      <c r="GH237" s="25"/>
      <c r="GI237" s="25"/>
      <c r="GJ237" s="25"/>
      <c r="GK237" s="25"/>
      <c r="GL237" s="25"/>
      <c r="GM237" s="25"/>
      <c r="GN237" s="25"/>
      <c r="GO237" s="25"/>
      <c r="GP237" s="25"/>
      <c r="GQ237" s="25"/>
      <c r="GR237" s="25"/>
      <c r="GS237" s="25"/>
      <c r="GT237" s="308">
        <v>0</v>
      </c>
      <c r="GU237" s="308">
        <v>0</v>
      </c>
      <c r="GV237" s="25" t="s">
        <v>1588</v>
      </c>
      <c r="GW237" s="25" t="s">
        <v>1588</v>
      </c>
      <c r="GX237" s="25" t="s">
        <v>1588</v>
      </c>
      <c r="GY237" s="25" t="s">
        <v>1588</v>
      </c>
      <c r="GZ237" s="25" t="s">
        <v>1588</v>
      </c>
      <c r="HA237" s="25" t="s">
        <v>1588</v>
      </c>
      <c r="HB237" s="25" t="s">
        <v>1588</v>
      </c>
      <c r="HC237" s="25" t="s">
        <v>1588</v>
      </c>
      <c r="HD237" s="25" t="s">
        <v>1588</v>
      </c>
      <c r="HE237" s="25" t="s">
        <v>1588</v>
      </c>
      <c r="HF237" s="25" t="s">
        <v>1588</v>
      </c>
      <c r="HG237" s="308" t="s">
        <v>1588</v>
      </c>
      <c r="HH237" s="308" t="s">
        <v>1588</v>
      </c>
      <c r="HI237" s="25"/>
      <c r="HJ237" s="25"/>
      <c r="HK237" s="25"/>
      <c r="HL237" s="25"/>
      <c r="HM237" s="84" t="s">
        <v>1750</v>
      </c>
      <c r="HN237" s="84"/>
      <c r="HO237" s="84"/>
      <c r="HP237" s="84"/>
      <c r="HQ237" s="84"/>
      <c r="HR237" s="84"/>
      <c r="HS237" s="366"/>
      <c r="HT237" s="366"/>
      <c r="HU237" s="367"/>
      <c r="HV237" s="367"/>
      <c r="HW237" s="368"/>
      <c r="HX237" s="369"/>
      <c r="HY237" s="369"/>
      <c r="HZ237" s="369"/>
      <c r="IA237" s="370"/>
      <c r="IB237" s="370"/>
      <c r="IC237" s="370"/>
      <c r="ID237" s="370"/>
      <c r="IE237" s="370"/>
      <c r="IF237" s="107">
        <v>12344</v>
      </c>
      <c r="IG237" s="107"/>
      <c r="IH237" s="312">
        <f t="shared" si="104"/>
        <v>0</v>
      </c>
      <c r="II237" s="370"/>
      <c r="IJ237" s="370"/>
      <c r="IK237" s="370"/>
      <c r="IL237" s="370"/>
      <c r="IM237" s="370"/>
      <c r="IN237" s="370"/>
      <c r="IO237" s="370"/>
      <c r="IP237" s="370"/>
      <c r="IQ237" s="370"/>
      <c r="IR237" s="370"/>
      <c r="IS237" s="370"/>
      <c r="IT237" s="370"/>
      <c r="IU237" s="370"/>
      <c r="IV237" s="370"/>
      <c r="IW237" s="370"/>
      <c r="IX237" s="370"/>
      <c r="IY237" s="252"/>
      <c r="IZ237" s="252"/>
      <c r="JA237" s="252"/>
      <c r="JB237" s="252"/>
      <c r="JC237" s="252"/>
      <c r="JD237" s="370"/>
    </row>
    <row r="238" spans="1:264" s="9" customFormat="1" ht="24.95" customHeight="1">
      <c r="A238" s="398" t="s">
        <v>1811</v>
      </c>
      <c r="B238" s="398" t="s">
        <v>716</v>
      </c>
      <c r="C238" s="26" t="s">
        <v>362</v>
      </c>
      <c r="D238" s="26" t="s">
        <v>362</v>
      </c>
      <c r="E238" s="26" t="s">
        <v>362</v>
      </c>
      <c r="F238" s="26" t="s">
        <v>363</v>
      </c>
      <c r="G238" s="39" t="s">
        <v>354</v>
      </c>
      <c r="H238" s="39" t="s">
        <v>1582</v>
      </c>
      <c r="I238" s="39"/>
      <c r="J238" s="39"/>
      <c r="K238" s="49" t="s">
        <v>375</v>
      </c>
      <c r="L238" s="399" t="s">
        <v>2113</v>
      </c>
      <c r="M238" s="400" t="s">
        <v>2114</v>
      </c>
      <c r="N238" s="401"/>
      <c r="O238" s="402" t="s">
        <v>544</v>
      </c>
      <c r="P238" s="402" t="s">
        <v>15</v>
      </c>
      <c r="Q238" s="403" t="s">
        <v>547</v>
      </c>
      <c r="R238" s="183"/>
      <c r="S238" s="104"/>
      <c r="T238" s="104"/>
      <c r="U238" s="104"/>
      <c r="V238" s="104"/>
      <c r="W238" s="13" t="s">
        <v>570</v>
      </c>
      <c r="X238" s="13" t="s">
        <v>570</v>
      </c>
      <c r="Y238" s="104"/>
      <c r="Z238" s="178"/>
      <c r="AA238" s="179"/>
      <c r="AB238" s="404">
        <v>23693</v>
      </c>
      <c r="AC238" s="404"/>
      <c r="AD238" s="404">
        <f>AB238</f>
        <v>23693</v>
      </c>
      <c r="AE238" s="404"/>
      <c r="AF238" s="404">
        <f t="shared" si="100"/>
        <v>23693</v>
      </c>
      <c r="AG238" s="405">
        <v>0.12</v>
      </c>
      <c r="AH238" s="404">
        <f t="shared" si="101"/>
        <v>2843.16</v>
      </c>
      <c r="AI238" s="404">
        <f t="shared" si="102"/>
        <v>0</v>
      </c>
      <c r="AJ238" s="404">
        <f t="shared" si="103"/>
        <v>26536.160000000003</v>
      </c>
      <c r="AK238" s="404"/>
      <c r="AL238" s="404"/>
      <c r="AM238" s="29"/>
      <c r="AN238" s="179"/>
      <c r="AO238" s="179"/>
      <c r="AP238" s="179"/>
      <c r="AQ238" s="179"/>
      <c r="AR238" s="25"/>
      <c r="AS238" s="25"/>
      <c r="AT238" s="179"/>
      <c r="AU238" s="179"/>
      <c r="AV238" s="179"/>
      <c r="AW238" s="179"/>
      <c r="AX238" s="179"/>
      <c r="AY238" s="179"/>
      <c r="AZ238" s="179"/>
      <c r="BA238" s="179"/>
      <c r="BB238" s="179"/>
      <c r="BC238" s="179"/>
      <c r="BD238" s="179"/>
      <c r="BE238" s="179"/>
      <c r="BF238" s="179"/>
      <c r="BG238" s="29"/>
      <c r="BH238" s="179"/>
      <c r="BI238" s="29"/>
      <c r="BJ238" s="29"/>
      <c r="BK238" s="29"/>
      <c r="BL238" s="29"/>
      <c r="BM238" s="29"/>
      <c r="BN238" s="104"/>
      <c r="BO238" s="104"/>
      <c r="BP238" s="104"/>
      <c r="BQ238" s="104"/>
      <c r="BR238" s="104"/>
      <c r="BS238" s="104"/>
      <c r="BT238" s="104"/>
      <c r="BU238" s="13"/>
      <c r="BV238" s="13"/>
      <c r="BW238" s="224"/>
      <c r="BX238" s="104"/>
      <c r="BY238" s="104"/>
      <c r="BZ238" s="104"/>
      <c r="CA238" s="104"/>
      <c r="CB238" s="224"/>
      <c r="CC238" s="224"/>
      <c r="CD238" s="224"/>
      <c r="CE238" s="104"/>
      <c r="CF238" s="104"/>
      <c r="CG238" s="104"/>
      <c r="CH238" s="104"/>
      <c r="CI238" s="104"/>
      <c r="CJ238" s="104"/>
      <c r="CK238" s="104"/>
      <c r="CL238" s="104"/>
      <c r="CM238" s="104"/>
      <c r="CN238" s="104"/>
      <c r="CO238" s="104"/>
      <c r="CP238" s="104"/>
      <c r="CQ238" s="104"/>
      <c r="CR238" s="104"/>
      <c r="CS238" s="104"/>
      <c r="CT238" s="179"/>
      <c r="CU238" s="179"/>
      <c r="CV238" s="23"/>
      <c r="CW238" s="30"/>
      <c r="CX238" s="104"/>
      <c r="CY238" s="104"/>
      <c r="CZ238" s="104"/>
      <c r="DA238" s="104"/>
      <c r="DB238" s="104"/>
      <c r="DC238" s="104"/>
      <c r="DD238" s="104"/>
      <c r="DE238" s="104"/>
      <c r="DF238" s="104"/>
      <c r="DG238" s="104"/>
      <c r="DH238" s="104"/>
      <c r="DI238" s="104"/>
      <c r="DJ238" s="104"/>
      <c r="DK238" s="104"/>
      <c r="DL238" s="104"/>
      <c r="DM238" s="104"/>
      <c r="DN238" s="104"/>
      <c r="DO238" s="104"/>
      <c r="DP238" s="104"/>
      <c r="DQ238" s="104"/>
      <c r="DR238" s="104"/>
      <c r="DS238" s="104"/>
      <c r="DT238" s="104"/>
      <c r="DU238" s="104"/>
      <c r="DV238" s="104"/>
      <c r="DW238" s="104"/>
      <c r="DX238" s="104"/>
      <c r="DY238" s="31"/>
      <c r="DZ238" s="104"/>
      <c r="EA238" s="104"/>
      <c r="EB238" s="104"/>
      <c r="EC238" s="104"/>
      <c r="ED238" s="104"/>
      <c r="EE238" s="104"/>
      <c r="EF238" s="104"/>
      <c r="EG238" s="104"/>
      <c r="EH238" s="104"/>
      <c r="EI238" s="104"/>
      <c r="EJ238" s="104"/>
      <c r="EK238" s="104"/>
      <c r="EL238" s="104"/>
      <c r="EM238" s="104"/>
      <c r="EN238" s="104"/>
      <c r="EO238" s="104"/>
      <c r="EP238" s="104"/>
      <c r="EQ238" s="104"/>
      <c r="ER238" s="104"/>
      <c r="ES238" s="104"/>
      <c r="ET238" s="104"/>
      <c r="EU238" s="104"/>
      <c r="EV238" s="104"/>
      <c r="EW238" s="104"/>
      <c r="EX238" s="104"/>
      <c r="EY238" s="104"/>
      <c r="EZ238" s="104"/>
      <c r="FA238" s="104"/>
      <c r="FB238" s="104"/>
      <c r="FC238" s="104"/>
      <c r="FD238" s="104"/>
      <c r="FE238" s="104"/>
      <c r="FF238" s="104"/>
      <c r="FG238" s="104"/>
      <c r="FH238" s="104"/>
      <c r="FI238" s="104"/>
      <c r="FJ238" s="104"/>
      <c r="FK238" s="104"/>
      <c r="FL238" s="104"/>
      <c r="FM238" s="104"/>
      <c r="FN238" s="104"/>
      <c r="FO238" s="104"/>
      <c r="FP238" s="104"/>
      <c r="FQ238" s="104"/>
      <c r="FR238" s="104"/>
      <c r="FS238" s="104"/>
      <c r="FT238" s="104"/>
      <c r="FU238" s="104"/>
      <c r="FV238" s="36"/>
      <c r="FW238" s="36"/>
      <c r="FX238" s="36"/>
      <c r="FY238" s="36"/>
      <c r="FZ238" s="36"/>
      <c r="GA238" s="36"/>
      <c r="GB238" s="36"/>
      <c r="GC238" s="25"/>
      <c r="GD238" s="25"/>
      <c r="GE238" s="25"/>
      <c r="GF238" s="25"/>
      <c r="GG238" s="25"/>
      <c r="GH238" s="25"/>
      <c r="GI238" s="25"/>
      <c r="GJ238" s="25"/>
      <c r="GK238" s="25"/>
      <c r="GL238" s="25"/>
      <c r="GM238" s="25"/>
      <c r="GN238" s="25"/>
      <c r="GO238" s="25"/>
      <c r="GP238" s="25"/>
      <c r="GQ238" s="25"/>
      <c r="GR238" s="25"/>
      <c r="GS238" s="25"/>
      <c r="GT238" s="405">
        <v>0</v>
      </c>
      <c r="GU238" s="405">
        <v>0</v>
      </c>
      <c r="GV238" s="25"/>
      <c r="GW238" s="25"/>
      <c r="GX238" s="25"/>
      <c r="GY238" s="25"/>
      <c r="GZ238" s="25"/>
      <c r="HA238" s="25"/>
      <c r="HB238" s="25"/>
      <c r="HC238" s="25"/>
      <c r="HD238" s="25"/>
      <c r="HE238" s="25"/>
      <c r="HF238" s="25"/>
      <c r="HG238" s="405" t="s">
        <v>1588</v>
      </c>
      <c r="HH238" s="405" t="s">
        <v>1588</v>
      </c>
      <c r="HI238" s="25"/>
      <c r="HJ238" s="25"/>
      <c r="HK238" s="25"/>
      <c r="HL238" s="25"/>
      <c r="HM238" s="84"/>
      <c r="HN238" s="84"/>
      <c r="HO238" s="84"/>
      <c r="HP238" s="84"/>
      <c r="HQ238" s="84"/>
      <c r="HR238" s="84"/>
      <c r="HS238" s="406"/>
      <c r="HT238" s="406"/>
      <c r="HU238" s="407"/>
      <c r="HV238" s="407"/>
      <c r="HW238" s="408"/>
      <c r="HX238" s="409"/>
      <c r="HY238" s="409"/>
      <c r="HZ238" s="409"/>
      <c r="IA238" s="410"/>
      <c r="IB238" s="410"/>
      <c r="IC238" s="410"/>
      <c r="ID238" s="410"/>
      <c r="IE238" s="410"/>
      <c r="IF238" s="107"/>
      <c r="IG238" s="107"/>
      <c r="IH238" s="411"/>
      <c r="II238" s="410"/>
      <c r="IJ238" s="410"/>
      <c r="IK238" s="410"/>
      <c r="IL238" s="410"/>
      <c r="IM238" s="410"/>
      <c r="IN238" s="410"/>
      <c r="IO238" s="410"/>
      <c r="IP238" s="410"/>
      <c r="IQ238" s="410"/>
      <c r="IR238" s="410"/>
      <c r="IS238" s="410"/>
      <c r="IT238" s="410"/>
      <c r="IU238" s="410"/>
      <c r="IV238" s="410"/>
      <c r="IW238" s="410"/>
      <c r="IX238" s="410"/>
      <c r="IY238" s="252"/>
      <c r="IZ238" s="252"/>
      <c r="JA238" s="252"/>
      <c r="JB238" s="252"/>
      <c r="JC238" s="252"/>
      <c r="JD238" s="410"/>
    </row>
    <row r="239" spans="1:264" s="5" customFormat="1" ht="24.95" hidden="1" customHeight="1">
      <c r="A239" s="26" t="s">
        <v>26</v>
      </c>
      <c r="B239" s="26" t="s">
        <v>203</v>
      </c>
      <c r="C239" s="13" t="s">
        <v>349</v>
      </c>
      <c r="D239" s="13" t="s">
        <v>380</v>
      </c>
      <c r="E239" s="13" t="s">
        <v>350</v>
      </c>
      <c r="F239" s="13" t="s">
        <v>356</v>
      </c>
      <c r="G239" s="49" t="s">
        <v>351</v>
      </c>
      <c r="H239" s="13" t="s">
        <v>1557</v>
      </c>
      <c r="I239" s="313" t="s">
        <v>29</v>
      </c>
      <c r="J239" s="50">
        <v>1</v>
      </c>
      <c r="K239" s="49" t="s">
        <v>375</v>
      </c>
      <c r="L239" s="314" t="s">
        <v>444</v>
      </c>
      <c r="M239" s="15" t="s">
        <v>446</v>
      </c>
      <c r="N239" s="20"/>
      <c r="O239" s="13" t="s">
        <v>206</v>
      </c>
      <c r="P239" s="13" t="s">
        <v>4</v>
      </c>
      <c r="Q239" s="22" t="s">
        <v>364</v>
      </c>
      <c r="R239" s="314" t="s">
        <v>444</v>
      </c>
      <c r="S239" s="13" t="s">
        <v>1388</v>
      </c>
      <c r="T239" s="13" t="s">
        <v>1387</v>
      </c>
      <c r="U239" s="13" t="s">
        <v>477</v>
      </c>
      <c r="V239" s="24">
        <v>1700807728001</v>
      </c>
      <c r="W239" s="13" t="s">
        <v>570</v>
      </c>
      <c r="X239" s="13" t="s">
        <v>570</v>
      </c>
      <c r="Y239" s="13"/>
      <c r="Z239" s="13"/>
      <c r="AA239" s="179"/>
      <c r="AB239" s="29">
        <v>49500</v>
      </c>
      <c r="AC239" s="29">
        <v>0</v>
      </c>
      <c r="AD239" s="29">
        <v>49500</v>
      </c>
      <c r="AE239" s="29">
        <v>0</v>
      </c>
      <c r="AF239" s="29">
        <f t="shared" si="100"/>
        <v>49500</v>
      </c>
      <c r="AG239" s="25">
        <v>0.12</v>
      </c>
      <c r="AH239" s="29">
        <f t="shared" si="101"/>
        <v>5940</v>
      </c>
      <c r="AI239" s="29">
        <f t="shared" si="102"/>
        <v>0</v>
      </c>
      <c r="AJ239" s="29">
        <f t="shared" si="103"/>
        <v>55440.000000000007</v>
      </c>
      <c r="AK239" s="29"/>
      <c r="AL239" s="29"/>
      <c r="AM239" s="29"/>
      <c r="AN239" s="29"/>
      <c r="AO239" s="29">
        <v>49500</v>
      </c>
      <c r="AP239" s="29"/>
      <c r="AQ239" s="29">
        <v>49000</v>
      </c>
      <c r="AR239" s="25">
        <v>0.14000000000000001</v>
      </c>
      <c r="AS239" s="29">
        <f>AQ239*0.14</f>
        <v>6860.0000000000009</v>
      </c>
      <c r="AT239" s="29">
        <f>AQ239*1.14</f>
        <v>55859.999999999993</v>
      </c>
      <c r="AU239" s="29"/>
      <c r="AV239" s="29"/>
      <c r="AW239" s="29"/>
      <c r="AX239" s="29"/>
      <c r="AY239" s="29"/>
      <c r="AZ239" s="29"/>
      <c r="BA239" s="29"/>
      <c r="BB239" s="29"/>
      <c r="BC239" s="29"/>
      <c r="BD239" s="29"/>
      <c r="BE239" s="29"/>
      <c r="BF239" s="29">
        <f t="shared" ref="BF239:BF247" si="112">AB239-AQ239</f>
        <v>500</v>
      </c>
      <c r="BG239" s="29">
        <f t="shared" ref="BG239:BG247" si="113">BF239-AW239-AZ239-BC239-BE239</f>
        <v>500</v>
      </c>
      <c r="BH239" s="29"/>
      <c r="BI239" s="23" t="s">
        <v>570</v>
      </c>
      <c r="BJ239" s="23" t="s">
        <v>570</v>
      </c>
      <c r="BK239" s="23">
        <v>42779</v>
      </c>
      <c r="BL239" s="23">
        <v>42783</v>
      </c>
      <c r="BM239" s="23"/>
      <c r="BN239" s="13"/>
      <c r="BO239" s="13"/>
      <c r="BP239" s="13"/>
      <c r="BQ239" s="13"/>
      <c r="BR239" s="13"/>
      <c r="BS239" s="13"/>
      <c r="BT239" s="23">
        <v>42845</v>
      </c>
      <c r="BU239" s="13"/>
      <c r="BV239" s="13"/>
      <c r="BW239" s="13" t="s">
        <v>570</v>
      </c>
      <c r="BX239" s="23">
        <v>42870</v>
      </c>
      <c r="BY239" s="13"/>
      <c r="BZ239" s="13" t="s">
        <v>503</v>
      </c>
      <c r="CA239" s="23">
        <v>42894</v>
      </c>
      <c r="CB239" s="224" t="s">
        <v>570</v>
      </c>
      <c r="CC239" s="224" t="s">
        <v>570</v>
      </c>
      <c r="CD239" s="224" t="s">
        <v>570</v>
      </c>
      <c r="CE239" s="13"/>
      <c r="CF239" s="13"/>
      <c r="CG239" s="13"/>
      <c r="CH239" s="13"/>
      <c r="CI239" s="13"/>
      <c r="CJ239" s="13"/>
      <c r="CK239" s="13"/>
      <c r="CL239" s="13"/>
      <c r="CM239" s="13"/>
      <c r="CN239" s="13"/>
      <c r="CO239" s="13"/>
      <c r="CP239" s="13"/>
      <c r="CQ239" s="13"/>
      <c r="CR239" s="13"/>
      <c r="CS239" s="29" t="s">
        <v>570</v>
      </c>
      <c r="CT239" s="29" t="s">
        <v>570</v>
      </c>
      <c r="CU239" s="29" t="s">
        <v>570</v>
      </c>
      <c r="CV239" s="23"/>
      <c r="CW239" s="30"/>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31">
        <f t="shared" ref="DY239:DY247" si="114">CW239+CZ239+DC239+DF239+DI239+DL239+DO239+DR239+DU239+DX239</f>
        <v>0</v>
      </c>
      <c r="DZ239" s="13"/>
      <c r="EA239" s="13"/>
      <c r="EB239" s="13"/>
      <c r="EC239" s="13"/>
      <c r="ED239" s="13"/>
      <c r="EE239" s="13"/>
      <c r="EF239" s="13"/>
      <c r="EG239" s="13">
        <v>420</v>
      </c>
      <c r="EH239" s="13" t="s">
        <v>548</v>
      </c>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25">
        <v>0</v>
      </c>
      <c r="FY239" s="25">
        <v>0</v>
      </c>
      <c r="FZ239" s="25">
        <v>0.3</v>
      </c>
      <c r="GA239" s="25">
        <v>0.59</v>
      </c>
      <c r="GB239" s="25">
        <v>0.66</v>
      </c>
      <c r="GC239" s="25">
        <v>0.75</v>
      </c>
      <c r="GD239" s="157">
        <v>0.94</v>
      </c>
      <c r="GE239" s="157">
        <v>0.94</v>
      </c>
      <c r="GF239" s="157">
        <v>0.94</v>
      </c>
      <c r="GG239" s="157">
        <v>0.94</v>
      </c>
      <c r="GH239" s="157">
        <v>0.98</v>
      </c>
      <c r="GI239" s="157">
        <v>0.98</v>
      </c>
      <c r="GJ239" s="157">
        <v>0.98</v>
      </c>
      <c r="GK239" s="157">
        <v>0.98</v>
      </c>
      <c r="GL239" s="157">
        <v>0.98</v>
      </c>
      <c r="GM239" s="157">
        <v>0.98</v>
      </c>
      <c r="GN239" s="157">
        <v>0.98</v>
      </c>
      <c r="GO239" s="157">
        <v>1</v>
      </c>
      <c r="GP239" s="157">
        <v>1</v>
      </c>
      <c r="GQ239" s="157">
        <v>1</v>
      </c>
      <c r="GR239" s="157">
        <v>1</v>
      </c>
      <c r="GS239" s="157">
        <v>1</v>
      </c>
      <c r="GT239" s="157">
        <v>1</v>
      </c>
      <c r="GU239" s="157">
        <v>1</v>
      </c>
      <c r="GV239" s="25" t="s">
        <v>1588</v>
      </c>
      <c r="GW239" s="25" t="s">
        <v>1588</v>
      </c>
      <c r="GX239" s="25" t="s">
        <v>1588</v>
      </c>
      <c r="GY239" s="25" t="s">
        <v>1588</v>
      </c>
      <c r="GZ239" s="25" t="s">
        <v>1588</v>
      </c>
      <c r="HA239" s="25" t="s">
        <v>1588</v>
      </c>
      <c r="HB239" s="25" t="s">
        <v>1588</v>
      </c>
      <c r="HC239" s="25" t="s">
        <v>1588</v>
      </c>
      <c r="HD239" s="25" t="s">
        <v>1588</v>
      </c>
      <c r="HE239" s="25" t="s">
        <v>1588</v>
      </c>
      <c r="HF239" s="25" t="s">
        <v>1588</v>
      </c>
      <c r="HG239" s="25" t="s">
        <v>1588</v>
      </c>
      <c r="HH239" s="25" t="s">
        <v>1588</v>
      </c>
      <c r="HI239" s="158" t="s">
        <v>1632</v>
      </c>
      <c r="HJ239" s="25"/>
      <c r="HK239" s="25"/>
      <c r="HL239" s="25"/>
      <c r="HM239" s="84"/>
      <c r="HN239" s="84"/>
      <c r="HO239" s="25" t="s">
        <v>1838</v>
      </c>
      <c r="HP239" s="25"/>
      <c r="HQ239" s="25"/>
      <c r="HR239" s="25"/>
      <c r="HS239" s="25"/>
      <c r="HT239" s="25"/>
      <c r="HU239" s="16" t="s">
        <v>568</v>
      </c>
      <c r="HV239" s="16"/>
      <c r="HW239" s="13" t="s">
        <v>1202</v>
      </c>
      <c r="HX239" s="55"/>
      <c r="HY239" s="55"/>
      <c r="HZ239" s="55"/>
      <c r="IA239" s="55"/>
      <c r="IB239" s="55"/>
      <c r="IC239" s="55"/>
      <c r="ID239" s="55"/>
      <c r="IE239" s="55"/>
      <c r="IF239" s="107">
        <v>49500</v>
      </c>
      <c r="IG239" s="107"/>
      <c r="IH239" s="250">
        <f t="shared" si="104"/>
        <v>0</v>
      </c>
      <c r="II239" s="55"/>
      <c r="IJ239" s="55"/>
      <c r="IK239" s="55"/>
      <c r="IL239" s="55"/>
      <c r="IM239" s="55"/>
      <c r="IN239" s="55"/>
      <c r="IO239" s="55"/>
      <c r="IP239" s="55"/>
      <c r="IQ239" s="55"/>
      <c r="IR239" s="55"/>
      <c r="IS239" s="55"/>
      <c r="IT239" s="55"/>
      <c r="IU239" s="55"/>
      <c r="IV239" s="55"/>
      <c r="IW239" s="55"/>
      <c r="IX239" s="55"/>
      <c r="IY239" s="55"/>
      <c r="IZ239" s="55"/>
      <c r="JA239" s="55"/>
      <c r="JB239" s="55"/>
      <c r="JC239" s="55"/>
      <c r="JD239" s="55">
        <v>2019</v>
      </c>
    </row>
    <row r="240" spans="1:264" s="5" customFormat="1" ht="24.95" hidden="1" customHeight="1">
      <c r="A240" s="26" t="s">
        <v>26</v>
      </c>
      <c r="B240" s="26" t="s">
        <v>203</v>
      </c>
      <c r="C240" s="13" t="s">
        <v>349</v>
      </c>
      <c r="D240" s="13" t="s">
        <v>380</v>
      </c>
      <c r="E240" s="13" t="s">
        <v>350</v>
      </c>
      <c r="F240" s="13" t="s">
        <v>356</v>
      </c>
      <c r="G240" s="49" t="s">
        <v>351</v>
      </c>
      <c r="H240" s="13" t="s">
        <v>1557</v>
      </c>
      <c r="I240" s="313" t="s">
        <v>29</v>
      </c>
      <c r="J240" s="50">
        <v>1</v>
      </c>
      <c r="K240" s="49" t="s">
        <v>375</v>
      </c>
      <c r="L240" s="314" t="s">
        <v>445</v>
      </c>
      <c r="M240" s="15" t="s">
        <v>447</v>
      </c>
      <c r="N240" s="20"/>
      <c r="O240" s="13" t="s">
        <v>206</v>
      </c>
      <c r="P240" s="13" t="s">
        <v>4</v>
      </c>
      <c r="Q240" s="22" t="s">
        <v>364</v>
      </c>
      <c r="R240" s="314" t="s">
        <v>445</v>
      </c>
      <c r="S240" s="13" t="s">
        <v>1389</v>
      </c>
      <c r="T240" s="13" t="s">
        <v>1387</v>
      </c>
      <c r="U240" s="13" t="s">
        <v>477</v>
      </c>
      <c r="V240" s="13" t="s">
        <v>1390</v>
      </c>
      <c r="W240" s="13" t="s">
        <v>570</v>
      </c>
      <c r="X240" s="13" t="s">
        <v>570</v>
      </c>
      <c r="Y240" s="13"/>
      <c r="Z240" s="13"/>
      <c r="AA240" s="29"/>
      <c r="AB240" s="29">
        <v>49500</v>
      </c>
      <c r="AC240" s="29">
        <v>0</v>
      </c>
      <c r="AD240" s="29">
        <v>49500</v>
      </c>
      <c r="AE240" s="29">
        <v>0</v>
      </c>
      <c r="AF240" s="29">
        <f t="shared" si="100"/>
        <v>49500</v>
      </c>
      <c r="AG240" s="25">
        <v>0.12</v>
      </c>
      <c r="AH240" s="29">
        <f t="shared" si="101"/>
        <v>5940</v>
      </c>
      <c r="AI240" s="29">
        <f t="shared" si="102"/>
        <v>0</v>
      </c>
      <c r="AJ240" s="29">
        <f t="shared" si="103"/>
        <v>55440.000000000007</v>
      </c>
      <c r="AK240" s="29"/>
      <c r="AL240" s="29"/>
      <c r="AM240" s="29"/>
      <c r="AN240" s="29"/>
      <c r="AO240" s="29">
        <v>49500</v>
      </c>
      <c r="AP240" s="29"/>
      <c r="AQ240" s="29">
        <v>49500</v>
      </c>
      <c r="AR240" s="25">
        <v>0.14000000000000001</v>
      </c>
      <c r="AS240" s="29">
        <f>AQ240*0.14</f>
        <v>6930.0000000000009</v>
      </c>
      <c r="AT240" s="29">
        <f>AQ240*1.14</f>
        <v>56429.999999999993</v>
      </c>
      <c r="AU240" s="29"/>
      <c r="AV240" s="29"/>
      <c r="AW240" s="29"/>
      <c r="AX240" s="29"/>
      <c r="AY240" s="29"/>
      <c r="AZ240" s="29"/>
      <c r="BA240" s="29"/>
      <c r="BB240" s="29"/>
      <c r="BC240" s="29"/>
      <c r="BD240" s="29"/>
      <c r="BE240" s="29"/>
      <c r="BF240" s="29">
        <f t="shared" si="112"/>
        <v>0</v>
      </c>
      <c r="BG240" s="29">
        <f t="shared" si="113"/>
        <v>0</v>
      </c>
      <c r="BH240" s="29"/>
      <c r="BI240" s="23" t="s">
        <v>570</v>
      </c>
      <c r="BJ240" s="23" t="s">
        <v>570</v>
      </c>
      <c r="BK240" s="23">
        <v>42779</v>
      </c>
      <c r="BL240" s="23">
        <v>42783</v>
      </c>
      <c r="BM240" s="23"/>
      <c r="BN240" s="13"/>
      <c r="BO240" s="13"/>
      <c r="BP240" s="13"/>
      <c r="BQ240" s="13"/>
      <c r="BR240" s="13"/>
      <c r="BS240" s="13"/>
      <c r="BT240" s="23">
        <v>42845</v>
      </c>
      <c r="BU240" s="13"/>
      <c r="BV240" s="13"/>
      <c r="BW240" s="13" t="s">
        <v>570</v>
      </c>
      <c r="BX240" s="23">
        <v>42870</v>
      </c>
      <c r="BY240" s="13"/>
      <c r="BZ240" s="13" t="s">
        <v>503</v>
      </c>
      <c r="CA240" s="23">
        <v>42874</v>
      </c>
      <c r="CB240" s="224" t="s">
        <v>570</v>
      </c>
      <c r="CC240" s="224" t="s">
        <v>570</v>
      </c>
      <c r="CD240" s="224" t="s">
        <v>570</v>
      </c>
      <c r="CE240" s="13"/>
      <c r="CF240" s="13"/>
      <c r="CG240" s="13"/>
      <c r="CH240" s="13"/>
      <c r="CI240" s="13"/>
      <c r="CJ240" s="13"/>
      <c r="CK240" s="13"/>
      <c r="CL240" s="13"/>
      <c r="CM240" s="13"/>
      <c r="CN240" s="13"/>
      <c r="CO240" s="13"/>
      <c r="CP240" s="13"/>
      <c r="CQ240" s="13"/>
      <c r="CR240" s="13"/>
      <c r="CS240" s="29" t="s">
        <v>570</v>
      </c>
      <c r="CT240" s="29" t="s">
        <v>570</v>
      </c>
      <c r="CU240" s="29" t="s">
        <v>570</v>
      </c>
      <c r="CV240" s="23"/>
      <c r="CW240" s="30"/>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31">
        <f t="shared" si="114"/>
        <v>0</v>
      </c>
      <c r="DZ240" s="13"/>
      <c r="EA240" s="13"/>
      <c r="EB240" s="13"/>
      <c r="EC240" s="13"/>
      <c r="ED240" s="13"/>
      <c r="EE240" s="13"/>
      <c r="EF240" s="13"/>
      <c r="EG240" s="13">
        <v>420</v>
      </c>
      <c r="EH240" s="13" t="s">
        <v>548</v>
      </c>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25">
        <v>0</v>
      </c>
      <c r="FY240" s="25">
        <v>0</v>
      </c>
      <c r="FZ240" s="25">
        <v>0.3</v>
      </c>
      <c r="GA240" s="25">
        <v>0.59</v>
      </c>
      <c r="GB240" s="25">
        <v>0.66</v>
      </c>
      <c r="GC240" s="25">
        <v>0.75</v>
      </c>
      <c r="GD240" s="157">
        <v>0.94</v>
      </c>
      <c r="GE240" s="157">
        <v>0.94</v>
      </c>
      <c r="GF240" s="157">
        <v>0.94</v>
      </c>
      <c r="GG240" s="157">
        <v>0.94</v>
      </c>
      <c r="GH240" s="157">
        <v>0.98</v>
      </c>
      <c r="GI240" s="157">
        <v>0.98</v>
      </c>
      <c r="GJ240" s="157">
        <v>0.98</v>
      </c>
      <c r="GK240" s="157">
        <v>0.98</v>
      </c>
      <c r="GL240" s="157">
        <v>0.98</v>
      </c>
      <c r="GM240" s="157">
        <v>0.98</v>
      </c>
      <c r="GN240" s="157">
        <v>0.98</v>
      </c>
      <c r="GO240" s="157">
        <v>1</v>
      </c>
      <c r="GP240" s="157">
        <v>1</v>
      </c>
      <c r="GQ240" s="157">
        <v>1</v>
      </c>
      <c r="GR240" s="157">
        <v>1</v>
      </c>
      <c r="GS240" s="157">
        <v>1</v>
      </c>
      <c r="GT240" s="157">
        <v>1</v>
      </c>
      <c r="GU240" s="157">
        <v>1</v>
      </c>
      <c r="GV240" s="25" t="s">
        <v>1588</v>
      </c>
      <c r="GW240" s="25" t="s">
        <v>1588</v>
      </c>
      <c r="GX240" s="25" t="s">
        <v>1588</v>
      </c>
      <c r="GY240" s="25" t="s">
        <v>1588</v>
      </c>
      <c r="GZ240" s="25" t="s">
        <v>1588</v>
      </c>
      <c r="HA240" s="25" t="s">
        <v>1588</v>
      </c>
      <c r="HB240" s="25" t="s">
        <v>1588</v>
      </c>
      <c r="HC240" s="25" t="s">
        <v>1588</v>
      </c>
      <c r="HD240" s="25" t="s">
        <v>1588</v>
      </c>
      <c r="HE240" s="25" t="s">
        <v>1588</v>
      </c>
      <c r="HF240" s="25" t="s">
        <v>1588</v>
      </c>
      <c r="HG240" s="25" t="s">
        <v>1588</v>
      </c>
      <c r="HH240" s="25" t="s">
        <v>1588</v>
      </c>
      <c r="HI240" s="158" t="s">
        <v>1632</v>
      </c>
      <c r="HJ240" s="25"/>
      <c r="HK240" s="25"/>
      <c r="HL240" s="25"/>
      <c r="HM240" s="84"/>
      <c r="HN240" s="84"/>
      <c r="HO240" s="25" t="s">
        <v>1838</v>
      </c>
      <c r="HP240" s="25"/>
      <c r="HQ240" s="25"/>
      <c r="HR240" s="25"/>
      <c r="HS240" s="25"/>
      <c r="HT240" s="25"/>
      <c r="HU240" s="16" t="s">
        <v>568</v>
      </c>
      <c r="HV240" s="16"/>
      <c r="HW240" s="13" t="s">
        <v>1202</v>
      </c>
      <c r="HX240" s="55"/>
      <c r="HY240" s="55"/>
      <c r="HZ240" s="55"/>
      <c r="IA240" s="55"/>
      <c r="IB240" s="55"/>
      <c r="IC240" s="55"/>
      <c r="ID240" s="55"/>
      <c r="IE240" s="55"/>
      <c r="IF240" s="107">
        <v>49500</v>
      </c>
      <c r="IG240" s="107"/>
      <c r="IH240" s="250">
        <f t="shared" si="104"/>
        <v>0</v>
      </c>
      <c r="II240" s="55"/>
      <c r="IJ240" s="55"/>
      <c r="IK240" s="55"/>
      <c r="IL240" s="55"/>
      <c r="IM240" s="55"/>
      <c r="IN240" s="55"/>
      <c r="IO240" s="55"/>
      <c r="IP240" s="55"/>
      <c r="IQ240" s="55"/>
      <c r="IR240" s="55"/>
      <c r="IS240" s="55"/>
      <c r="IT240" s="55"/>
      <c r="IU240" s="55"/>
      <c r="IV240" s="55"/>
      <c r="IW240" s="55"/>
      <c r="IX240" s="55"/>
      <c r="IY240" s="55"/>
      <c r="IZ240" s="55"/>
      <c r="JA240" s="55"/>
      <c r="JB240" s="55"/>
      <c r="JC240" s="55"/>
      <c r="JD240" s="55">
        <v>2019</v>
      </c>
    </row>
    <row r="241" spans="1:265" s="5" customFormat="1" ht="20.100000000000001" hidden="1" customHeight="1">
      <c r="A241" s="26" t="s">
        <v>0</v>
      </c>
      <c r="B241" s="26" t="s">
        <v>203</v>
      </c>
      <c r="C241" s="13" t="s">
        <v>349</v>
      </c>
      <c r="D241" s="13" t="s">
        <v>380</v>
      </c>
      <c r="E241" s="16" t="s">
        <v>350</v>
      </c>
      <c r="F241" s="13" t="s">
        <v>356</v>
      </c>
      <c r="G241" s="39" t="s">
        <v>351</v>
      </c>
      <c r="H241" s="13" t="s">
        <v>1558</v>
      </c>
      <c r="I241" s="313" t="s">
        <v>33</v>
      </c>
      <c r="J241" s="40">
        <v>2</v>
      </c>
      <c r="K241" s="49" t="s">
        <v>375</v>
      </c>
      <c r="L241" s="314" t="s">
        <v>204</v>
      </c>
      <c r="M241" s="14" t="s">
        <v>205</v>
      </c>
      <c r="N241" s="20"/>
      <c r="O241" s="13" t="s">
        <v>206</v>
      </c>
      <c r="P241" s="13" t="s">
        <v>4</v>
      </c>
      <c r="Q241" s="22" t="s">
        <v>1118</v>
      </c>
      <c r="R241" s="314" t="s">
        <v>204</v>
      </c>
      <c r="S241" s="13" t="s">
        <v>387</v>
      </c>
      <c r="T241" s="13" t="s">
        <v>1387</v>
      </c>
      <c r="U241" s="13" t="s">
        <v>477</v>
      </c>
      <c r="V241" s="13" t="s">
        <v>736</v>
      </c>
      <c r="W241" s="13" t="s">
        <v>570</v>
      </c>
      <c r="X241" s="13" t="s">
        <v>570</v>
      </c>
      <c r="Y241" s="13" t="s">
        <v>742</v>
      </c>
      <c r="Z241" s="13"/>
      <c r="AA241" s="29"/>
      <c r="AB241" s="29">
        <v>50000</v>
      </c>
      <c r="AC241" s="29">
        <v>0</v>
      </c>
      <c r="AD241" s="29">
        <v>50000</v>
      </c>
      <c r="AE241" s="29">
        <v>0</v>
      </c>
      <c r="AF241" s="29">
        <f t="shared" si="100"/>
        <v>50000</v>
      </c>
      <c r="AG241" s="25">
        <v>0.12</v>
      </c>
      <c r="AH241" s="29">
        <f t="shared" si="101"/>
        <v>6000</v>
      </c>
      <c r="AI241" s="29">
        <f t="shared" si="102"/>
        <v>0</v>
      </c>
      <c r="AJ241" s="29">
        <f t="shared" si="103"/>
        <v>56000.000000000007</v>
      </c>
      <c r="AK241" s="29">
        <v>50000</v>
      </c>
      <c r="AL241" s="29">
        <f t="shared" ref="AL241:AL247" si="115">AB241-AK241</f>
        <v>0</v>
      </c>
      <c r="AM241" s="126"/>
      <c r="AN241" s="29"/>
      <c r="AO241" s="29">
        <v>50000</v>
      </c>
      <c r="AP241" s="29"/>
      <c r="AQ241" s="29">
        <v>50000</v>
      </c>
      <c r="AR241" s="29"/>
      <c r="AS241" s="29"/>
      <c r="AT241" s="29"/>
      <c r="AU241" s="29"/>
      <c r="AV241" s="29"/>
      <c r="AW241" s="29"/>
      <c r="AX241" s="29"/>
      <c r="AY241" s="29"/>
      <c r="AZ241" s="29"/>
      <c r="BA241" s="29"/>
      <c r="BB241" s="29"/>
      <c r="BC241" s="29"/>
      <c r="BD241" s="29"/>
      <c r="BE241" s="29"/>
      <c r="BF241" s="29">
        <f t="shared" si="112"/>
        <v>0</v>
      </c>
      <c r="BG241" s="29">
        <f t="shared" si="113"/>
        <v>0</v>
      </c>
      <c r="BH241" s="29"/>
      <c r="BI241" s="23" t="s">
        <v>570</v>
      </c>
      <c r="BJ241" s="23" t="s">
        <v>570</v>
      </c>
      <c r="BK241" s="23"/>
      <c r="BL241" s="23"/>
      <c r="BM241" s="23"/>
      <c r="BN241" s="13"/>
      <c r="BO241" s="13"/>
      <c r="BP241" s="13"/>
      <c r="BQ241" s="13"/>
      <c r="BR241" s="13"/>
      <c r="BS241" s="13"/>
      <c r="BT241" s="13"/>
      <c r="BU241" s="13"/>
      <c r="BV241" s="13"/>
      <c r="BW241" s="13" t="s">
        <v>570</v>
      </c>
      <c r="BX241" s="13"/>
      <c r="BY241" s="13"/>
      <c r="BZ241" s="13"/>
      <c r="CA241" s="23">
        <v>42369</v>
      </c>
      <c r="CB241" s="224" t="s">
        <v>570</v>
      </c>
      <c r="CC241" s="224" t="s">
        <v>570</v>
      </c>
      <c r="CD241" s="224" t="s">
        <v>570</v>
      </c>
      <c r="CE241" s="23"/>
      <c r="CF241" s="23"/>
      <c r="CG241" s="23"/>
      <c r="CH241" s="23"/>
      <c r="CI241" s="23"/>
      <c r="CJ241" s="23"/>
      <c r="CK241" s="23"/>
      <c r="CL241" s="23"/>
      <c r="CM241" s="23"/>
      <c r="CN241" s="23"/>
      <c r="CO241" s="23"/>
      <c r="CP241" s="23"/>
      <c r="CQ241" s="23"/>
      <c r="CR241" s="23"/>
      <c r="CS241" s="29" t="s">
        <v>570</v>
      </c>
      <c r="CT241" s="29" t="s">
        <v>570</v>
      </c>
      <c r="CU241" s="29" t="s">
        <v>570</v>
      </c>
      <c r="CV241" s="23" t="s">
        <v>570</v>
      </c>
      <c r="CW241" s="30"/>
      <c r="CX241" s="184" t="s">
        <v>1407</v>
      </c>
      <c r="CY241" s="185">
        <v>42801</v>
      </c>
      <c r="CZ241" s="186">
        <v>8333.33</v>
      </c>
      <c r="DA241" s="184" t="s">
        <v>1408</v>
      </c>
      <c r="DB241" s="185">
        <v>42865</v>
      </c>
      <c r="DC241" s="186">
        <v>8333.33</v>
      </c>
      <c r="DD241" s="134" t="s">
        <v>1409</v>
      </c>
      <c r="DE241" s="185">
        <v>42864</v>
      </c>
      <c r="DF241" s="186">
        <v>6316.66</v>
      </c>
      <c r="DG241" s="13"/>
      <c r="DH241" s="13"/>
      <c r="DI241" s="13"/>
      <c r="DJ241" s="13"/>
      <c r="DK241" s="13"/>
      <c r="DL241" s="13"/>
      <c r="DM241" s="13"/>
      <c r="DN241" s="13"/>
      <c r="DO241" s="13"/>
      <c r="DP241" s="13"/>
      <c r="DQ241" s="13"/>
      <c r="DR241" s="13"/>
      <c r="DS241" s="13"/>
      <c r="DT241" s="13"/>
      <c r="DU241" s="13"/>
      <c r="DV241" s="13"/>
      <c r="DW241" s="13"/>
      <c r="DX241" s="13"/>
      <c r="DY241" s="31">
        <f t="shared" si="114"/>
        <v>22983.32</v>
      </c>
      <c r="DZ241" s="13"/>
      <c r="EA241" s="13"/>
      <c r="EB241" s="13"/>
      <c r="EC241" s="13"/>
      <c r="ED241" s="13"/>
      <c r="EE241" s="13"/>
      <c r="EF241" s="13"/>
      <c r="EG241" s="13">
        <v>365</v>
      </c>
      <c r="EH241" s="13" t="s">
        <v>548</v>
      </c>
      <c r="EI241" s="13" t="s">
        <v>503</v>
      </c>
      <c r="EJ241" s="13" t="s">
        <v>503</v>
      </c>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25">
        <v>0.05</v>
      </c>
      <c r="FT241" s="25">
        <v>0.1</v>
      </c>
      <c r="FU241" s="25">
        <v>0.15</v>
      </c>
      <c r="FV241" s="25">
        <v>0.15</v>
      </c>
      <c r="FW241" s="25">
        <v>0.15</v>
      </c>
      <c r="FX241" s="25">
        <v>0.15</v>
      </c>
      <c r="FY241" s="25">
        <v>0.75</v>
      </c>
      <c r="FZ241" s="25">
        <v>0.75</v>
      </c>
      <c r="GA241" s="25">
        <v>1</v>
      </c>
      <c r="GB241" s="25">
        <v>1</v>
      </c>
      <c r="GC241" s="25">
        <v>1</v>
      </c>
      <c r="GD241" s="25">
        <v>1</v>
      </c>
      <c r="GE241" s="25">
        <v>1</v>
      </c>
      <c r="GF241" s="25">
        <v>1</v>
      </c>
      <c r="GG241" s="25">
        <v>1</v>
      </c>
      <c r="GH241" s="25">
        <v>1</v>
      </c>
      <c r="GI241" s="25">
        <v>1</v>
      </c>
      <c r="GJ241" s="25">
        <v>1</v>
      </c>
      <c r="GK241" s="25">
        <v>1</v>
      </c>
      <c r="GL241" s="25">
        <v>1</v>
      </c>
      <c r="GM241" s="25">
        <v>1</v>
      </c>
      <c r="GN241" s="25">
        <v>1</v>
      </c>
      <c r="GO241" s="25">
        <v>1</v>
      </c>
      <c r="GP241" s="25">
        <v>1</v>
      </c>
      <c r="GQ241" s="25">
        <v>1</v>
      </c>
      <c r="GR241" s="25">
        <v>1</v>
      </c>
      <c r="GS241" s="25">
        <v>1</v>
      </c>
      <c r="GT241" s="25">
        <v>1</v>
      </c>
      <c r="GU241" s="25">
        <v>1</v>
      </c>
      <c r="GV241" s="25" t="s">
        <v>452</v>
      </c>
      <c r="GW241" s="25" t="s">
        <v>452</v>
      </c>
      <c r="GX241" s="25" t="s">
        <v>452</v>
      </c>
      <c r="GY241" s="25" t="s">
        <v>452</v>
      </c>
      <c r="GZ241" s="25" t="s">
        <v>452</v>
      </c>
      <c r="HA241" s="25" t="s">
        <v>452</v>
      </c>
      <c r="HB241" s="25" t="s">
        <v>452</v>
      </c>
      <c r="HC241" s="25" t="s">
        <v>452</v>
      </c>
      <c r="HD241" s="25" t="s">
        <v>452</v>
      </c>
      <c r="HE241" s="25" t="s">
        <v>452</v>
      </c>
      <c r="HF241" s="25" t="s">
        <v>452</v>
      </c>
      <c r="HG241" s="25" t="s">
        <v>452</v>
      </c>
      <c r="HH241" s="25" t="s">
        <v>452</v>
      </c>
      <c r="HI241" s="25"/>
      <c r="HJ241" s="25"/>
      <c r="HK241" s="25"/>
      <c r="HL241" s="25"/>
      <c r="HM241" s="84"/>
      <c r="HN241" s="84"/>
      <c r="HO241" s="84"/>
      <c r="HP241" s="84"/>
      <c r="HQ241" s="84"/>
      <c r="HR241" s="84"/>
      <c r="HS241" s="84"/>
      <c r="HT241" s="84"/>
      <c r="HU241" s="13"/>
      <c r="HV241" s="13"/>
      <c r="HW241" s="32"/>
      <c r="HX241" s="55"/>
      <c r="HY241" s="55"/>
      <c r="HZ241" s="55"/>
      <c r="IA241" s="55"/>
      <c r="IB241" s="55"/>
      <c r="IC241" s="55"/>
      <c r="ID241" s="55"/>
      <c r="IE241" s="55"/>
      <c r="IF241" s="107">
        <v>50000</v>
      </c>
      <c r="IG241" s="107">
        <v>50000</v>
      </c>
      <c r="IH241" s="250">
        <f t="shared" si="104"/>
        <v>0</v>
      </c>
      <c r="II241" s="55"/>
      <c r="IJ241" s="55"/>
      <c r="IK241" s="55"/>
      <c r="IL241" s="55"/>
      <c r="IM241" s="55"/>
      <c r="IN241" s="55"/>
      <c r="IO241" s="55"/>
      <c r="IP241" s="55"/>
      <c r="IQ241" s="55"/>
      <c r="IR241" s="55"/>
      <c r="IS241" s="55"/>
      <c r="IT241" s="55"/>
      <c r="IU241" s="55"/>
      <c r="IV241" s="55"/>
      <c r="IW241" s="55"/>
      <c r="IX241" s="55"/>
      <c r="IY241" s="55"/>
      <c r="IZ241" s="55"/>
      <c r="JA241" s="55"/>
      <c r="JB241" s="55"/>
      <c r="JC241" s="55"/>
      <c r="JD241" s="55">
        <v>2017</v>
      </c>
    </row>
    <row r="242" spans="1:265" s="5" customFormat="1" ht="20.100000000000001" hidden="1" customHeight="1">
      <c r="A242" s="26" t="s">
        <v>0</v>
      </c>
      <c r="B242" s="26" t="s">
        <v>203</v>
      </c>
      <c r="C242" s="13" t="s">
        <v>349</v>
      </c>
      <c r="D242" s="13" t="s">
        <v>380</v>
      </c>
      <c r="E242" s="16" t="s">
        <v>350</v>
      </c>
      <c r="F242" s="13" t="s">
        <v>356</v>
      </c>
      <c r="G242" s="39" t="s">
        <v>351</v>
      </c>
      <c r="H242" s="13" t="s">
        <v>1558</v>
      </c>
      <c r="I242" s="313" t="s">
        <v>33</v>
      </c>
      <c r="J242" s="40">
        <v>2</v>
      </c>
      <c r="K242" s="49" t="s">
        <v>375</v>
      </c>
      <c r="L242" s="314" t="s">
        <v>207</v>
      </c>
      <c r="M242" s="14" t="s">
        <v>208</v>
      </c>
      <c r="N242" s="20"/>
      <c r="O242" s="13" t="s">
        <v>206</v>
      </c>
      <c r="P242" s="13" t="s">
        <v>4</v>
      </c>
      <c r="Q242" s="22" t="s">
        <v>1118</v>
      </c>
      <c r="R242" s="314" t="s">
        <v>207</v>
      </c>
      <c r="S242" s="13" t="s">
        <v>388</v>
      </c>
      <c r="T242" s="13" t="s">
        <v>1387</v>
      </c>
      <c r="U242" s="13" t="s">
        <v>477</v>
      </c>
      <c r="V242" s="13" t="s">
        <v>737</v>
      </c>
      <c r="W242" s="13" t="s">
        <v>570</v>
      </c>
      <c r="X242" s="13" t="s">
        <v>570</v>
      </c>
      <c r="Y242" s="13" t="s">
        <v>742</v>
      </c>
      <c r="Z242" s="13" t="s">
        <v>503</v>
      </c>
      <c r="AA242" s="29"/>
      <c r="AB242" s="29">
        <v>18950</v>
      </c>
      <c r="AC242" s="29">
        <v>0</v>
      </c>
      <c r="AD242" s="29">
        <v>18950</v>
      </c>
      <c r="AE242" s="29">
        <v>0</v>
      </c>
      <c r="AF242" s="29">
        <f t="shared" si="100"/>
        <v>18950</v>
      </c>
      <c r="AG242" s="25">
        <v>0.12</v>
      </c>
      <c r="AH242" s="29">
        <f t="shared" si="101"/>
        <v>2274</v>
      </c>
      <c r="AI242" s="29">
        <f t="shared" si="102"/>
        <v>0</v>
      </c>
      <c r="AJ242" s="29">
        <f t="shared" si="103"/>
        <v>21224.000000000004</v>
      </c>
      <c r="AK242" s="29">
        <v>18950</v>
      </c>
      <c r="AL242" s="29">
        <f t="shared" si="115"/>
        <v>0</v>
      </c>
      <c r="AM242" s="126"/>
      <c r="AN242" s="29"/>
      <c r="AO242" s="29">
        <v>18950</v>
      </c>
      <c r="AP242" s="29"/>
      <c r="AQ242" s="29">
        <v>18950</v>
      </c>
      <c r="AR242" s="29"/>
      <c r="AS242" s="29"/>
      <c r="AT242" s="29"/>
      <c r="AU242" s="29"/>
      <c r="AV242" s="29"/>
      <c r="AW242" s="29"/>
      <c r="AX242" s="29"/>
      <c r="AY242" s="29"/>
      <c r="AZ242" s="29"/>
      <c r="BA242" s="29"/>
      <c r="BB242" s="29"/>
      <c r="BC242" s="29"/>
      <c r="BD242" s="29"/>
      <c r="BE242" s="29"/>
      <c r="BF242" s="29">
        <f t="shared" si="112"/>
        <v>0</v>
      </c>
      <c r="BG242" s="29">
        <f t="shared" si="113"/>
        <v>0</v>
      </c>
      <c r="BH242" s="29"/>
      <c r="BI242" s="23" t="s">
        <v>570</v>
      </c>
      <c r="BJ242" s="23" t="s">
        <v>570</v>
      </c>
      <c r="BK242" s="23"/>
      <c r="BL242" s="23"/>
      <c r="BM242" s="23"/>
      <c r="BN242" s="13"/>
      <c r="BO242" s="13"/>
      <c r="BP242" s="13"/>
      <c r="BQ242" s="13"/>
      <c r="BR242" s="13"/>
      <c r="BS242" s="13"/>
      <c r="BT242" s="13"/>
      <c r="BU242" s="13"/>
      <c r="BV242" s="13"/>
      <c r="BW242" s="13" t="s">
        <v>570</v>
      </c>
      <c r="BX242" s="13"/>
      <c r="BY242" s="13"/>
      <c r="BZ242" s="13"/>
      <c r="CA242" s="23">
        <v>42377</v>
      </c>
      <c r="CB242" s="224" t="s">
        <v>570</v>
      </c>
      <c r="CC242" s="224" t="s">
        <v>570</v>
      </c>
      <c r="CD242" s="224" t="s">
        <v>570</v>
      </c>
      <c r="CE242" s="23"/>
      <c r="CF242" s="23"/>
      <c r="CG242" s="23"/>
      <c r="CH242" s="23"/>
      <c r="CI242" s="23"/>
      <c r="CJ242" s="23"/>
      <c r="CK242" s="23"/>
      <c r="CL242" s="23"/>
      <c r="CM242" s="23"/>
      <c r="CN242" s="23"/>
      <c r="CO242" s="23"/>
      <c r="CP242" s="23"/>
      <c r="CQ242" s="23"/>
      <c r="CR242" s="23"/>
      <c r="CS242" s="29" t="s">
        <v>570</v>
      </c>
      <c r="CT242" s="29" t="s">
        <v>570</v>
      </c>
      <c r="CU242" s="29" t="s">
        <v>570</v>
      </c>
      <c r="CV242" s="23" t="s">
        <v>570</v>
      </c>
      <c r="CW242" s="30"/>
      <c r="CX242" s="13"/>
      <c r="CY242" s="13"/>
      <c r="CZ242" s="13"/>
      <c r="DA242" s="13"/>
      <c r="DB242" s="13"/>
      <c r="DC242" s="37"/>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31">
        <f t="shared" si="114"/>
        <v>0</v>
      </c>
      <c r="DZ242" s="13"/>
      <c r="EA242" s="13"/>
      <c r="EB242" s="13"/>
      <c r="EC242" s="13"/>
      <c r="ED242" s="13"/>
      <c r="EE242" s="13"/>
      <c r="EF242" s="13"/>
      <c r="EG242" s="13">
        <v>365</v>
      </c>
      <c r="EH242" s="13" t="s">
        <v>548</v>
      </c>
      <c r="EI242" s="13" t="s">
        <v>503</v>
      </c>
      <c r="EJ242" s="13" t="s">
        <v>503</v>
      </c>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25">
        <v>0.05</v>
      </c>
      <c r="FT242" s="25">
        <v>0.1</v>
      </c>
      <c r="FU242" s="25">
        <v>0.15</v>
      </c>
      <c r="FV242" s="25">
        <v>0.15</v>
      </c>
      <c r="FW242" s="25">
        <v>0.15</v>
      </c>
      <c r="FX242" s="25">
        <v>0.15</v>
      </c>
      <c r="FY242" s="25">
        <v>0.75</v>
      </c>
      <c r="FZ242" s="25">
        <v>0.75</v>
      </c>
      <c r="GA242" s="25">
        <v>1</v>
      </c>
      <c r="GB242" s="25">
        <v>1</v>
      </c>
      <c r="GC242" s="25">
        <v>1</v>
      </c>
      <c r="GD242" s="25">
        <v>1</v>
      </c>
      <c r="GE242" s="25">
        <v>1</v>
      </c>
      <c r="GF242" s="25">
        <v>1</v>
      </c>
      <c r="GG242" s="25">
        <v>1</v>
      </c>
      <c r="GH242" s="25">
        <v>1</v>
      </c>
      <c r="GI242" s="25">
        <v>1</v>
      </c>
      <c r="GJ242" s="25">
        <v>1</v>
      </c>
      <c r="GK242" s="25">
        <v>1</v>
      </c>
      <c r="GL242" s="25">
        <v>1</v>
      </c>
      <c r="GM242" s="25">
        <v>1</v>
      </c>
      <c r="GN242" s="25">
        <v>1</v>
      </c>
      <c r="GO242" s="25">
        <v>1</v>
      </c>
      <c r="GP242" s="25">
        <v>1</v>
      </c>
      <c r="GQ242" s="25">
        <v>1</v>
      </c>
      <c r="GR242" s="25">
        <v>1</v>
      </c>
      <c r="GS242" s="25">
        <v>1</v>
      </c>
      <c r="GT242" s="25">
        <v>1</v>
      </c>
      <c r="GU242" s="25">
        <v>1</v>
      </c>
      <c r="GV242" s="25" t="s">
        <v>1588</v>
      </c>
      <c r="GW242" s="25" t="s">
        <v>1588</v>
      </c>
      <c r="GX242" s="25" t="s">
        <v>455</v>
      </c>
      <c r="GY242" s="25" t="s">
        <v>455</v>
      </c>
      <c r="GZ242" s="25" t="s">
        <v>455</v>
      </c>
      <c r="HA242" s="25" t="s">
        <v>455</v>
      </c>
      <c r="HB242" s="25" t="s">
        <v>455</v>
      </c>
      <c r="HC242" s="25" t="s">
        <v>455</v>
      </c>
      <c r="HD242" s="25" t="s">
        <v>455</v>
      </c>
      <c r="HE242" s="25" t="s">
        <v>455</v>
      </c>
      <c r="HF242" s="25" t="s">
        <v>455</v>
      </c>
      <c r="HG242" s="25" t="s">
        <v>455</v>
      </c>
      <c r="HH242" s="25" t="s">
        <v>455</v>
      </c>
      <c r="HI242" s="25"/>
      <c r="HJ242" s="25"/>
      <c r="HK242" s="25"/>
      <c r="HL242" s="25"/>
      <c r="HM242" s="84"/>
      <c r="HN242" s="84"/>
      <c r="HO242" s="84"/>
      <c r="HP242" s="84"/>
      <c r="HQ242" s="84"/>
      <c r="HR242" s="84"/>
      <c r="HS242" s="84"/>
      <c r="HT242" s="84"/>
      <c r="HU242" s="13"/>
      <c r="HV242" s="13"/>
      <c r="HW242" s="32"/>
      <c r="HX242" s="55"/>
      <c r="HY242" s="55"/>
      <c r="HZ242" s="55"/>
      <c r="IA242" s="55"/>
      <c r="IB242" s="55"/>
      <c r="IC242" s="55"/>
      <c r="ID242" s="55"/>
      <c r="IE242" s="55"/>
      <c r="IF242" s="107">
        <v>18950</v>
      </c>
      <c r="IG242" s="107">
        <v>18950</v>
      </c>
      <c r="IH242" s="250">
        <f t="shared" si="104"/>
        <v>0</v>
      </c>
      <c r="II242" s="55"/>
      <c r="IJ242" s="55"/>
      <c r="IK242" s="55"/>
      <c r="IL242" s="55"/>
      <c r="IM242" s="55"/>
      <c r="IN242" s="55"/>
      <c r="IO242" s="55"/>
      <c r="IP242" s="55"/>
      <c r="IQ242" s="55"/>
      <c r="IR242" s="55"/>
      <c r="IS242" s="55"/>
      <c r="IT242" s="55"/>
      <c r="IU242" s="55"/>
      <c r="IV242" s="55"/>
      <c r="IW242" s="55"/>
      <c r="IX242" s="55"/>
      <c r="IY242" s="55"/>
      <c r="IZ242" s="55"/>
      <c r="JA242" s="55"/>
      <c r="JB242" s="55"/>
      <c r="JC242" s="55"/>
      <c r="JD242" s="55">
        <v>2017</v>
      </c>
    </row>
    <row r="243" spans="1:265" s="5" customFormat="1" ht="24.95" hidden="1" customHeight="1">
      <c r="A243" s="26" t="s">
        <v>0</v>
      </c>
      <c r="B243" s="26" t="s">
        <v>203</v>
      </c>
      <c r="C243" s="13" t="s">
        <v>349</v>
      </c>
      <c r="D243" s="13" t="s">
        <v>382</v>
      </c>
      <c r="E243" s="16" t="s">
        <v>350</v>
      </c>
      <c r="F243" s="13" t="s">
        <v>356</v>
      </c>
      <c r="G243" s="187" t="s">
        <v>351</v>
      </c>
      <c r="H243" s="13" t="s">
        <v>1558</v>
      </c>
      <c r="I243" s="313" t="s">
        <v>35</v>
      </c>
      <c r="J243" s="159">
        <v>3</v>
      </c>
      <c r="K243" s="49" t="s">
        <v>375</v>
      </c>
      <c r="L243" s="314" t="s">
        <v>209</v>
      </c>
      <c r="M243" s="15" t="s">
        <v>333</v>
      </c>
      <c r="N243" s="43"/>
      <c r="O243" s="13" t="s">
        <v>206</v>
      </c>
      <c r="P243" s="13" t="s">
        <v>4</v>
      </c>
      <c r="Q243" s="22" t="s">
        <v>364</v>
      </c>
      <c r="R243" s="314" t="s">
        <v>209</v>
      </c>
      <c r="S243" s="13" t="s">
        <v>389</v>
      </c>
      <c r="T243" s="13" t="s">
        <v>1387</v>
      </c>
      <c r="U243" s="13" t="s">
        <v>477</v>
      </c>
      <c r="V243" s="13" t="s">
        <v>734</v>
      </c>
      <c r="W243" s="13" t="s">
        <v>570</v>
      </c>
      <c r="X243" s="13" t="s">
        <v>570</v>
      </c>
      <c r="Y243" s="13" t="s">
        <v>741</v>
      </c>
      <c r="Z243" s="13"/>
      <c r="AA243" s="29"/>
      <c r="AB243" s="29">
        <v>50000</v>
      </c>
      <c r="AC243" s="29">
        <v>0</v>
      </c>
      <c r="AD243" s="29">
        <v>50000</v>
      </c>
      <c r="AE243" s="29">
        <v>0</v>
      </c>
      <c r="AF243" s="29">
        <f t="shared" si="100"/>
        <v>50000</v>
      </c>
      <c r="AG243" s="25">
        <v>0.12</v>
      </c>
      <c r="AH243" s="29">
        <f t="shared" si="101"/>
        <v>6000</v>
      </c>
      <c r="AI243" s="29">
        <f t="shared" si="102"/>
        <v>0</v>
      </c>
      <c r="AJ243" s="29">
        <f t="shared" si="103"/>
        <v>56000.000000000007</v>
      </c>
      <c r="AK243" s="29">
        <v>50000</v>
      </c>
      <c r="AL243" s="29">
        <f t="shared" si="115"/>
        <v>0</v>
      </c>
      <c r="AM243" s="126"/>
      <c r="AN243" s="29"/>
      <c r="AO243" s="29">
        <v>50000</v>
      </c>
      <c r="AP243" s="29"/>
      <c r="AQ243" s="29">
        <v>50000</v>
      </c>
      <c r="AR243" s="25">
        <v>0.14000000000000001</v>
      </c>
      <c r="AS243" s="29">
        <f>AQ243*0.14</f>
        <v>7000.0000000000009</v>
      </c>
      <c r="AT243" s="29">
        <f>AQ243*1.14</f>
        <v>56999.999999999993</v>
      </c>
      <c r="AU243" s="29"/>
      <c r="AV243" s="29"/>
      <c r="AW243" s="29"/>
      <c r="AX243" s="29"/>
      <c r="AY243" s="29"/>
      <c r="AZ243" s="29"/>
      <c r="BA243" s="29"/>
      <c r="BB243" s="29"/>
      <c r="BC243" s="29"/>
      <c r="BD243" s="29"/>
      <c r="BE243" s="29"/>
      <c r="BF243" s="29">
        <f t="shared" si="112"/>
        <v>0</v>
      </c>
      <c r="BG243" s="29">
        <f t="shared" si="113"/>
        <v>0</v>
      </c>
      <c r="BH243" s="29"/>
      <c r="BI243" s="23" t="s">
        <v>570</v>
      </c>
      <c r="BJ243" s="23" t="s">
        <v>570</v>
      </c>
      <c r="BK243" s="23"/>
      <c r="BL243" s="23"/>
      <c r="BM243" s="23"/>
      <c r="BN243" s="13"/>
      <c r="BO243" s="13"/>
      <c r="BP243" s="13"/>
      <c r="BQ243" s="13"/>
      <c r="BR243" s="13"/>
      <c r="BS243" s="13"/>
      <c r="BT243" s="13"/>
      <c r="BU243" s="13"/>
      <c r="BV243" s="13"/>
      <c r="BW243" s="13" t="s">
        <v>570</v>
      </c>
      <c r="BX243" s="13"/>
      <c r="BY243" s="13"/>
      <c r="BZ243" s="13"/>
      <c r="CA243" s="23">
        <v>42362</v>
      </c>
      <c r="CB243" s="224" t="s">
        <v>570</v>
      </c>
      <c r="CC243" s="224" t="s">
        <v>570</v>
      </c>
      <c r="CD243" s="224" t="s">
        <v>570</v>
      </c>
      <c r="CE243" s="23"/>
      <c r="CF243" s="23"/>
      <c r="CG243" s="23"/>
      <c r="CH243" s="23"/>
      <c r="CI243" s="23"/>
      <c r="CJ243" s="23"/>
      <c r="CK243" s="23"/>
      <c r="CL243" s="23"/>
      <c r="CM243" s="23"/>
      <c r="CN243" s="23"/>
      <c r="CO243" s="23"/>
      <c r="CP243" s="23"/>
      <c r="CQ243" s="23"/>
      <c r="CR243" s="23"/>
      <c r="CS243" s="29" t="s">
        <v>570</v>
      </c>
      <c r="CT243" s="29" t="s">
        <v>570</v>
      </c>
      <c r="CU243" s="29" t="s">
        <v>570</v>
      </c>
      <c r="CV243" s="23" t="s">
        <v>570</v>
      </c>
      <c r="CW243" s="30">
        <v>0</v>
      </c>
      <c r="CX243" s="134" t="s">
        <v>1410</v>
      </c>
      <c r="CY243" s="155">
        <v>42690</v>
      </c>
      <c r="CZ243" s="29">
        <v>10000</v>
      </c>
      <c r="DA243" s="134" t="s">
        <v>1411</v>
      </c>
      <c r="DB243" s="155">
        <v>42705</v>
      </c>
      <c r="DC243" s="29">
        <v>10000</v>
      </c>
      <c r="DD243" s="80" t="s">
        <v>1412</v>
      </c>
      <c r="DE243" s="185">
        <v>42800</v>
      </c>
      <c r="DF243" s="29">
        <v>10000</v>
      </c>
      <c r="DG243" s="13"/>
      <c r="DH243" s="13"/>
      <c r="DI243" s="13"/>
      <c r="DJ243" s="13"/>
      <c r="DK243" s="13"/>
      <c r="DL243" s="13"/>
      <c r="DM243" s="13"/>
      <c r="DN243" s="13"/>
      <c r="DO243" s="13"/>
      <c r="DP243" s="13"/>
      <c r="DQ243" s="13"/>
      <c r="DR243" s="13"/>
      <c r="DS243" s="13"/>
      <c r="DT243" s="13"/>
      <c r="DU243" s="13"/>
      <c r="DV243" s="13"/>
      <c r="DW243" s="13"/>
      <c r="DX243" s="13"/>
      <c r="DY243" s="31">
        <f t="shared" si="114"/>
        <v>30000</v>
      </c>
      <c r="DZ243" s="13"/>
      <c r="EA243" s="13"/>
      <c r="EB243" s="13"/>
      <c r="EC243" s="13"/>
      <c r="ED243" s="13"/>
      <c r="EE243" s="13"/>
      <c r="EF243" s="13"/>
      <c r="EG243" s="13">
        <v>300</v>
      </c>
      <c r="EH243" s="13" t="s">
        <v>548</v>
      </c>
      <c r="EI243" s="13" t="s">
        <v>503</v>
      </c>
      <c r="EJ243" s="13" t="s">
        <v>503</v>
      </c>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25">
        <v>0.1</v>
      </c>
      <c r="FQ243" s="25">
        <v>0.1</v>
      </c>
      <c r="FR243" s="25">
        <v>0.1</v>
      </c>
      <c r="FS243" s="25">
        <v>0.15</v>
      </c>
      <c r="FT243" s="25">
        <v>0.25</v>
      </c>
      <c r="FU243" s="25">
        <v>0.3</v>
      </c>
      <c r="FV243" s="25">
        <v>0.3</v>
      </c>
      <c r="FW243" s="25">
        <v>0.75</v>
      </c>
      <c r="FX243" s="25">
        <v>0.75</v>
      </c>
      <c r="FY243" s="25">
        <v>0.75</v>
      </c>
      <c r="FZ243" s="25">
        <v>0.75</v>
      </c>
      <c r="GA243" s="25">
        <v>0.75</v>
      </c>
      <c r="GB243" s="25">
        <v>0.75</v>
      </c>
      <c r="GC243" s="25">
        <v>0.75</v>
      </c>
      <c r="GD243" s="25">
        <v>0.9</v>
      </c>
      <c r="GE243" s="25">
        <v>0.9</v>
      </c>
      <c r="GF243" s="25">
        <v>0.9</v>
      </c>
      <c r="GG243" s="25">
        <v>0.9</v>
      </c>
      <c r="GH243" s="25">
        <v>0.9</v>
      </c>
      <c r="GI243" s="25">
        <v>0.9</v>
      </c>
      <c r="GJ243" s="25">
        <v>0.9</v>
      </c>
      <c r="GK243" s="25">
        <v>0.9</v>
      </c>
      <c r="GL243" s="25">
        <v>0.9</v>
      </c>
      <c r="GM243" s="25">
        <v>0.9</v>
      </c>
      <c r="GN243" s="25">
        <v>0.9</v>
      </c>
      <c r="GO243" s="25">
        <v>1</v>
      </c>
      <c r="GP243" s="25">
        <v>1</v>
      </c>
      <c r="GQ243" s="25">
        <v>1</v>
      </c>
      <c r="GR243" s="25">
        <v>1</v>
      </c>
      <c r="GS243" s="25">
        <v>1</v>
      </c>
      <c r="GT243" s="25">
        <v>1</v>
      </c>
      <c r="GU243" s="25">
        <v>1</v>
      </c>
      <c r="GV243" s="25" t="s">
        <v>1588</v>
      </c>
      <c r="GW243" s="25" t="s">
        <v>1588</v>
      </c>
      <c r="GX243" s="25" t="s">
        <v>1588</v>
      </c>
      <c r="GY243" s="25" t="s">
        <v>1588</v>
      </c>
      <c r="GZ243" s="25" t="s">
        <v>1588</v>
      </c>
      <c r="HA243" s="25" t="s">
        <v>1588</v>
      </c>
      <c r="HB243" s="25" t="s">
        <v>1588</v>
      </c>
      <c r="HC243" s="25" t="s">
        <v>1588</v>
      </c>
      <c r="HD243" s="25" t="s">
        <v>1588</v>
      </c>
      <c r="HE243" s="25" t="s">
        <v>1588</v>
      </c>
      <c r="HF243" s="25" t="s">
        <v>1588</v>
      </c>
      <c r="HG243" s="25" t="s">
        <v>455</v>
      </c>
      <c r="HH243" s="25" t="s">
        <v>455</v>
      </c>
      <c r="HI243" s="25" t="s">
        <v>1634</v>
      </c>
      <c r="HJ243" s="25"/>
      <c r="HK243" s="25" t="s">
        <v>1687</v>
      </c>
      <c r="HL243" s="25"/>
      <c r="HM243" s="84" t="s">
        <v>1729</v>
      </c>
      <c r="HN243" s="84"/>
      <c r="HO243" s="84" t="s">
        <v>1837</v>
      </c>
      <c r="HP243" s="84"/>
      <c r="HQ243" s="84"/>
      <c r="HR243" s="84"/>
      <c r="HS243" s="84"/>
      <c r="HT243" s="84"/>
      <c r="HU243" s="13"/>
      <c r="HV243" s="13"/>
      <c r="HW243" s="32"/>
      <c r="HX243" s="55"/>
      <c r="HY243" s="55"/>
      <c r="HZ243" s="55"/>
      <c r="IA243" s="55"/>
      <c r="IB243" s="55"/>
      <c r="IC243" s="55"/>
      <c r="ID243" s="55"/>
      <c r="IE243" s="55"/>
      <c r="IF243" s="107">
        <v>50000</v>
      </c>
      <c r="IG243" s="107"/>
      <c r="IH243" s="250">
        <f t="shared" si="104"/>
        <v>50000</v>
      </c>
      <c r="II243" s="55"/>
      <c r="IJ243" s="55"/>
      <c r="IK243" s="55"/>
      <c r="IL243" s="55"/>
      <c r="IM243" s="55"/>
      <c r="IN243" s="55"/>
      <c r="IO243" s="55"/>
      <c r="IP243" s="55"/>
      <c r="IQ243" s="55"/>
      <c r="IR243" s="55"/>
      <c r="IS243" s="55"/>
      <c r="IT243" s="55"/>
      <c r="IU243" s="55"/>
      <c r="IV243" s="55"/>
      <c r="IW243" s="55"/>
      <c r="IX243" s="55"/>
      <c r="IY243" s="55"/>
      <c r="IZ243" s="55"/>
      <c r="JA243" s="55"/>
      <c r="JB243" s="55"/>
      <c r="JC243" s="55"/>
      <c r="JD243" s="55">
        <v>2019</v>
      </c>
    </row>
    <row r="244" spans="1:265" s="5" customFormat="1" ht="24.95" hidden="1" customHeight="1">
      <c r="A244" s="26" t="s">
        <v>0</v>
      </c>
      <c r="B244" s="26" t="s">
        <v>203</v>
      </c>
      <c r="C244" s="13" t="s">
        <v>349</v>
      </c>
      <c r="D244" s="13" t="s">
        <v>382</v>
      </c>
      <c r="E244" s="16" t="s">
        <v>350</v>
      </c>
      <c r="F244" s="13" t="s">
        <v>356</v>
      </c>
      <c r="G244" s="187" t="s">
        <v>351</v>
      </c>
      <c r="H244" s="13" t="s">
        <v>1558</v>
      </c>
      <c r="I244" s="313" t="s">
        <v>35</v>
      </c>
      <c r="J244" s="159">
        <v>3</v>
      </c>
      <c r="K244" s="49" t="s">
        <v>375</v>
      </c>
      <c r="L244" s="314" t="s">
        <v>210</v>
      </c>
      <c r="M244" s="15" t="s">
        <v>211</v>
      </c>
      <c r="N244" s="43"/>
      <c r="O244" s="13" t="s">
        <v>206</v>
      </c>
      <c r="P244" s="13" t="s">
        <v>4</v>
      </c>
      <c r="Q244" s="22" t="s">
        <v>364</v>
      </c>
      <c r="R244" s="314" t="s">
        <v>210</v>
      </c>
      <c r="S244" s="13" t="s">
        <v>390</v>
      </c>
      <c r="T244" s="13" t="s">
        <v>1387</v>
      </c>
      <c r="U244" s="13" t="s">
        <v>477</v>
      </c>
      <c r="V244" s="13" t="s">
        <v>738</v>
      </c>
      <c r="W244" s="13" t="s">
        <v>570</v>
      </c>
      <c r="X244" s="13" t="s">
        <v>570</v>
      </c>
      <c r="Y244" s="13" t="s">
        <v>741</v>
      </c>
      <c r="Z244" s="13"/>
      <c r="AA244" s="29"/>
      <c r="AB244" s="29">
        <v>15000</v>
      </c>
      <c r="AC244" s="29">
        <v>0</v>
      </c>
      <c r="AD244" s="29">
        <v>15000</v>
      </c>
      <c r="AE244" s="29">
        <v>0</v>
      </c>
      <c r="AF244" s="29">
        <f t="shared" si="100"/>
        <v>15000</v>
      </c>
      <c r="AG244" s="25">
        <v>0.12</v>
      </c>
      <c r="AH244" s="29">
        <f t="shared" si="101"/>
        <v>1800</v>
      </c>
      <c r="AI244" s="29">
        <f t="shared" si="102"/>
        <v>0</v>
      </c>
      <c r="AJ244" s="29">
        <f t="shared" si="103"/>
        <v>16800</v>
      </c>
      <c r="AK244" s="29">
        <v>15000</v>
      </c>
      <c r="AL244" s="29">
        <f t="shared" si="115"/>
        <v>0</v>
      </c>
      <c r="AM244" s="126"/>
      <c r="AN244" s="29"/>
      <c r="AO244" s="29">
        <v>15000</v>
      </c>
      <c r="AP244" s="29"/>
      <c r="AQ244" s="29">
        <v>15000</v>
      </c>
      <c r="AR244" s="25">
        <v>0.14000000000000001</v>
      </c>
      <c r="AS244" s="29">
        <f>AQ244*0.14</f>
        <v>2100</v>
      </c>
      <c r="AT244" s="29">
        <f>AQ244*1.14</f>
        <v>17100</v>
      </c>
      <c r="AU244" s="29"/>
      <c r="AV244" s="29"/>
      <c r="AW244" s="29"/>
      <c r="AX244" s="29"/>
      <c r="AY244" s="29"/>
      <c r="AZ244" s="29"/>
      <c r="BA244" s="29"/>
      <c r="BB244" s="29"/>
      <c r="BC244" s="29"/>
      <c r="BD244" s="29"/>
      <c r="BE244" s="29"/>
      <c r="BF244" s="29">
        <f t="shared" si="112"/>
        <v>0</v>
      </c>
      <c r="BG244" s="29">
        <f t="shared" si="113"/>
        <v>0</v>
      </c>
      <c r="BH244" s="29"/>
      <c r="BI244" s="23" t="s">
        <v>570</v>
      </c>
      <c r="BJ244" s="23" t="s">
        <v>570</v>
      </c>
      <c r="BK244" s="23"/>
      <c r="BL244" s="23"/>
      <c r="BM244" s="23"/>
      <c r="BN244" s="13"/>
      <c r="BO244" s="13"/>
      <c r="BP244" s="13"/>
      <c r="BQ244" s="13"/>
      <c r="BR244" s="13"/>
      <c r="BS244" s="13"/>
      <c r="BT244" s="13"/>
      <c r="BU244" s="13"/>
      <c r="BV244" s="13"/>
      <c r="BW244" s="13" t="s">
        <v>570</v>
      </c>
      <c r="BX244" s="13"/>
      <c r="BY244" s="13"/>
      <c r="BZ244" s="13"/>
      <c r="CA244" s="23">
        <v>42362</v>
      </c>
      <c r="CB244" s="224" t="s">
        <v>570</v>
      </c>
      <c r="CC244" s="224" t="s">
        <v>570</v>
      </c>
      <c r="CD244" s="224" t="s">
        <v>570</v>
      </c>
      <c r="CE244" s="23"/>
      <c r="CF244" s="23"/>
      <c r="CG244" s="23"/>
      <c r="CH244" s="23"/>
      <c r="CI244" s="23"/>
      <c r="CJ244" s="23"/>
      <c r="CK244" s="23"/>
      <c r="CL244" s="23"/>
      <c r="CM244" s="23"/>
      <c r="CN244" s="23"/>
      <c r="CO244" s="23"/>
      <c r="CP244" s="23"/>
      <c r="CQ244" s="23"/>
      <c r="CR244" s="23"/>
      <c r="CS244" s="29" t="s">
        <v>570</v>
      </c>
      <c r="CT244" s="29" t="s">
        <v>570</v>
      </c>
      <c r="CU244" s="29" t="s">
        <v>570</v>
      </c>
      <c r="CV244" s="23" t="s">
        <v>570</v>
      </c>
      <c r="CW244" s="30"/>
      <c r="CX244" s="170" t="s">
        <v>1413</v>
      </c>
      <c r="CY244" s="155">
        <v>42641</v>
      </c>
      <c r="CZ244" s="29">
        <v>3000</v>
      </c>
      <c r="DA244" s="134" t="s">
        <v>1414</v>
      </c>
      <c r="DB244" s="155">
        <v>42699</v>
      </c>
      <c r="DC244" s="37">
        <v>3000</v>
      </c>
      <c r="DD244" s="170" t="s">
        <v>1415</v>
      </c>
      <c r="DE244" s="185">
        <v>42800</v>
      </c>
      <c r="DF244" s="37">
        <v>3000</v>
      </c>
      <c r="DG244" s="13"/>
      <c r="DH244" s="13"/>
      <c r="DI244" s="13"/>
      <c r="DJ244" s="13"/>
      <c r="DK244" s="13"/>
      <c r="DL244" s="13"/>
      <c r="DM244" s="13"/>
      <c r="DN244" s="13"/>
      <c r="DO244" s="13"/>
      <c r="DP244" s="13"/>
      <c r="DQ244" s="13"/>
      <c r="DR244" s="13"/>
      <c r="DS244" s="13"/>
      <c r="DT244" s="13"/>
      <c r="DU244" s="13"/>
      <c r="DV244" s="13"/>
      <c r="DW244" s="13"/>
      <c r="DX244" s="13"/>
      <c r="DY244" s="31">
        <f t="shared" si="114"/>
        <v>9000</v>
      </c>
      <c r="DZ244" s="13"/>
      <c r="EA244" s="13"/>
      <c r="EB244" s="13"/>
      <c r="EC244" s="13"/>
      <c r="ED244" s="13"/>
      <c r="EE244" s="13"/>
      <c r="EF244" s="13"/>
      <c r="EG244" s="13">
        <v>300</v>
      </c>
      <c r="EH244" s="13" t="s">
        <v>548</v>
      </c>
      <c r="EI244" s="13" t="s">
        <v>503</v>
      </c>
      <c r="EJ244" s="13" t="s">
        <v>503</v>
      </c>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25">
        <v>0.1</v>
      </c>
      <c r="FQ244" s="25">
        <v>0.1</v>
      </c>
      <c r="FR244" s="25">
        <v>0.1</v>
      </c>
      <c r="FS244" s="25">
        <v>0.15</v>
      </c>
      <c r="FT244" s="25">
        <v>0.25</v>
      </c>
      <c r="FU244" s="25">
        <v>0.3</v>
      </c>
      <c r="FV244" s="25">
        <v>0.3</v>
      </c>
      <c r="FW244" s="25">
        <v>0.75</v>
      </c>
      <c r="FX244" s="25">
        <v>0.75</v>
      </c>
      <c r="FY244" s="25">
        <v>0.75</v>
      </c>
      <c r="FZ244" s="25">
        <v>0.75</v>
      </c>
      <c r="GA244" s="25">
        <v>0.75</v>
      </c>
      <c r="GB244" s="25">
        <v>0.75</v>
      </c>
      <c r="GC244" s="25">
        <v>0.75</v>
      </c>
      <c r="GD244" s="25">
        <v>0.9</v>
      </c>
      <c r="GE244" s="25">
        <v>0.9</v>
      </c>
      <c r="GF244" s="25">
        <v>0.9</v>
      </c>
      <c r="GG244" s="25">
        <v>0.9</v>
      </c>
      <c r="GH244" s="25">
        <v>0.9</v>
      </c>
      <c r="GI244" s="25">
        <v>0.9</v>
      </c>
      <c r="GJ244" s="25">
        <v>0.9</v>
      </c>
      <c r="GK244" s="25">
        <v>0.9</v>
      </c>
      <c r="GL244" s="25">
        <v>0.9</v>
      </c>
      <c r="GM244" s="25">
        <v>0.9</v>
      </c>
      <c r="GN244" s="25">
        <v>0.9</v>
      </c>
      <c r="GO244" s="25">
        <v>1</v>
      </c>
      <c r="GP244" s="25">
        <v>1</v>
      </c>
      <c r="GQ244" s="25">
        <v>1</v>
      </c>
      <c r="GR244" s="25">
        <v>1</v>
      </c>
      <c r="GS244" s="25">
        <v>1</v>
      </c>
      <c r="GT244" s="25">
        <v>1</v>
      </c>
      <c r="GU244" s="25">
        <v>1</v>
      </c>
      <c r="GV244" s="25" t="s">
        <v>1588</v>
      </c>
      <c r="GW244" s="25" t="s">
        <v>1588</v>
      </c>
      <c r="GX244" s="25" t="s">
        <v>1588</v>
      </c>
      <c r="GY244" s="25" t="s">
        <v>1588</v>
      </c>
      <c r="GZ244" s="25" t="s">
        <v>1588</v>
      </c>
      <c r="HA244" s="25" t="s">
        <v>1588</v>
      </c>
      <c r="HB244" s="25" t="s">
        <v>1588</v>
      </c>
      <c r="HC244" s="25" t="s">
        <v>1588</v>
      </c>
      <c r="HD244" s="25" t="s">
        <v>1588</v>
      </c>
      <c r="HE244" s="25" t="s">
        <v>1588</v>
      </c>
      <c r="HF244" s="25" t="s">
        <v>1588</v>
      </c>
      <c r="HG244" s="25" t="s">
        <v>455</v>
      </c>
      <c r="HH244" s="25" t="s">
        <v>455</v>
      </c>
      <c r="HI244" s="25" t="s">
        <v>1634</v>
      </c>
      <c r="HJ244" s="25"/>
      <c r="HK244" s="25" t="s">
        <v>1687</v>
      </c>
      <c r="HL244" s="25"/>
      <c r="HM244" s="84" t="s">
        <v>1729</v>
      </c>
      <c r="HN244" s="84"/>
      <c r="HO244" s="84" t="s">
        <v>1837</v>
      </c>
      <c r="HP244" s="84"/>
      <c r="HQ244" s="84"/>
      <c r="HR244" s="84"/>
      <c r="HS244" s="84"/>
      <c r="HT244" s="84"/>
      <c r="HU244" s="13"/>
      <c r="HV244" s="13"/>
      <c r="HW244" s="32"/>
      <c r="HX244" s="55"/>
      <c r="HY244" s="55"/>
      <c r="HZ244" s="55"/>
      <c r="IA244" s="55"/>
      <c r="IB244" s="55"/>
      <c r="IC244" s="55"/>
      <c r="ID244" s="55"/>
      <c r="IE244" s="55"/>
      <c r="IF244" s="107">
        <v>15000</v>
      </c>
      <c r="IG244" s="107"/>
      <c r="IH244" s="250">
        <f t="shared" si="104"/>
        <v>15000</v>
      </c>
      <c r="II244" s="55"/>
      <c r="IJ244" s="55"/>
      <c r="IK244" s="55"/>
      <c r="IL244" s="55"/>
      <c r="IM244" s="55"/>
      <c r="IN244" s="55"/>
      <c r="IO244" s="55"/>
      <c r="IP244" s="55"/>
      <c r="IQ244" s="55"/>
      <c r="IR244" s="55"/>
      <c r="IS244" s="55"/>
      <c r="IT244" s="55"/>
      <c r="IU244" s="55"/>
      <c r="IV244" s="55"/>
      <c r="IW244" s="55"/>
      <c r="IX244" s="55"/>
      <c r="IY244" s="55"/>
      <c r="IZ244" s="55"/>
      <c r="JA244" s="55"/>
      <c r="JB244" s="55"/>
      <c r="JC244" s="55"/>
      <c r="JD244" s="55">
        <v>2019</v>
      </c>
    </row>
    <row r="245" spans="1:265" s="5" customFormat="1" ht="53.25" hidden="1" customHeight="1">
      <c r="A245" s="26" t="s">
        <v>0</v>
      </c>
      <c r="B245" s="26" t="s">
        <v>203</v>
      </c>
      <c r="C245" s="13" t="s">
        <v>352</v>
      </c>
      <c r="D245" s="13" t="s">
        <v>377</v>
      </c>
      <c r="E245" s="16" t="s">
        <v>355</v>
      </c>
      <c r="F245" s="13" t="s">
        <v>356</v>
      </c>
      <c r="G245" s="187" t="s">
        <v>354</v>
      </c>
      <c r="H245" s="13" t="s">
        <v>1558</v>
      </c>
      <c r="I245" s="313" t="s">
        <v>37</v>
      </c>
      <c r="J245" s="159">
        <v>4</v>
      </c>
      <c r="K245" s="49" t="s">
        <v>375</v>
      </c>
      <c r="L245" s="314" t="s">
        <v>212</v>
      </c>
      <c r="M245" s="15" t="s">
        <v>213</v>
      </c>
      <c r="N245" s="43"/>
      <c r="O245" s="13" t="s">
        <v>206</v>
      </c>
      <c r="P245" s="13" t="s">
        <v>4</v>
      </c>
      <c r="Q245" s="22" t="s">
        <v>1118</v>
      </c>
      <c r="R245" s="314" t="s">
        <v>212</v>
      </c>
      <c r="S245" s="13" t="s">
        <v>730</v>
      </c>
      <c r="T245" s="13" t="s">
        <v>1387</v>
      </c>
      <c r="U245" s="13" t="s">
        <v>477</v>
      </c>
      <c r="V245" s="13" t="s">
        <v>731</v>
      </c>
      <c r="W245" s="13" t="s">
        <v>570</v>
      </c>
      <c r="X245" s="13" t="s">
        <v>570</v>
      </c>
      <c r="Y245" s="13" t="s">
        <v>744</v>
      </c>
      <c r="Z245" s="13"/>
      <c r="AA245" s="29"/>
      <c r="AB245" s="29">
        <v>19250</v>
      </c>
      <c r="AC245" s="29">
        <v>0</v>
      </c>
      <c r="AD245" s="29">
        <v>19250.000000000004</v>
      </c>
      <c r="AE245" s="29">
        <v>0</v>
      </c>
      <c r="AF245" s="29">
        <f t="shared" si="100"/>
        <v>19250.000000000004</v>
      </c>
      <c r="AG245" s="25">
        <v>0.12</v>
      </c>
      <c r="AH245" s="29">
        <f t="shared" si="101"/>
        <v>2310.0000000000005</v>
      </c>
      <c r="AI245" s="29">
        <f t="shared" si="102"/>
        <v>0</v>
      </c>
      <c r="AJ245" s="29">
        <f t="shared" si="103"/>
        <v>21560.000000000007</v>
      </c>
      <c r="AK245" s="29">
        <v>19250</v>
      </c>
      <c r="AL245" s="29">
        <f t="shared" si="115"/>
        <v>0</v>
      </c>
      <c r="AM245" s="126"/>
      <c r="AN245" s="29"/>
      <c r="AO245" s="29">
        <v>19250</v>
      </c>
      <c r="AP245" s="29"/>
      <c r="AQ245" s="29">
        <v>19250</v>
      </c>
      <c r="AR245" s="29"/>
      <c r="AS245" s="29"/>
      <c r="AT245" s="29"/>
      <c r="AU245" s="29"/>
      <c r="AV245" s="29"/>
      <c r="AW245" s="29"/>
      <c r="AX245" s="29"/>
      <c r="AY245" s="29"/>
      <c r="AZ245" s="29"/>
      <c r="BA245" s="29"/>
      <c r="BB245" s="29"/>
      <c r="BC245" s="29"/>
      <c r="BD245" s="29"/>
      <c r="BE245" s="29"/>
      <c r="BF245" s="29">
        <f t="shared" si="112"/>
        <v>0</v>
      </c>
      <c r="BG245" s="29">
        <f t="shared" si="113"/>
        <v>0</v>
      </c>
      <c r="BH245" s="29"/>
      <c r="BI245" s="23" t="s">
        <v>570</v>
      </c>
      <c r="BJ245" s="23" t="s">
        <v>570</v>
      </c>
      <c r="BK245" s="23"/>
      <c r="BL245" s="23"/>
      <c r="BM245" s="23"/>
      <c r="BN245" s="13"/>
      <c r="BO245" s="13"/>
      <c r="BP245" s="13"/>
      <c r="BQ245" s="13"/>
      <c r="BR245" s="13"/>
      <c r="BS245" s="13"/>
      <c r="BT245" s="13"/>
      <c r="BU245" s="13"/>
      <c r="BV245" s="13"/>
      <c r="BW245" s="13" t="s">
        <v>570</v>
      </c>
      <c r="BX245" s="13"/>
      <c r="BY245" s="13"/>
      <c r="BZ245" s="13"/>
      <c r="CA245" s="23">
        <v>42362</v>
      </c>
      <c r="CB245" s="224" t="s">
        <v>570</v>
      </c>
      <c r="CC245" s="224" t="s">
        <v>570</v>
      </c>
      <c r="CD245" s="224" t="s">
        <v>570</v>
      </c>
      <c r="CE245" s="23"/>
      <c r="CF245" s="23"/>
      <c r="CG245" s="23"/>
      <c r="CH245" s="23"/>
      <c r="CI245" s="23"/>
      <c r="CJ245" s="23"/>
      <c r="CK245" s="23"/>
      <c r="CL245" s="23"/>
      <c r="CM245" s="23"/>
      <c r="CN245" s="23"/>
      <c r="CO245" s="23"/>
      <c r="CP245" s="23"/>
      <c r="CQ245" s="23"/>
      <c r="CR245" s="23"/>
      <c r="CS245" s="29" t="s">
        <v>570</v>
      </c>
      <c r="CT245" s="29" t="s">
        <v>570</v>
      </c>
      <c r="CU245" s="29" t="s">
        <v>570</v>
      </c>
      <c r="CV245" s="23" t="s">
        <v>570</v>
      </c>
      <c r="CW245" s="30"/>
      <c r="CX245" s="13"/>
      <c r="CY245" s="155">
        <v>42662</v>
      </c>
      <c r="CZ245" s="29">
        <v>19250</v>
      </c>
      <c r="DA245" s="13"/>
      <c r="DB245" s="13"/>
      <c r="DC245" s="37"/>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31">
        <f t="shared" si="114"/>
        <v>19250</v>
      </c>
      <c r="DZ245" s="13"/>
      <c r="EA245" s="13"/>
      <c r="EB245" s="13"/>
      <c r="EC245" s="13"/>
      <c r="ED245" s="13"/>
      <c r="EE245" s="13"/>
      <c r="EF245" s="13"/>
      <c r="EG245" s="13">
        <v>120</v>
      </c>
      <c r="EH245" s="13" t="s">
        <v>548</v>
      </c>
      <c r="EI245" s="13" t="s">
        <v>503</v>
      </c>
      <c r="EJ245" s="13" t="s">
        <v>503</v>
      </c>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25">
        <v>0.5</v>
      </c>
      <c r="FM245" s="25">
        <v>0.5</v>
      </c>
      <c r="FN245" s="25">
        <v>0.75</v>
      </c>
      <c r="FO245" s="25">
        <v>0.9</v>
      </c>
      <c r="FP245" s="25">
        <v>1</v>
      </c>
      <c r="FQ245" s="25">
        <v>1</v>
      </c>
      <c r="FR245" s="25">
        <v>1</v>
      </c>
      <c r="FS245" s="25">
        <v>1</v>
      </c>
      <c r="FT245" s="25">
        <v>1</v>
      </c>
      <c r="FU245" s="25">
        <v>1</v>
      </c>
      <c r="FV245" s="25">
        <v>1</v>
      </c>
      <c r="FW245" s="25">
        <v>1</v>
      </c>
      <c r="FX245" s="25">
        <v>1</v>
      </c>
      <c r="FY245" s="25">
        <v>1</v>
      </c>
      <c r="FZ245" s="25">
        <v>1</v>
      </c>
      <c r="GA245" s="25">
        <v>1</v>
      </c>
      <c r="GB245" s="25">
        <v>1</v>
      </c>
      <c r="GC245" s="25">
        <v>1</v>
      </c>
      <c r="GD245" s="25">
        <v>1</v>
      </c>
      <c r="GE245" s="25">
        <v>1</v>
      </c>
      <c r="GF245" s="25">
        <v>1</v>
      </c>
      <c r="GG245" s="25">
        <v>1</v>
      </c>
      <c r="GH245" s="25">
        <v>1</v>
      </c>
      <c r="GI245" s="25">
        <v>1</v>
      </c>
      <c r="GJ245" s="25">
        <v>1</v>
      </c>
      <c r="GK245" s="25">
        <v>1</v>
      </c>
      <c r="GL245" s="25">
        <v>1</v>
      </c>
      <c r="GM245" s="25">
        <v>1</v>
      </c>
      <c r="GN245" s="25">
        <v>1</v>
      </c>
      <c r="GO245" s="25">
        <v>1</v>
      </c>
      <c r="GP245" s="25">
        <v>1</v>
      </c>
      <c r="GQ245" s="25">
        <v>1</v>
      </c>
      <c r="GR245" s="25">
        <v>1</v>
      </c>
      <c r="GS245" s="25">
        <v>1</v>
      </c>
      <c r="GT245" s="25">
        <v>1</v>
      </c>
      <c r="GU245" s="25">
        <v>1</v>
      </c>
      <c r="GV245" s="25" t="s">
        <v>455</v>
      </c>
      <c r="GW245" s="25" t="s">
        <v>455</v>
      </c>
      <c r="GX245" s="25" t="s">
        <v>455</v>
      </c>
      <c r="GY245" s="25" t="s">
        <v>455</v>
      </c>
      <c r="GZ245" s="25" t="s">
        <v>455</v>
      </c>
      <c r="HA245" s="25" t="s">
        <v>455</v>
      </c>
      <c r="HB245" s="25" t="s">
        <v>455</v>
      </c>
      <c r="HC245" s="25" t="s">
        <v>455</v>
      </c>
      <c r="HD245" s="25" t="s">
        <v>455</v>
      </c>
      <c r="HE245" s="25" t="s">
        <v>455</v>
      </c>
      <c r="HF245" s="25" t="s">
        <v>455</v>
      </c>
      <c r="HG245" s="25" t="s">
        <v>455</v>
      </c>
      <c r="HH245" s="25" t="s">
        <v>455</v>
      </c>
      <c r="HI245" s="25"/>
      <c r="HJ245" s="25"/>
      <c r="HK245" s="25"/>
      <c r="HL245" s="25"/>
      <c r="HM245" s="84"/>
      <c r="HN245" s="84"/>
      <c r="HO245" s="84"/>
      <c r="HP245" s="84"/>
      <c r="HQ245" s="84"/>
      <c r="HR245" s="84"/>
      <c r="HS245" s="84"/>
      <c r="HT245" s="84"/>
      <c r="HU245" s="13"/>
      <c r="HV245" s="13"/>
      <c r="HW245" s="32"/>
      <c r="HX245" s="55"/>
      <c r="HY245" s="55"/>
      <c r="HZ245" s="55"/>
      <c r="IA245" s="55"/>
      <c r="IB245" s="55"/>
      <c r="IC245" s="55"/>
      <c r="ID245" s="55"/>
      <c r="IE245" s="55"/>
      <c r="IF245" s="107">
        <v>19250</v>
      </c>
      <c r="IG245" s="107">
        <v>19250</v>
      </c>
      <c r="IH245" s="250">
        <f t="shared" si="104"/>
        <v>0</v>
      </c>
      <c r="II245" s="55"/>
      <c r="IJ245" s="55"/>
      <c r="IK245" s="55"/>
      <c r="IL245" s="55"/>
      <c r="IM245" s="55"/>
      <c r="IN245" s="55"/>
      <c r="IO245" s="55"/>
      <c r="IP245" s="55"/>
      <c r="IQ245" s="55"/>
      <c r="IR245" s="55"/>
      <c r="IS245" s="55"/>
      <c r="IT245" s="55"/>
      <c r="IU245" s="55"/>
      <c r="IV245" s="55"/>
      <c r="IW245" s="55"/>
      <c r="IX245" s="55"/>
      <c r="IY245" s="55"/>
      <c r="IZ245" s="55"/>
      <c r="JA245" s="55"/>
      <c r="JB245" s="55"/>
      <c r="JC245" s="55"/>
      <c r="JD245" s="55">
        <v>2016</v>
      </c>
    </row>
    <row r="246" spans="1:265" s="5" customFormat="1" ht="20.100000000000001" hidden="1" customHeight="1">
      <c r="A246" s="26" t="s">
        <v>0</v>
      </c>
      <c r="B246" s="26" t="s">
        <v>203</v>
      </c>
      <c r="C246" s="13" t="s">
        <v>349</v>
      </c>
      <c r="D246" s="13" t="s">
        <v>382</v>
      </c>
      <c r="E246" s="16" t="s">
        <v>350</v>
      </c>
      <c r="F246" s="13" t="s">
        <v>356</v>
      </c>
      <c r="G246" s="187" t="s">
        <v>351</v>
      </c>
      <c r="H246" s="13" t="s">
        <v>1558</v>
      </c>
      <c r="I246" s="313" t="s">
        <v>39</v>
      </c>
      <c r="J246" s="159">
        <v>5</v>
      </c>
      <c r="K246" s="49" t="s">
        <v>375</v>
      </c>
      <c r="L246" s="314" t="s">
        <v>214</v>
      </c>
      <c r="M246" s="14" t="s">
        <v>215</v>
      </c>
      <c r="N246" s="43"/>
      <c r="O246" s="13" t="s">
        <v>206</v>
      </c>
      <c r="P246" s="13" t="s">
        <v>4</v>
      </c>
      <c r="Q246" s="22" t="s">
        <v>1118</v>
      </c>
      <c r="R246" s="314" t="s">
        <v>214</v>
      </c>
      <c r="S246" s="13" t="s">
        <v>732</v>
      </c>
      <c r="T246" s="13" t="s">
        <v>1387</v>
      </c>
      <c r="U246" s="13" t="s">
        <v>477</v>
      </c>
      <c r="V246" s="13" t="s">
        <v>733</v>
      </c>
      <c r="W246" s="13" t="s">
        <v>570</v>
      </c>
      <c r="X246" s="13" t="s">
        <v>570</v>
      </c>
      <c r="Y246" s="13" t="s">
        <v>743</v>
      </c>
      <c r="Z246" s="13"/>
      <c r="AA246" s="29"/>
      <c r="AB246" s="29">
        <v>50000</v>
      </c>
      <c r="AC246" s="29">
        <v>0</v>
      </c>
      <c r="AD246" s="29">
        <v>50000</v>
      </c>
      <c r="AE246" s="29">
        <v>0</v>
      </c>
      <c r="AF246" s="29">
        <f t="shared" si="100"/>
        <v>50000</v>
      </c>
      <c r="AG246" s="25">
        <v>0.12</v>
      </c>
      <c r="AH246" s="29">
        <f t="shared" si="101"/>
        <v>6000</v>
      </c>
      <c r="AI246" s="29">
        <f t="shared" si="102"/>
        <v>0</v>
      </c>
      <c r="AJ246" s="29">
        <f t="shared" si="103"/>
        <v>56000.000000000007</v>
      </c>
      <c r="AK246" s="29">
        <v>50000</v>
      </c>
      <c r="AL246" s="29">
        <f t="shared" si="115"/>
        <v>0</v>
      </c>
      <c r="AM246" s="126"/>
      <c r="AN246" s="29"/>
      <c r="AO246" s="29">
        <v>50000</v>
      </c>
      <c r="AP246" s="29"/>
      <c r="AQ246" s="29">
        <v>50000</v>
      </c>
      <c r="AR246" s="29"/>
      <c r="AS246" s="29"/>
      <c r="AT246" s="29"/>
      <c r="AU246" s="29"/>
      <c r="AV246" s="29"/>
      <c r="AW246" s="29"/>
      <c r="AX246" s="29"/>
      <c r="AY246" s="29"/>
      <c r="AZ246" s="29"/>
      <c r="BA246" s="29"/>
      <c r="BB246" s="29"/>
      <c r="BC246" s="29"/>
      <c r="BD246" s="29"/>
      <c r="BE246" s="29"/>
      <c r="BF246" s="29">
        <f t="shared" si="112"/>
        <v>0</v>
      </c>
      <c r="BG246" s="29">
        <f t="shared" si="113"/>
        <v>0</v>
      </c>
      <c r="BH246" s="29"/>
      <c r="BI246" s="23" t="s">
        <v>570</v>
      </c>
      <c r="BJ246" s="23" t="s">
        <v>570</v>
      </c>
      <c r="BK246" s="23"/>
      <c r="BL246" s="23"/>
      <c r="BM246" s="23"/>
      <c r="BN246" s="13"/>
      <c r="BO246" s="13"/>
      <c r="BP246" s="13"/>
      <c r="BQ246" s="13"/>
      <c r="BR246" s="13"/>
      <c r="BS246" s="13"/>
      <c r="BT246" s="13"/>
      <c r="BU246" s="13"/>
      <c r="BV246" s="13"/>
      <c r="BW246" s="13" t="s">
        <v>570</v>
      </c>
      <c r="BX246" s="13"/>
      <c r="BY246" s="13"/>
      <c r="BZ246" s="13"/>
      <c r="CA246" s="23">
        <v>42362</v>
      </c>
      <c r="CB246" s="224" t="s">
        <v>570</v>
      </c>
      <c r="CC246" s="224" t="s">
        <v>570</v>
      </c>
      <c r="CD246" s="224" t="s">
        <v>570</v>
      </c>
      <c r="CE246" s="23"/>
      <c r="CF246" s="23"/>
      <c r="CG246" s="23"/>
      <c r="CH246" s="23"/>
      <c r="CI246" s="23"/>
      <c r="CJ246" s="23"/>
      <c r="CK246" s="23"/>
      <c r="CL246" s="23"/>
      <c r="CM246" s="23"/>
      <c r="CN246" s="23"/>
      <c r="CO246" s="23"/>
      <c r="CP246" s="23"/>
      <c r="CQ246" s="23"/>
      <c r="CR246" s="23"/>
      <c r="CS246" s="29" t="s">
        <v>570</v>
      </c>
      <c r="CT246" s="29" t="s">
        <v>570</v>
      </c>
      <c r="CU246" s="29" t="s">
        <v>570</v>
      </c>
      <c r="CV246" s="23" t="s">
        <v>570</v>
      </c>
      <c r="CW246" s="30"/>
      <c r="CX246" s="170" t="s">
        <v>1416</v>
      </c>
      <c r="CY246" s="155">
        <v>42613</v>
      </c>
      <c r="CZ246" s="29">
        <v>30000</v>
      </c>
      <c r="DA246" s="134" t="s">
        <v>1417</v>
      </c>
      <c r="DB246" s="185">
        <v>42842</v>
      </c>
      <c r="DC246" s="245">
        <v>20000</v>
      </c>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31">
        <f t="shared" si="114"/>
        <v>50000</v>
      </c>
      <c r="DZ246" s="13"/>
      <c r="EA246" s="13"/>
      <c r="EB246" s="13"/>
      <c r="EC246" s="13"/>
      <c r="ED246" s="13"/>
      <c r="EE246" s="13"/>
      <c r="EF246" s="13"/>
      <c r="EG246" s="13">
        <v>300</v>
      </c>
      <c r="EH246" s="13" t="s">
        <v>548</v>
      </c>
      <c r="EI246" s="13" t="s">
        <v>503</v>
      </c>
      <c r="EJ246" s="13" t="s">
        <v>503</v>
      </c>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3"/>
      <c r="FJ246" s="13"/>
      <c r="FK246" s="13"/>
      <c r="FL246" s="13"/>
      <c r="FM246" s="13"/>
      <c r="FN246" s="13"/>
      <c r="FO246" s="25">
        <v>0.57999999999999996</v>
      </c>
      <c r="FP246" s="25">
        <v>0.75</v>
      </c>
      <c r="FQ246" s="25">
        <v>0.75</v>
      </c>
      <c r="FR246" s="25">
        <v>0.75</v>
      </c>
      <c r="FS246" s="25">
        <v>0.95</v>
      </c>
      <c r="FT246" s="25">
        <v>0.95</v>
      </c>
      <c r="FU246" s="25">
        <v>0.95</v>
      </c>
      <c r="FV246" s="25">
        <v>1</v>
      </c>
      <c r="FW246" s="25">
        <v>1</v>
      </c>
      <c r="FX246" s="25">
        <v>1</v>
      </c>
      <c r="FY246" s="25">
        <v>1</v>
      </c>
      <c r="FZ246" s="25">
        <v>1</v>
      </c>
      <c r="GA246" s="25">
        <v>1</v>
      </c>
      <c r="GB246" s="25">
        <v>1</v>
      </c>
      <c r="GC246" s="25">
        <v>1</v>
      </c>
      <c r="GD246" s="25">
        <v>1</v>
      </c>
      <c r="GE246" s="25">
        <v>1</v>
      </c>
      <c r="GF246" s="25">
        <v>1</v>
      </c>
      <c r="GG246" s="25">
        <v>1</v>
      </c>
      <c r="GH246" s="25">
        <v>1</v>
      </c>
      <c r="GI246" s="25">
        <v>1</v>
      </c>
      <c r="GJ246" s="25">
        <v>1</v>
      </c>
      <c r="GK246" s="25">
        <v>1</v>
      </c>
      <c r="GL246" s="25">
        <v>1</v>
      </c>
      <c r="GM246" s="25">
        <v>1</v>
      </c>
      <c r="GN246" s="25">
        <v>1</v>
      </c>
      <c r="GO246" s="25">
        <v>1</v>
      </c>
      <c r="GP246" s="25">
        <v>1</v>
      </c>
      <c r="GQ246" s="25">
        <v>1</v>
      </c>
      <c r="GR246" s="25">
        <v>1</v>
      </c>
      <c r="GS246" s="25">
        <v>1</v>
      </c>
      <c r="GT246" s="25">
        <v>1</v>
      </c>
      <c r="GU246" s="25">
        <v>1</v>
      </c>
      <c r="GV246" s="25" t="s">
        <v>455</v>
      </c>
      <c r="GW246" s="25" t="s">
        <v>455</v>
      </c>
      <c r="GX246" s="25" t="s">
        <v>455</v>
      </c>
      <c r="GY246" s="25" t="s">
        <v>455</v>
      </c>
      <c r="GZ246" s="25" t="s">
        <v>455</v>
      </c>
      <c r="HA246" s="25" t="s">
        <v>455</v>
      </c>
      <c r="HB246" s="25" t="s">
        <v>455</v>
      </c>
      <c r="HC246" s="25" t="s">
        <v>455</v>
      </c>
      <c r="HD246" s="25" t="s">
        <v>455</v>
      </c>
      <c r="HE246" s="25" t="s">
        <v>455</v>
      </c>
      <c r="HF246" s="25" t="s">
        <v>455</v>
      </c>
      <c r="HG246" s="25" t="s">
        <v>455</v>
      </c>
      <c r="HH246" s="25" t="s">
        <v>455</v>
      </c>
      <c r="HI246" s="25"/>
      <c r="HJ246" s="25"/>
      <c r="HK246" s="25"/>
      <c r="HL246" s="25"/>
      <c r="HM246" s="84"/>
      <c r="HN246" s="84"/>
      <c r="HO246" s="84"/>
      <c r="HP246" s="84"/>
      <c r="HQ246" s="84"/>
      <c r="HR246" s="84"/>
      <c r="HS246" s="84"/>
      <c r="HT246" s="84"/>
      <c r="HU246" s="13"/>
      <c r="HV246" s="13"/>
      <c r="HW246" s="32"/>
      <c r="HX246" s="55"/>
      <c r="HY246" s="55"/>
      <c r="HZ246" s="55"/>
      <c r="IA246" s="55"/>
      <c r="IB246" s="55"/>
      <c r="IC246" s="55"/>
      <c r="ID246" s="55"/>
      <c r="IE246" s="55"/>
      <c r="IF246" s="107">
        <v>50000</v>
      </c>
      <c r="IG246" s="107">
        <v>50000</v>
      </c>
      <c r="IH246" s="250">
        <f t="shared" si="104"/>
        <v>0</v>
      </c>
      <c r="II246" s="55"/>
      <c r="IJ246" s="55"/>
      <c r="IK246" s="55"/>
      <c r="IL246" s="55"/>
      <c r="IM246" s="55"/>
      <c r="IN246" s="55"/>
      <c r="IO246" s="55"/>
      <c r="IP246" s="55"/>
      <c r="IQ246" s="55"/>
      <c r="IR246" s="55"/>
      <c r="IS246" s="55"/>
      <c r="IT246" s="55"/>
      <c r="IU246" s="55"/>
      <c r="IV246" s="55"/>
      <c r="IW246" s="55"/>
      <c r="IX246" s="55"/>
      <c r="IY246" s="55"/>
      <c r="IZ246" s="55"/>
      <c r="JA246" s="55"/>
      <c r="JB246" s="55"/>
      <c r="JC246" s="55"/>
      <c r="JD246" s="55">
        <v>2017</v>
      </c>
    </row>
    <row r="247" spans="1:265" s="5" customFormat="1" ht="20.100000000000001" hidden="1" customHeight="1">
      <c r="A247" s="26" t="s">
        <v>0</v>
      </c>
      <c r="B247" s="26" t="s">
        <v>203</v>
      </c>
      <c r="C247" s="13" t="s">
        <v>349</v>
      </c>
      <c r="D247" s="13" t="s">
        <v>382</v>
      </c>
      <c r="E247" s="16" t="s">
        <v>360</v>
      </c>
      <c r="F247" s="13" t="s">
        <v>356</v>
      </c>
      <c r="G247" s="26" t="s">
        <v>354</v>
      </c>
      <c r="H247" s="13" t="s">
        <v>1516</v>
      </c>
      <c r="I247" s="313" t="s">
        <v>41</v>
      </c>
      <c r="J247" s="188">
        <v>6</v>
      </c>
      <c r="K247" s="49" t="s">
        <v>375</v>
      </c>
      <c r="L247" s="314" t="s">
        <v>216</v>
      </c>
      <c r="M247" s="15" t="s">
        <v>217</v>
      </c>
      <c r="N247" s="43"/>
      <c r="O247" s="13" t="s">
        <v>206</v>
      </c>
      <c r="P247" s="13" t="s">
        <v>4</v>
      </c>
      <c r="Q247" s="22" t="s">
        <v>1118</v>
      </c>
      <c r="R247" s="314" t="s">
        <v>216</v>
      </c>
      <c r="S247" s="13" t="s">
        <v>391</v>
      </c>
      <c r="T247" s="13" t="s">
        <v>1387</v>
      </c>
      <c r="U247" s="13" t="s">
        <v>477</v>
      </c>
      <c r="V247" s="24">
        <v>1102611959001</v>
      </c>
      <c r="W247" s="13" t="s">
        <v>570</v>
      </c>
      <c r="X247" s="13" t="s">
        <v>570</v>
      </c>
      <c r="Y247" s="13" t="s">
        <v>741</v>
      </c>
      <c r="Z247" s="13"/>
      <c r="AA247" s="29"/>
      <c r="AB247" s="29">
        <v>10751.82</v>
      </c>
      <c r="AC247" s="29">
        <v>0</v>
      </c>
      <c r="AD247" s="29">
        <v>10751.824542056076</v>
      </c>
      <c r="AE247" s="29">
        <v>0</v>
      </c>
      <c r="AF247" s="29">
        <f t="shared" si="100"/>
        <v>10751.824542056076</v>
      </c>
      <c r="AG247" s="25">
        <v>0.12</v>
      </c>
      <c r="AH247" s="29">
        <f t="shared" si="101"/>
        <v>1290.218945046729</v>
      </c>
      <c r="AI247" s="29">
        <f t="shared" si="102"/>
        <v>0</v>
      </c>
      <c r="AJ247" s="29">
        <f t="shared" si="103"/>
        <v>12042.043487102806</v>
      </c>
      <c r="AK247" s="29">
        <v>10751.82</v>
      </c>
      <c r="AL247" s="29">
        <f t="shared" si="115"/>
        <v>0</v>
      </c>
      <c r="AM247" s="126"/>
      <c r="AN247" s="29"/>
      <c r="AO247" s="29">
        <v>10751.824542056076</v>
      </c>
      <c r="AP247" s="29"/>
      <c r="AQ247" s="29">
        <v>10751.824542056076</v>
      </c>
      <c r="AR247" s="29"/>
      <c r="AS247" s="29"/>
      <c r="AT247" s="29"/>
      <c r="AU247" s="29"/>
      <c r="AV247" s="29"/>
      <c r="AW247" s="29"/>
      <c r="AX247" s="29"/>
      <c r="AY247" s="29"/>
      <c r="AZ247" s="29"/>
      <c r="BA247" s="29"/>
      <c r="BB247" s="29"/>
      <c r="BC247" s="29"/>
      <c r="BD247" s="29"/>
      <c r="BE247" s="29"/>
      <c r="BF247" s="29">
        <f t="shared" si="112"/>
        <v>-4.5420560763886897E-3</v>
      </c>
      <c r="BG247" s="29">
        <f t="shared" si="113"/>
        <v>-4.5420560763886897E-3</v>
      </c>
      <c r="BH247" s="29"/>
      <c r="BI247" s="23" t="s">
        <v>570</v>
      </c>
      <c r="BJ247" s="23" t="s">
        <v>570</v>
      </c>
      <c r="BK247" s="23"/>
      <c r="BL247" s="23"/>
      <c r="BM247" s="23"/>
      <c r="BN247" s="13"/>
      <c r="BO247" s="13"/>
      <c r="BP247" s="13"/>
      <c r="BQ247" s="13"/>
      <c r="BR247" s="13"/>
      <c r="BS247" s="13"/>
      <c r="BT247" s="13"/>
      <c r="BU247" s="13"/>
      <c r="BV247" s="13"/>
      <c r="BW247" s="13" t="s">
        <v>570</v>
      </c>
      <c r="BX247" s="13"/>
      <c r="BY247" s="13"/>
      <c r="BZ247" s="13"/>
      <c r="CA247" s="23">
        <v>42369</v>
      </c>
      <c r="CB247" s="224" t="s">
        <v>570</v>
      </c>
      <c r="CC247" s="224" t="s">
        <v>570</v>
      </c>
      <c r="CD247" s="224" t="s">
        <v>570</v>
      </c>
      <c r="CE247" s="23"/>
      <c r="CF247" s="23"/>
      <c r="CG247" s="23"/>
      <c r="CH247" s="23"/>
      <c r="CI247" s="23"/>
      <c r="CJ247" s="23"/>
      <c r="CK247" s="23"/>
      <c r="CL247" s="23"/>
      <c r="CM247" s="23"/>
      <c r="CN247" s="23"/>
      <c r="CO247" s="23"/>
      <c r="CP247" s="23"/>
      <c r="CQ247" s="23"/>
      <c r="CR247" s="23"/>
      <c r="CS247" s="29" t="s">
        <v>570</v>
      </c>
      <c r="CT247" s="29" t="s">
        <v>570</v>
      </c>
      <c r="CU247" s="29" t="s">
        <v>570</v>
      </c>
      <c r="CV247" s="23" t="s">
        <v>570</v>
      </c>
      <c r="CW247" s="30"/>
      <c r="CX247" s="13"/>
      <c r="CY247" s="155">
        <v>42613</v>
      </c>
      <c r="CZ247" s="29">
        <v>7167.88</v>
      </c>
      <c r="DA247" s="13"/>
      <c r="DB247" s="155">
        <v>42699</v>
      </c>
      <c r="DC247" s="37">
        <v>3583.94</v>
      </c>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31">
        <f t="shared" si="114"/>
        <v>10751.82</v>
      </c>
      <c r="DZ247" s="13"/>
      <c r="EA247" s="13"/>
      <c r="EB247" s="13"/>
      <c r="EC247" s="13"/>
      <c r="ED247" s="13"/>
      <c r="EE247" s="13"/>
      <c r="EF247" s="13"/>
      <c r="EG247" s="13">
        <v>180</v>
      </c>
      <c r="EH247" s="13" t="s">
        <v>548</v>
      </c>
      <c r="EI247" s="13" t="s">
        <v>503</v>
      </c>
      <c r="EJ247" s="13" t="s">
        <v>503</v>
      </c>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25">
        <v>0.5</v>
      </c>
      <c r="FM247" s="25">
        <v>0.5</v>
      </c>
      <c r="FN247" s="25">
        <v>0.75</v>
      </c>
      <c r="FO247" s="25">
        <v>0.8</v>
      </c>
      <c r="FP247" s="25">
        <v>0.95</v>
      </c>
      <c r="FQ247" s="25">
        <v>0.95</v>
      </c>
      <c r="FR247" s="25">
        <v>1</v>
      </c>
      <c r="FS247" s="25">
        <v>1</v>
      </c>
      <c r="FT247" s="25">
        <v>1</v>
      </c>
      <c r="FU247" s="25">
        <v>1</v>
      </c>
      <c r="FV247" s="25">
        <v>1</v>
      </c>
      <c r="FW247" s="25">
        <v>1</v>
      </c>
      <c r="FX247" s="25">
        <v>1</v>
      </c>
      <c r="FY247" s="25">
        <v>1</v>
      </c>
      <c r="FZ247" s="25">
        <v>1</v>
      </c>
      <c r="GA247" s="25">
        <v>1</v>
      </c>
      <c r="GB247" s="25">
        <v>1</v>
      </c>
      <c r="GC247" s="25">
        <v>1</v>
      </c>
      <c r="GD247" s="25">
        <v>1</v>
      </c>
      <c r="GE247" s="25">
        <v>1</v>
      </c>
      <c r="GF247" s="25">
        <v>1</v>
      </c>
      <c r="GG247" s="25">
        <v>1</v>
      </c>
      <c r="GH247" s="25">
        <v>1</v>
      </c>
      <c r="GI247" s="25">
        <v>1</v>
      </c>
      <c r="GJ247" s="25">
        <v>1</v>
      </c>
      <c r="GK247" s="25">
        <v>1</v>
      </c>
      <c r="GL247" s="25">
        <v>1</v>
      </c>
      <c r="GM247" s="25">
        <v>1</v>
      </c>
      <c r="GN247" s="25">
        <v>1</v>
      </c>
      <c r="GO247" s="25">
        <v>1</v>
      </c>
      <c r="GP247" s="25">
        <v>1</v>
      </c>
      <c r="GQ247" s="25">
        <v>1</v>
      </c>
      <c r="GR247" s="25">
        <v>1</v>
      </c>
      <c r="GS247" s="25">
        <v>1</v>
      </c>
      <c r="GT247" s="25">
        <v>1</v>
      </c>
      <c r="GU247" s="25">
        <v>1</v>
      </c>
      <c r="GV247" s="25" t="s">
        <v>455</v>
      </c>
      <c r="GW247" s="25" t="s">
        <v>455</v>
      </c>
      <c r="GX247" s="25" t="s">
        <v>455</v>
      </c>
      <c r="GY247" s="25" t="s">
        <v>455</v>
      </c>
      <c r="GZ247" s="25" t="s">
        <v>455</v>
      </c>
      <c r="HA247" s="25" t="s">
        <v>455</v>
      </c>
      <c r="HB247" s="25" t="s">
        <v>455</v>
      </c>
      <c r="HC247" s="25" t="s">
        <v>455</v>
      </c>
      <c r="HD247" s="25" t="s">
        <v>455</v>
      </c>
      <c r="HE247" s="25" t="s">
        <v>455</v>
      </c>
      <c r="HF247" s="25" t="s">
        <v>455</v>
      </c>
      <c r="HG247" s="25" t="s">
        <v>455</v>
      </c>
      <c r="HH247" s="25" t="s">
        <v>455</v>
      </c>
      <c r="HI247" s="25"/>
      <c r="HJ247" s="25"/>
      <c r="HK247" s="25"/>
      <c r="HL247" s="25"/>
      <c r="HM247" s="84"/>
      <c r="HN247" s="84"/>
      <c r="HO247" s="84"/>
      <c r="HP247" s="84"/>
      <c r="HQ247" s="84"/>
      <c r="HR247" s="84"/>
      <c r="HS247" s="84"/>
      <c r="HT247" s="84"/>
      <c r="HU247" s="13"/>
      <c r="HV247" s="13"/>
      <c r="HW247" s="32"/>
      <c r="HX247" s="55"/>
      <c r="HY247" s="55"/>
      <c r="HZ247" s="55"/>
      <c r="IA247" s="55"/>
      <c r="IB247" s="55"/>
      <c r="IC247" s="55"/>
      <c r="ID247" s="55"/>
      <c r="IE247" s="55"/>
      <c r="IF247" s="107">
        <v>10751.82</v>
      </c>
      <c r="IG247" s="107">
        <v>10751.82</v>
      </c>
      <c r="IH247" s="250">
        <f t="shared" si="104"/>
        <v>0</v>
      </c>
      <c r="II247" s="55"/>
      <c r="IJ247" s="55"/>
      <c r="IK247" s="55"/>
      <c r="IL247" s="55"/>
      <c r="IM247" s="55"/>
      <c r="IN247" s="55"/>
      <c r="IO247" s="55"/>
      <c r="IP247" s="55"/>
      <c r="IQ247" s="55"/>
      <c r="IR247" s="55"/>
      <c r="IS247" s="55"/>
      <c r="IT247" s="55"/>
      <c r="IU247" s="55"/>
      <c r="IV247" s="55"/>
      <c r="IW247" s="55"/>
      <c r="IX247" s="55"/>
      <c r="IY247" s="55"/>
      <c r="IZ247" s="55"/>
      <c r="JA247" s="55"/>
      <c r="JB247" s="55"/>
      <c r="JC247" s="55"/>
      <c r="JD247" s="55">
        <v>2016</v>
      </c>
    </row>
    <row r="248" spans="1:265" s="5" customFormat="1" ht="24.95" hidden="1" customHeight="1">
      <c r="A248" s="26" t="s">
        <v>67</v>
      </c>
      <c r="B248" s="26" t="s">
        <v>203</v>
      </c>
      <c r="C248" s="13" t="s">
        <v>349</v>
      </c>
      <c r="D248" s="13" t="s">
        <v>382</v>
      </c>
      <c r="E248" s="16" t="s">
        <v>350</v>
      </c>
      <c r="F248" s="13" t="s">
        <v>356</v>
      </c>
      <c r="G248" s="26" t="s">
        <v>351</v>
      </c>
      <c r="H248" s="13" t="s">
        <v>1516</v>
      </c>
      <c r="I248" s="313" t="s">
        <v>69</v>
      </c>
      <c r="J248" s="26">
        <v>1</v>
      </c>
      <c r="K248" s="49" t="s">
        <v>375</v>
      </c>
      <c r="L248" s="314" t="s">
        <v>1508</v>
      </c>
      <c r="M248" s="15" t="s">
        <v>651</v>
      </c>
      <c r="N248" s="43"/>
      <c r="O248" s="13" t="s">
        <v>206</v>
      </c>
      <c r="P248" s="13" t="s">
        <v>4</v>
      </c>
      <c r="Q248" s="22" t="s">
        <v>794</v>
      </c>
      <c r="R248" s="22"/>
      <c r="S248" s="13"/>
      <c r="T248" s="13"/>
      <c r="U248" s="13"/>
      <c r="V248" s="13"/>
      <c r="W248" s="13" t="s">
        <v>570</v>
      </c>
      <c r="X248" s="13" t="s">
        <v>570</v>
      </c>
      <c r="Y248" s="13"/>
      <c r="Z248" s="13"/>
      <c r="AA248" s="29"/>
      <c r="AB248" s="29">
        <v>0</v>
      </c>
      <c r="AC248" s="29">
        <v>0</v>
      </c>
      <c r="AD248" s="29"/>
      <c r="AE248" s="29">
        <v>0</v>
      </c>
      <c r="AF248" s="29">
        <f t="shared" si="100"/>
        <v>0</v>
      </c>
      <c r="AG248" s="25">
        <v>0.12</v>
      </c>
      <c r="AH248" s="29">
        <f t="shared" si="101"/>
        <v>0</v>
      </c>
      <c r="AI248" s="29">
        <f t="shared" si="102"/>
        <v>0</v>
      </c>
      <c r="AJ248" s="29">
        <f t="shared" si="103"/>
        <v>0</v>
      </c>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37"/>
      <c r="BG248" s="29"/>
      <c r="BH248" s="29"/>
      <c r="BI248" s="23"/>
      <c r="BJ248" s="23" t="s">
        <v>570</v>
      </c>
      <c r="BK248" s="23"/>
      <c r="BL248" s="23"/>
      <c r="BM248" s="23"/>
      <c r="BN248" s="23"/>
      <c r="BO248" s="13"/>
      <c r="BP248" s="13"/>
      <c r="BQ248" s="23"/>
      <c r="BR248" s="13"/>
      <c r="BS248" s="23"/>
      <c r="BT248" s="23"/>
      <c r="BU248" s="13"/>
      <c r="BV248" s="13"/>
      <c r="BW248" s="13"/>
      <c r="BX248" s="13"/>
      <c r="BY248" s="13"/>
      <c r="BZ248" s="13"/>
      <c r="CA248" s="13"/>
      <c r="CB248" s="224" t="s">
        <v>570</v>
      </c>
      <c r="CC248" s="224" t="s">
        <v>570</v>
      </c>
      <c r="CD248" s="224" t="s">
        <v>570</v>
      </c>
      <c r="CE248" s="13"/>
      <c r="CF248" s="13"/>
      <c r="CG248" s="13"/>
      <c r="CH248" s="13"/>
      <c r="CI248" s="13"/>
      <c r="CJ248" s="13"/>
      <c r="CK248" s="13"/>
      <c r="CL248" s="13"/>
      <c r="CM248" s="13"/>
      <c r="CN248" s="13"/>
      <c r="CO248" s="13"/>
      <c r="CP248" s="13"/>
      <c r="CQ248" s="13"/>
      <c r="CR248" s="13"/>
      <c r="CS248" s="29" t="s">
        <v>570</v>
      </c>
      <c r="CT248" s="29" t="s">
        <v>570</v>
      </c>
      <c r="CU248" s="29" t="s">
        <v>570</v>
      </c>
      <c r="CV248" s="23"/>
      <c r="CW248" s="30"/>
      <c r="CX248" s="13"/>
      <c r="CY248" s="155"/>
      <c r="CZ248" s="29"/>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31"/>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c r="FA248" s="13"/>
      <c r="FB248" s="13"/>
      <c r="FC248" s="13"/>
      <c r="FD248" s="13"/>
      <c r="FE248" s="13"/>
      <c r="FF248" s="13"/>
      <c r="FG248" s="13"/>
      <c r="FH248" s="13"/>
      <c r="FI248" s="13"/>
      <c r="FJ248" s="13"/>
      <c r="FK248" s="13"/>
      <c r="FL248" s="13"/>
      <c r="FM248" s="13"/>
      <c r="FN248" s="13"/>
      <c r="FO248" s="13"/>
      <c r="FP248" s="13"/>
      <c r="FQ248" s="13"/>
      <c r="FR248" s="13"/>
      <c r="FS248" s="13"/>
      <c r="FT248" s="13"/>
      <c r="FU248" s="13"/>
      <c r="FV248" s="25"/>
      <c r="FW248" s="25"/>
      <c r="FX248" s="25"/>
      <c r="FY248" s="25"/>
      <c r="FZ248" s="25">
        <v>0</v>
      </c>
      <c r="GA248" s="25">
        <v>0.13</v>
      </c>
      <c r="GB248" s="25">
        <v>0.13</v>
      </c>
      <c r="GC248" s="25">
        <v>0.13</v>
      </c>
      <c r="GD248" s="25">
        <v>0.13</v>
      </c>
      <c r="GE248" s="25">
        <v>0.13</v>
      </c>
      <c r="GF248" s="25">
        <v>0.57999999999999996</v>
      </c>
      <c r="GG248" s="157">
        <v>0.61399999999999999</v>
      </c>
      <c r="GH248" s="157">
        <v>0.6431</v>
      </c>
      <c r="GI248" s="157">
        <v>0.71</v>
      </c>
      <c r="GJ248" s="157">
        <v>0.71</v>
      </c>
      <c r="GK248" s="157">
        <v>0.71</v>
      </c>
      <c r="GL248" s="157">
        <v>0.71</v>
      </c>
      <c r="GM248" s="157">
        <v>0.71</v>
      </c>
      <c r="GN248" s="157">
        <v>0.71</v>
      </c>
      <c r="GO248" s="157">
        <v>0.71</v>
      </c>
      <c r="GP248" s="157">
        <v>0.77</v>
      </c>
      <c r="GQ248" s="157">
        <v>0.84</v>
      </c>
      <c r="GR248" s="157">
        <v>0.84</v>
      </c>
      <c r="GS248" s="157">
        <v>0.84</v>
      </c>
      <c r="GT248" s="157">
        <v>0.84</v>
      </c>
      <c r="GU248" s="157">
        <v>0.84</v>
      </c>
      <c r="GV248" s="25" t="s">
        <v>1588</v>
      </c>
      <c r="GW248" s="25" t="s">
        <v>1588</v>
      </c>
      <c r="GX248" s="25" t="s">
        <v>1588</v>
      </c>
      <c r="GY248" s="25" t="s">
        <v>1588</v>
      </c>
      <c r="GZ248" s="25" t="s">
        <v>1588</v>
      </c>
      <c r="HA248" s="25" t="s">
        <v>1588</v>
      </c>
      <c r="HB248" s="25" t="s">
        <v>1588</v>
      </c>
      <c r="HC248" s="25" t="s">
        <v>1588</v>
      </c>
      <c r="HD248" s="25" t="s">
        <v>1588</v>
      </c>
      <c r="HE248" s="25" t="s">
        <v>1588</v>
      </c>
      <c r="HF248" s="25" t="s">
        <v>1588</v>
      </c>
      <c r="HG248" s="25" t="s">
        <v>1588</v>
      </c>
      <c r="HH248" s="25" t="s">
        <v>1588</v>
      </c>
      <c r="HI248" s="25"/>
      <c r="HJ248" s="25"/>
      <c r="HK248" s="25"/>
      <c r="HL248" s="25"/>
      <c r="HM248" s="84"/>
      <c r="HN248" s="84"/>
      <c r="HO248" s="84"/>
      <c r="HP248" s="84"/>
      <c r="HQ248" s="84"/>
      <c r="HR248" s="84"/>
      <c r="HS248" s="84"/>
      <c r="HT248" s="84"/>
      <c r="HU248" s="16"/>
      <c r="HV248" s="16"/>
      <c r="HW248" s="16" t="s">
        <v>1584</v>
      </c>
      <c r="HX248" s="55"/>
      <c r="HY248" s="55"/>
      <c r="HZ248" s="55"/>
      <c r="IA248" s="55"/>
      <c r="IB248" s="55"/>
      <c r="IC248" s="55"/>
      <c r="ID248" s="55"/>
      <c r="IE248" s="55"/>
      <c r="IF248" s="107">
        <v>0</v>
      </c>
      <c r="IG248" s="107"/>
      <c r="IH248" s="250">
        <f t="shared" si="104"/>
        <v>0</v>
      </c>
      <c r="II248" s="55"/>
      <c r="IJ248" s="55"/>
      <c r="IK248" s="55"/>
      <c r="IL248" s="55"/>
      <c r="IM248" s="55"/>
      <c r="IN248" s="55"/>
      <c r="IO248" s="55"/>
      <c r="IP248" s="55"/>
      <c r="IQ248" s="55"/>
      <c r="IR248" s="55"/>
      <c r="IS248" s="55"/>
      <c r="IT248" s="55"/>
      <c r="IU248" s="55"/>
      <c r="IV248" s="55"/>
      <c r="IW248" s="55"/>
      <c r="IX248" s="55"/>
      <c r="IY248" s="55"/>
      <c r="IZ248" s="55"/>
      <c r="JA248" s="55"/>
      <c r="JB248" s="55"/>
      <c r="JC248" s="55"/>
      <c r="JD248" s="55">
        <v>2019</v>
      </c>
      <c r="JE248" s="5" t="s">
        <v>2007</v>
      </c>
    </row>
    <row r="249" spans="1:265" s="5" customFormat="1" ht="24.95" hidden="1" customHeight="1">
      <c r="A249" s="26" t="s">
        <v>67</v>
      </c>
      <c r="B249" s="26" t="s">
        <v>203</v>
      </c>
      <c r="C249" s="13" t="s">
        <v>349</v>
      </c>
      <c r="D249" s="13" t="s">
        <v>382</v>
      </c>
      <c r="E249" s="16" t="s">
        <v>350</v>
      </c>
      <c r="F249" s="13" t="s">
        <v>356</v>
      </c>
      <c r="G249" s="26" t="s">
        <v>351</v>
      </c>
      <c r="H249" s="13" t="s">
        <v>1516</v>
      </c>
      <c r="I249" s="313" t="s">
        <v>69</v>
      </c>
      <c r="J249" s="26">
        <v>1</v>
      </c>
      <c r="K249" s="49" t="s">
        <v>375</v>
      </c>
      <c r="L249" s="314" t="s">
        <v>1509</v>
      </c>
      <c r="M249" s="15" t="s">
        <v>652</v>
      </c>
      <c r="N249" s="43"/>
      <c r="O249" s="13" t="s">
        <v>206</v>
      </c>
      <c r="P249" s="13" t="s">
        <v>4</v>
      </c>
      <c r="Q249" s="22" t="s">
        <v>794</v>
      </c>
      <c r="R249" s="22"/>
      <c r="S249" s="13"/>
      <c r="T249" s="13"/>
      <c r="U249" s="13"/>
      <c r="V249" s="13"/>
      <c r="W249" s="13" t="s">
        <v>570</v>
      </c>
      <c r="X249" s="13" t="s">
        <v>570</v>
      </c>
      <c r="Y249" s="13"/>
      <c r="Z249" s="13"/>
      <c r="AA249" s="29"/>
      <c r="AB249" s="29">
        <v>0</v>
      </c>
      <c r="AC249" s="29">
        <v>0</v>
      </c>
      <c r="AD249" s="29"/>
      <c r="AE249" s="29">
        <v>0</v>
      </c>
      <c r="AF249" s="29">
        <f t="shared" si="100"/>
        <v>0</v>
      </c>
      <c r="AG249" s="25">
        <v>0.12</v>
      </c>
      <c r="AH249" s="29">
        <f t="shared" si="101"/>
        <v>0</v>
      </c>
      <c r="AI249" s="29">
        <f t="shared" si="102"/>
        <v>0</v>
      </c>
      <c r="AJ249" s="29">
        <f t="shared" si="103"/>
        <v>0</v>
      </c>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37"/>
      <c r="BG249" s="29"/>
      <c r="BH249" s="29"/>
      <c r="BI249" s="23"/>
      <c r="BJ249" s="23" t="s">
        <v>570</v>
      </c>
      <c r="BK249" s="23"/>
      <c r="BL249" s="23"/>
      <c r="BM249" s="23"/>
      <c r="BN249" s="23"/>
      <c r="BO249" s="13"/>
      <c r="BP249" s="13"/>
      <c r="BQ249" s="23"/>
      <c r="BR249" s="13"/>
      <c r="BS249" s="23"/>
      <c r="BT249" s="23"/>
      <c r="BU249" s="13"/>
      <c r="BV249" s="13"/>
      <c r="BW249" s="13"/>
      <c r="BX249" s="13"/>
      <c r="BY249" s="13"/>
      <c r="BZ249" s="13"/>
      <c r="CA249" s="13"/>
      <c r="CB249" s="224" t="s">
        <v>570</v>
      </c>
      <c r="CC249" s="224" t="s">
        <v>570</v>
      </c>
      <c r="CD249" s="224" t="s">
        <v>570</v>
      </c>
      <c r="CE249" s="13"/>
      <c r="CF249" s="13"/>
      <c r="CG249" s="13"/>
      <c r="CH249" s="13"/>
      <c r="CI249" s="13"/>
      <c r="CJ249" s="13"/>
      <c r="CK249" s="13"/>
      <c r="CL249" s="13"/>
      <c r="CM249" s="13"/>
      <c r="CN249" s="13"/>
      <c r="CO249" s="13"/>
      <c r="CP249" s="13"/>
      <c r="CQ249" s="13"/>
      <c r="CR249" s="13"/>
      <c r="CS249" s="29" t="s">
        <v>570</v>
      </c>
      <c r="CT249" s="29" t="s">
        <v>570</v>
      </c>
      <c r="CU249" s="29" t="s">
        <v>570</v>
      </c>
      <c r="CV249" s="23"/>
      <c r="CW249" s="30"/>
      <c r="CX249" s="13"/>
      <c r="CY249" s="155"/>
      <c r="CZ249" s="29"/>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31"/>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13"/>
      <c r="FB249" s="13"/>
      <c r="FC249" s="13"/>
      <c r="FD249" s="13"/>
      <c r="FE249" s="13"/>
      <c r="FF249" s="13"/>
      <c r="FG249" s="13"/>
      <c r="FH249" s="13"/>
      <c r="FI249" s="13"/>
      <c r="FJ249" s="13"/>
      <c r="FK249" s="13"/>
      <c r="FL249" s="13"/>
      <c r="FM249" s="13"/>
      <c r="FN249" s="13"/>
      <c r="FO249" s="13"/>
      <c r="FP249" s="13"/>
      <c r="FQ249" s="13"/>
      <c r="FR249" s="13"/>
      <c r="FS249" s="13"/>
      <c r="FT249" s="13"/>
      <c r="FU249" s="13"/>
      <c r="FV249" s="25"/>
      <c r="FW249" s="25"/>
      <c r="FX249" s="25"/>
      <c r="FY249" s="25"/>
      <c r="FZ249" s="25">
        <v>0</v>
      </c>
      <c r="GA249" s="25">
        <v>0.13</v>
      </c>
      <c r="GB249" s="25">
        <v>0.13</v>
      </c>
      <c r="GC249" s="25">
        <v>0.13</v>
      </c>
      <c r="GD249" s="25">
        <v>0.13</v>
      </c>
      <c r="GE249" s="25">
        <v>0.13</v>
      </c>
      <c r="GF249" s="25">
        <v>0.57999999999999996</v>
      </c>
      <c r="GG249" s="157">
        <v>0.61399999999999999</v>
      </c>
      <c r="GH249" s="157">
        <v>0.6431</v>
      </c>
      <c r="GI249" s="157">
        <v>0.71</v>
      </c>
      <c r="GJ249" s="157">
        <v>0.71</v>
      </c>
      <c r="GK249" s="157">
        <v>0.71</v>
      </c>
      <c r="GL249" s="157">
        <v>0.71</v>
      </c>
      <c r="GM249" s="157">
        <v>0.71</v>
      </c>
      <c r="GN249" s="157">
        <v>0.71</v>
      </c>
      <c r="GO249" s="157">
        <v>0.71</v>
      </c>
      <c r="GP249" s="157">
        <v>0.77</v>
      </c>
      <c r="GQ249" s="157">
        <v>0.84</v>
      </c>
      <c r="GR249" s="157">
        <v>0.84</v>
      </c>
      <c r="GS249" s="157">
        <v>0.84</v>
      </c>
      <c r="GT249" s="157">
        <v>0.84</v>
      </c>
      <c r="GU249" s="157">
        <v>0.84</v>
      </c>
      <c r="GV249" s="25" t="s">
        <v>1588</v>
      </c>
      <c r="GW249" s="25" t="s">
        <v>1588</v>
      </c>
      <c r="GX249" s="25" t="s">
        <v>1588</v>
      </c>
      <c r="GY249" s="25" t="s">
        <v>1588</v>
      </c>
      <c r="GZ249" s="25" t="s">
        <v>1588</v>
      </c>
      <c r="HA249" s="25" t="s">
        <v>1588</v>
      </c>
      <c r="HB249" s="25" t="s">
        <v>1588</v>
      </c>
      <c r="HC249" s="25" t="s">
        <v>1588</v>
      </c>
      <c r="HD249" s="25" t="s">
        <v>1588</v>
      </c>
      <c r="HE249" s="25" t="s">
        <v>1588</v>
      </c>
      <c r="HF249" s="25" t="s">
        <v>1588</v>
      </c>
      <c r="HG249" s="25" t="s">
        <v>1588</v>
      </c>
      <c r="HH249" s="25" t="s">
        <v>1588</v>
      </c>
      <c r="HI249" s="25"/>
      <c r="HJ249" s="25"/>
      <c r="HK249" s="25"/>
      <c r="HL249" s="25"/>
      <c r="HM249" s="84"/>
      <c r="HN249" s="84"/>
      <c r="HO249" s="84"/>
      <c r="HP249" s="84"/>
      <c r="HQ249" s="84"/>
      <c r="HR249" s="84"/>
      <c r="HS249" s="84"/>
      <c r="HT249" s="84"/>
      <c r="HU249" s="16"/>
      <c r="HV249" s="16"/>
      <c r="HW249" s="16" t="s">
        <v>1584</v>
      </c>
      <c r="HX249" s="55"/>
      <c r="HY249" s="55"/>
      <c r="HZ249" s="55"/>
      <c r="IA249" s="55"/>
      <c r="IB249" s="55"/>
      <c r="IC249" s="55"/>
      <c r="ID249" s="55"/>
      <c r="IE249" s="55"/>
      <c r="IF249" s="107">
        <v>0</v>
      </c>
      <c r="IG249" s="107"/>
      <c r="IH249" s="250">
        <f t="shared" si="104"/>
        <v>0</v>
      </c>
      <c r="II249" s="55"/>
      <c r="IJ249" s="55"/>
      <c r="IK249" s="55"/>
      <c r="IL249" s="55"/>
      <c r="IM249" s="55"/>
      <c r="IN249" s="55"/>
      <c r="IO249" s="55"/>
      <c r="IP249" s="55"/>
      <c r="IQ249" s="55"/>
      <c r="IR249" s="55"/>
      <c r="IS249" s="55"/>
      <c r="IT249" s="55"/>
      <c r="IU249" s="55"/>
      <c r="IV249" s="55"/>
      <c r="IW249" s="55"/>
      <c r="IX249" s="55"/>
      <c r="IY249" s="55"/>
      <c r="IZ249" s="55"/>
      <c r="JA249" s="55"/>
      <c r="JB249" s="55"/>
      <c r="JC249" s="55"/>
      <c r="JD249" s="55">
        <v>2019</v>
      </c>
      <c r="JE249" s="5" t="s">
        <v>2007</v>
      </c>
    </row>
    <row r="250" spans="1:265" s="5" customFormat="1" ht="24.95" hidden="1" customHeight="1">
      <c r="A250" s="26" t="s">
        <v>67</v>
      </c>
      <c r="B250" s="26" t="s">
        <v>203</v>
      </c>
      <c r="C250" s="13" t="s">
        <v>349</v>
      </c>
      <c r="D250" s="13" t="s">
        <v>382</v>
      </c>
      <c r="E250" s="16" t="s">
        <v>350</v>
      </c>
      <c r="F250" s="13" t="s">
        <v>356</v>
      </c>
      <c r="G250" s="26" t="s">
        <v>351</v>
      </c>
      <c r="H250" s="13" t="s">
        <v>1516</v>
      </c>
      <c r="I250" s="313" t="s">
        <v>69</v>
      </c>
      <c r="J250" s="26">
        <v>1</v>
      </c>
      <c r="K250" s="49" t="s">
        <v>375</v>
      </c>
      <c r="L250" s="314" t="s">
        <v>650</v>
      </c>
      <c r="M250" s="15" t="s">
        <v>653</v>
      </c>
      <c r="N250" s="43"/>
      <c r="O250" s="13" t="s">
        <v>206</v>
      </c>
      <c r="P250" s="13" t="s">
        <v>4</v>
      </c>
      <c r="Q250" s="22" t="s">
        <v>364</v>
      </c>
      <c r="R250" s="22" t="s">
        <v>1511</v>
      </c>
      <c r="S250" s="13" t="s">
        <v>1512</v>
      </c>
      <c r="T250" s="13" t="s">
        <v>1387</v>
      </c>
      <c r="U250" s="13" t="s">
        <v>477</v>
      </c>
      <c r="V250" s="13" t="s">
        <v>1513</v>
      </c>
      <c r="W250" s="13" t="s">
        <v>570</v>
      </c>
      <c r="X250" s="13" t="s">
        <v>570</v>
      </c>
      <c r="Y250" s="13"/>
      <c r="Z250" s="13"/>
      <c r="AA250" s="29"/>
      <c r="AB250" s="29">
        <v>29172</v>
      </c>
      <c r="AC250" s="29">
        <v>0</v>
      </c>
      <c r="AD250" s="29">
        <v>29172</v>
      </c>
      <c r="AE250" s="29">
        <v>0</v>
      </c>
      <c r="AF250" s="29">
        <f t="shared" si="100"/>
        <v>29172</v>
      </c>
      <c r="AG250" s="25">
        <v>0.12</v>
      </c>
      <c r="AH250" s="29">
        <f t="shared" ref="AH250:AH281" si="116">AD250*0.12</f>
        <v>3500.64</v>
      </c>
      <c r="AI250" s="29">
        <f t="shared" ref="AI250:AI281" si="117">AE250*0.12</f>
        <v>0</v>
      </c>
      <c r="AJ250" s="29">
        <f t="shared" ref="AJ250:AJ281" si="118">AF250*1.12</f>
        <v>32672.640000000003</v>
      </c>
      <c r="AK250" s="29"/>
      <c r="AL250" s="29"/>
      <c r="AM250" s="29"/>
      <c r="AN250" s="29"/>
      <c r="AO250" s="29">
        <v>29172</v>
      </c>
      <c r="AP250" s="29"/>
      <c r="AQ250" s="29">
        <v>29172</v>
      </c>
      <c r="AR250" s="29"/>
      <c r="AS250" s="29"/>
      <c r="AT250" s="29"/>
      <c r="AU250" s="29"/>
      <c r="AV250" s="29"/>
      <c r="AW250" s="29"/>
      <c r="AX250" s="29"/>
      <c r="AY250" s="29"/>
      <c r="AZ250" s="29"/>
      <c r="BA250" s="29"/>
      <c r="BB250" s="29"/>
      <c r="BC250" s="29"/>
      <c r="BD250" s="29"/>
      <c r="BE250" s="29"/>
      <c r="BF250" s="29">
        <f>AB250-AQ250</f>
        <v>0</v>
      </c>
      <c r="BG250" s="29">
        <f>BF250-AW250-AZ250-BC250-BE250</f>
        <v>0</v>
      </c>
      <c r="BH250" s="29"/>
      <c r="BI250" s="23" t="s">
        <v>570</v>
      </c>
      <c r="BJ250" s="23" t="s">
        <v>570</v>
      </c>
      <c r="BK250" s="23">
        <v>42821</v>
      </c>
      <c r="BL250" s="23">
        <v>42842</v>
      </c>
      <c r="BM250" s="23">
        <v>42844</v>
      </c>
      <c r="BN250" s="23">
        <v>42845</v>
      </c>
      <c r="BO250" s="13"/>
      <c r="BP250" s="13"/>
      <c r="BQ250" s="23">
        <v>42852</v>
      </c>
      <c r="BR250" s="13"/>
      <c r="BS250" s="23">
        <v>42857</v>
      </c>
      <c r="BT250" s="23">
        <v>42864</v>
      </c>
      <c r="BU250" s="13"/>
      <c r="BV250" s="13"/>
      <c r="BW250" s="13" t="s">
        <v>570</v>
      </c>
      <c r="BX250" s="23">
        <v>42899</v>
      </c>
      <c r="BY250" s="13"/>
      <c r="BZ250" s="13"/>
      <c r="CA250" s="23">
        <v>42915</v>
      </c>
      <c r="CB250" s="224" t="s">
        <v>570</v>
      </c>
      <c r="CC250" s="224" t="s">
        <v>570</v>
      </c>
      <c r="CD250" s="224" t="s">
        <v>570</v>
      </c>
      <c r="CE250" s="13"/>
      <c r="CF250" s="13"/>
      <c r="CG250" s="13"/>
      <c r="CH250" s="13"/>
      <c r="CI250" s="13"/>
      <c r="CJ250" s="13"/>
      <c r="CK250" s="13"/>
      <c r="CL250" s="13"/>
      <c r="CM250" s="13"/>
      <c r="CN250" s="13"/>
      <c r="CO250" s="13"/>
      <c r="CP250" s="13"/>
      <c r="CQ250" s="13"/>
      <c r="CR250" s="13"/>
      <c r="CS250" s="29" t="s">
        <v>570</v>
      </c>
      <c r="CT250" s="29" t="s">
        <v>570</v>
      </c>
      <c r="CU250" s="29" t="s">
        <v>570</v>
      </c>
      <c r="CV250" s="23"/>
      <c r="CW250" s="30"/>
      <c r="CX250" s="13"/>
      <c r="CY250" s="155"/>
      <c r="CZ250" s="29"/>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31">
        <f>CW250+CZ250+DC250+DF250+DI250+DL250+DO250+DR250+DU250+DX250</f>
        <v>0</v>
      </c>
      <c r="DZ250" s="13"/>
      <c r="EA250" s="13"/>
      <c r="EB250" s="13"/>
      <c r="EC250" s="13"/>
      <c r="ED250" s="13"/>
      <c r="EE250" s="13"/>
      <c r="EF250" s="13"/>
      <c r="EG250" s="13">
        <v>330</v>
      </c>
      <c r="EH250" s="13" t="s">
        <v>904</v>
      </c>
      <c r="EI250" s="13"/>
      <c r="EJ250" s="13"/>
      <c r="EK250" s="13"/>
      <c r="EL250" s="13"/>
      <c r="EM250" s="13"/>
      <c r="EN250" s="13"/>
      <c r="EO250" s="13"/>
      <c r="EP250" s="13"/>
      <c r="EQ250" s="13"/>
      <c r="ER250" s="13"/>
      <c r="ES250" s="13"/>
      <c r="ET250" s="13"/>
      <c r="EU250" s="13"/>
      <c r="EV250" s="13"/>
      <c r="EW250" s="13"/>
      <c r="EX250" s="13"/>
      <c r="EY250" s="13"/>
      <c r="EZ250" s="13"/>
      <c r="FA250" s="13"/>
      <c r="FB250" s="13"/>
      <c r="FC250" s="13"/>
      <c r="FD250" s="13"/>
      <c r="FE250" s="13"/>
      <c r="FF250" s="13"/>
      <c r="FG250" s="13"/>
      <c r="FH250" s="13"/>
      <c r="FI250" s="13"/>
      <c r="FJ250" s="13"/>
      <c r="FK250" s="13"/>
      <c r="FL250" s="13"/>
      <c r="FM250" s="13"/>
      <c r="FN250" s="13"/>
      <c r="FO250" s="13"/>
      <c r="FP250" s="13"/>
      <c r="FQ250" s="13"/>
      <c r="FR250" s="13"/>
      <c r="FS250" s="13"/>
      <c r="FT250" s="13"/>
      <c r="FU250" s="13"/>
      <c r="FV250" s="25"/>
      <c r="FW250" s="25">
        <v>0</v>
      </c>
      <c r="FX250" s="25">
        <v>0</v>
      </c>
      <c r="FY250" s="25">
        <v>0</v>
      </c>
      <c r="FZ250" s="25">
        <v>0</v>
      </c>
      <c r="GA250" s="25">
        <v>0.13</v>
      </c>
      <c r="GB250" s="25">
        <v>0.13</v>
      </c>
      <c r="GC250" s="25">
        <v>0.13</v>
      </c>
      <c r="GD250" s="25">
        <v>0.13</v>
      </c>
      <c r="GE250" s="25">
        <v>0.13</v>
      </c>
      <c r="GF250" s="25">
        <v>0.57999999999999996</v>
      </c>
      <c r="GG250" s="157">
        <v>0.61399999999999999</v>
      </c>
      <c r="GH250" s="157">
        <v>0.6431</v>
      </c>
      <c r="GI250" s="157">
        <v>0.71</v>
      </c>
      <c r="GJ250" s="157">
        <v>0.73</v>
      </c>
      <c r="GK250" s="157">
        <v>0.73</v>
      </c>
      <c r="GL250" s="157">
        <v>0.73</v>
      </c>
      <c r="GM250" s="157">
        <v>0.75</v>
      </c>
      <c r="GN250" s="157">
        <v>0.76</v>
      </c>
      <c r="GO250" s="157">
        <v>0.77</v>
      </c>
      <c r="GP250" s="157">
        <v>0.77</v>
      </c>
      <c r="GQ250" s="157">
        <v>0.84</v>
      </c>
      <c r="GR250" s="157">
        <v>0.84</v>
      </c>
      <c r="GS250" s="157">
        <v>0.84</v>
      </c>
      <c r="GT250" s="157">
        <v>0.85</v>
      </c>
      <c r="GU250" s="157">
        <v>0.85</v>
      </c>
      <c r="GV250" s="25" t="s">
        <v>1588</v>
      </c>
      <c r="GW250" s="25" t="s">
        <v>1588</v>
      </c>
      <c r="GX250" s="25" t="s">
        <v>1588</v>
      </c>
      <c r="GY250" s="25" t="s">
        <v>1588</v>
      </c>
      <c r="GZ250" s="25" t="s">
        <v>1588</v>
      </c>
      <c r="HA250" s="25" t="s">
        <v>1588</v>
      </c>
      <c r="HB250" s="25" t="s">
        <v>1588</v>
      </c>
      <c r="HC250" s="25" t="s">
        <v>1588</v>
      </c>
      <c r="HD250" s="25" t="s">
        <v>1588</v>
      </c>
      <c r="HE250" s="25" t="s">
        <v>1588</v>
      </c>
      <c r="HF250" s="25" t="s">
        <v>1588</v>
      </c>
      <c r="HG250" s="25" t="s">
        <v>1588</v>
      </c>
      <c r="HH250" s="25" t="s">
        <v>1588</v>
      </c>
      <c r="HI250" s="25"/>
      <c r="HJ250" s="25"/>
      <c r="HK250" s="25"/>
      <c r="HL250" s="25"/>
      <c r="HM250" s="84"/>
      <c r="HN250" s="84" t="s">
        <v>1787</v>
      </c>
      <c r="HO250" s="84"/>
      <c r="HP250" s="84"/>
      <c r="HQ250" s="84"/>
      <c r="HR250" s="84"/>
      <c r="HS250" s="84"/>
      <c r="HT250" s="84"/>
      <c r="HU250" s="16" t="s">
        <v>769</v>
      </c>
      <c r="HV250" s="16"/>
      <c r="HW250" s="13" t="s">
        <v>1202</v>
      </c>
      <c r="HX250" s="55"/>
      <c r="HY250" s="55"/>
      <c r="HZ250" s="55"/>
      <c r="IA250" s="55"/>
      <c r="IB250" s="55"/>
      <c r="IC250" s="55"/>
      <c r="ID250" s="55"/>
      <c r="IE250" s="55"/>
      <c r="IF250" s="107">
        <v>29172</v>
      </c>
      <c r="IG250" s="107"/>
      <c r="IH250" s="250">
        <f t="shared" ref="IH250:IH281" si="119">AK250-IG250</f>
        <v>0</v>
      </c>
      <c r="II250" s="55"/>
      <c r="IJ250" s="55"/>
      <c r="IK250" s="55"/>
      <c r="IL250" s="55"/>
      <c r="IM250" s="55"/>
      <c r="IN250" s="55"/>
      <c r="IO250" s="55"/>
      <c r="IP250" s="55"/>
      <c r="IQ250" s="55"/>
      <c r="IR250" s="55"/>
      <c r="IS250" s="55"/>
      <c r="IT250" s="55"/>
      <c r="IU250" s="55"/>
      <c r="IV250" s="55"/>
      <c r="IW250" s="55"/>
      <c r="IX250" s="55"/>
      <c r="IY250" s="55"/>
      <c r="IZ250" s="55"/>
      <c r="JA250" s="55"/>
      <c r="JB250" s="55"/>
      <c r="JC250" s="55"/>
      <c r="JD250" s="55">
        <v>2019</v>
      </c>
      <c r="JE250" s="5" t="s">
        <v>2007</v>
      </c>
    </row>
    <row r="251" spans="1:265" s="5" customFormat="1" ht="24.95" hidden="1" customHeight="1">
      <c r="A251" s="26" t="s">
        <v>67</v>
      </c>
      <c r="B251" s="26" t="s">
        <v>203</v>
      </c>
      <c r="C251" s="13" t="s">
        <v>349</v>
      </c>
      <c r="D251" s="13" t="s">
        <v>382</v>
      </c>
      <c r="E251" s="16" t="s">
        <v>350</v>
      </c>
      <c r="F251" s="13" t="s">
        <v>383</v>
      </c>
      <c r="G251" s="26" t="s">
        <v>351</v>
      </c>
      <c r="H251" s="13" t="s">
        <v>1516</v>
      </c>
      <c r="I251" s="313" t="s">
        <v>69</v>
      </c>
      <c r="J251" s="26">
        <v>1</v>
      </c>
      <c r="K251" s="49" t="s">
        <v>375</v>
      </c>
      <c r="L251" s="314" t="s">
        <v>1510</v>
      </c>
      <c r="M251" s="15" t="s">
        <v>788</v>
      </c>
      <c r="N251" s="43"/>
      <c r="O251" s="13" t="s">
        <v>206</v>
      </c>
      <c r="P251" s="13" t="s">
        <v>4</v>
      </c>
      <c r="Q251" s="22" t="s">
        <v>794</v>
      </c>
      <c r="R251" s="22"/>
      <c r="S251" s="13"/>
      <c r="T251" s="13"/>
      <c r="U251" s="13"/>
      <c r="V251" s="13"/>
      <c r="W251" s="13" t="s">
        <v>570</v>
      </c>
      <c r="X251" s="13" t="s">
        <v>570</v>
      </c>
      <c r="Y251" s="13"/>
      <c r="Z251" s="13"/>
      <c r="AA251" s="29"/>
      <c r="AB251" s="29">
        <v>0</v>
      </c>
      <c r="AC251" s="29">
        <v>0</v>
      </c>
      <c r="AD251" s="29"/>
      <c r="AE251" s="29">
        <v>0</v>
      </c>
      <c r="AF251" s="29">
        <f t="shared" si="100"/>
        <v>0</v>
      </c>
      <c r="AG251" s="25">
        <v>0.12</v>
      </c>
      <c r="AH251" s="29">
        <f t="shared" si="116"/>
        <v>0</v>
      </c>
      <c r="AI251" s="29">
        <f t="shared" si="117"/>
        <v>0</v>
      </c>
      <c r="AJ251" s="29">
        <f t="shared" si="118"/>
        <v>0</v>
      </c>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37"/>
      <c r="BG251" s="29"/>
      <c r="BH251" s="29"/>
      <c r="BI251" s="23"/>
      <c r="BJ251" s="23" t="s">
        <v>570</v>
      </c>
      <c r="BK251" s="23"/>
      <c r="BL251" s="23"/>
      <c r="BM251" s="23"/>
      <c r="BN251" s="23"/>
      <c r="BO251" s="13"/>
      <c r="BP251" s="13"/>
      <c r="BQ251" s="23"/>
      <c r="BR251" s="13"/>
      <c r="BS251" s="23"/>
      <c r="BT251" s="23"/>
      <c r="BU251" s="13"/>
      <c r="BV251" s="13"/>
      <c r="BW251" s="13"/>
      <c r="BX251" s="13"/>
      <c r="BY251" s="13"/>
      <c r="BZ251" s="13"/>
      <c r="CA251" s="13"/>
      <c r="CB251" s="224" t="s">
        <v>570</v>
      </c>
      <c r="CC251" s="224" t="s">
        <v>570</v>
      </c>
      <c r="CD251" s="224" t="s">
        <v>570</v>
      </c>
      <c r="CE251" s="13"/>
      <c r="CF251" s="13"/>
      <c r="CG251" s="13"/>
      <c r="CH251" s="13"/>
      <c r="CI251" s="13"/>
      <c r="CJ251" s="13"/>
      <c r="CK251" s="13"/>
      <c r="CL251" s="13"/>
      <c r="CM251" s="13"/>
      <c r="CN251" s="13"/>
      <c r="CO251" s="13"/>
      <c r="CP251" s="13"/>
      <c r="CQ251" s="13"/>
      <c r="CR251" s="13"/>
      <c r="CS251" s="29" t="s">
        <v>570</v>
      </c>
      <c r="CT251" s="29" t="s">
        <v>570</v>
      </c>
      <c r="CU251" s="29" t="s">
        <v>570</v>
      </c>
      <c r="CV251" s="23"/>
      <c r="CW251" s="30"/>
      <c r="CX251" s="13"/>
      <c r="CY251" s="155"/>
      <c r="CZ251" s="29"/>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31"/>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c r="EY251" s="13"/>
      <c r="EZ251" s="13"/>
      <c r="FA251" s="13"/>
      <c r="FB251" s="13"/>
      <c r="FC251" s="13"/>
      <c r="FD251" s="13"/>
      <c r="FE251" s="13"/>
      <c r="FF251" s="13"/>
      <c r="FG251" s="13"/>
      <c r="FH251" s="13"/>
      <c r="FI251" s="13"/>
      <c r="FJ251" s="13"/>
      <c r="FK251" s="13"/>
      <c r="FL251" s="13"/>
      <c r="FM251" s="13"/>
      <c r="FN251" s="13"/>
      <c r="FO251" s="13"/>
      <c r="FP251" s="13"/>
      <c r="FQ251" s="13"/>
      <c r="FR251" s="13"/>
      <c r="FS251" s="13"/>
      <c r="FT251" s="13"/>
      <c r="FU251" s="13"/>
      <c r="FV251" s="25"/>
      <c r="FW251" s="25"/>
      <c r="FX251" s="25"/>
      <c r="FY251" s="25"/>
      <c r="FZ251" s="25">
        <v>0</v>
      </c>
      <c r="GA251" s="25">
        <v>0.13</v>
      </c>
      <c r="GB251" s="25">
        <v>0.13</v>
      </c>
      <c r="GC251" s="25">
        <v>0.13</v>
      </c>
      <c r="GD251" s="25">
        <v>0.13</v>
      </c>
      <c r="GE251" s="25">
        <v>0.13</v>
      </c>
      <c r="GF251" s="25">
        <v>0.57999999999999996</v>
      </c>
      <c r="GG251" s="157">
        <v>0.61399999999999999</v>
      </c>
      <c r="GH251" s="157">
        <v>0.61399999999999999</v>
      </c>
      <c r="GI251" s="157">
        <v>0.71</v>
      </c>
      <c r="GJ251" s="157">
        <v>0.71</v>
      </c>
      <c r="GK251" s="157">
        <v>0.71</v>
      </c>
      <c r="GL251" s="157">
        <v>0.71</v>
      </c>
      <c r="GM251" s="157">
        <v>0.71</v>
      </c>
      <c r="GN251" s="157">
        <v>0.71</v>
      </c>
      <c r="GO251" s="157">
        <v>0.71</v>
      </c>
      <c r="GP251" s="157">
        <v>0.77</v>
      </c>
      <c r="GQ251" s="157">
        <v>0.84</v>
      </c>
      <c r="GR251" s="157">
        <v>0.84</v>
      </c>
      <c r="GS251" s="157">
        <v>0.84</v>
      </c>
      <c r="GT251" s="157">
        <v>0.84</v>
      </c>
      <c r="GU251" s="157">
        <v>0.84</v>
      </c>
      <c r="GV251" s="25" t="s">
        <v>1588</v>
      </c>
      <c r="GW251" s="25" t="s">
        <v>1588</v>
      </c>
      <c r="GX251" s="25" t="s">
        <v>1588</v>
      </c>
      <c r="GY251" s="25" t="s">
        <v>1588</v>
      </c>
      <c r="GZ251" s="25" t="s">
        <v>1588</v>
      </c>
      <c r="HA251" s="25" t="s">
        <v>1588</v>
      </c>
      <c r="HB251" s="25" t="s">
        <v>1588</v>
      </c>
      <c r="HC251" s="25" t="s">
        <v>1588</v>
      </c>
      <c r="HD251" s="25" t="s">
        <v>1588</v>
      </c>
      <c r="HE251" s="25" t="s">
        <v>1588</v>
      </c>
      <c r="HF251" s="25" t="s">
        <v>1588</v>
      </c>
      <c r="HG251" s="25" t="s">
        <v>1588</v>
      </c>
      <c r="HH251" s="25" t="s">
        <v>1588</v>
      </c>
      <c r="HI251" s="25"/>
      <c r="HJ251" s="25"/>
      <c r="HK251" s="25"/>
      <c r="HL251" s="25"/>
      <c r="HM251" s="84"/>
      <c r="HN251" s="84"/>
      <c r="HO251" s="84"/>
      <c r="HP251" s="84"/>
      <c r="HQ251" s="84"/>
      <c r="HR251" s="84"/>
      <c r="HS251" s="84"/>
      <c r="HT251" s="84"/>
      <c r="HU251" s="16"/>
      <c r="HV251" s="16"/>
      <c r="HW251" s="16" t="s">
        <v>1584</v>
      </c>
      <c r="HX251" s="55"/>
      <c r="HY251" s="55"/>
      <c r="HZ251" s="55"/>
      <c r="IA251" s="55"/>
      <c r="IB251" s="55"/>
      <c r="IC251" s="55"/>
      <c r="ID251" s="55"/>
      <c r="IE251" s="55"/>
      <c r="IF251" s="107">
        <v>0</v>
      </c>
      <c r="IG251" s="107"/>
      <c r="IH251" s="250">
        <f t="shared" si="119"/>
        <v>0</v>
      </c>
      <c r="II251" s="55"/>
      <c r="IJ251" s="55"/>
      <c r="IK251" s="55"/>
      <c r="IL251" s="55"/>
      <c r="IM251" s="55"/>
      <c r="IN251" s="55"/>
      <c r="IO251" s="55"/>
      <c r="IP251" s="55"/>
      <c r="IQ251" s="55"/>
      <c r="IR251" s="55"/>
      <c r="IS251" s="55"/>
      <c r="IT251" s="55"/>
      <c r="IU251" s="55"/>
      <c r="IV251" s="55"/>
      <c r="IW251" s="55"/>
      <c r="IX251" s="55"/>
      <c r="IY251" s="55"/>
      <c r="IZ251" s="55"/>
      <c r="JA251" s="55"/>
      <c r="JB251" s="55"/>
      <c r="JC251" s="55"/>
      <c r="JD251" s="55">
        <v>2019</v>
      </c>
      <c r="JE251" s="5" t="s">
        <v>2007</v>
      </c>
    </row>
    <row r="252" spans="1:265" s="5" customFormat="1" ht="20.100000000000001" hidden="1" customHeight="1">
      <c r="A252" s="26" t="s">
        <v>44</v>
      </c>
      <c r="B252" s="26" t="s">
        <v>203</v>
      </c>
      <c r="C252" s="13" t="s">
        <v>349</v>
      </c>
      <c r="D252" s="13" t="s">
        <v>380</v>
      </c>
      <c r="E252" s="16" t="s">
        <v>360</v>
      </c>
      <c r="F252" s="13" t="s">
        <v>356</v>
      </c>
      <c r="G252" s="26" t="s">
        <v>354</v>
      </c>
      <c r="H252" s="13" t="s">
        <v>1556</v>
      </c>
      <c r="I252" s="313" t="s">
        <v>48</v>
      </c>
      <c r="J252" s="26">
        <v>2</v>
      </c>
      <c r="K252" s="49" t="s">
        <v>375</v>
      </c>
      <c r="L252" s="314" t="s">
        <v>218</v>
      </c>
      <c r="M252" s="15" t="s">
        <v>2031</v>
      </c>
      <c r="N252" s="15"/>
      <c r="O252" s="13" t="s">
        <v>206</v>
      </c>
      <c r="P252" s="13" t="s">
        <v>4</v>
      </c>
      <c r="Q252" s="22" t="s">
        <v>794</v>
      </c>
      <c r="R252" s="22"/>
      <c r="S252" s="13"/>
      <c r="T252" s="13"/>
      <c r="U252" s="13"/>
      <c r="V252" s="13"/>
      <c r="W252" s="13" t="s">
        <v>570</v>
      </c>
      <c r="X252" s="13" t="s">
        <v>570</v>
      </c>
      <c r="Y252" s="13"/>
      <c r="Z252" s="13"/>
      <c r="AA252" s="29"/>
      <c r="AB252" s="29">
        <v>13273.33</v>
      </c>
      <c r="AC252" s="29">
        <v>0</v>
      </c>
      <c r="AD252" s="29">
        <v>13273.33</v>
      </c>
      <c r="AE252" s="29">
        <v>0</v>
      </c>
      <c r="AF252" s="29">
        <f t="shared" si="100"/>
        <v>13273.33</v>
      </c>
      <c r="AG252" s="25">
        <v>0.12</v>
      </c>
      <c r="AH252" s="29">
        <f t="shared" si="116"/>
        <v>1592.7995999999998</v>
      </c>
      <c r="AI252" s="29">
        <f t="shared" si="117"/>
        <v>0</v>
      </c>
      <c r="AJ252" s="29">
        <f t="shared" si="118"/>
        <v>14866.129600000002</v>
      </c>
      <c r="AK252" s="29">
        <v>0</v>
      </c>
      <c r="AL252" s="29">
        <f>AB252-AK252</f>
        <v>13273.33</v>
      </c>
      <c r="AM252" s="29"/>
      <c r="AN252" s="29"/>
      <c r="AO252" s="29"/>
      <c r="AP252" s="29"/>
      <c r="AQ252" s="29"/>
      <c r="AR252" s="29"/>
      <c r="AS252" s="29"/>
      <c r="AT252" s="29"/>
      <c r="AU252" s="29"/>
      <c r="AV252" s="29"/>
      <c r="AW252" s="29"/>
      <c r="AX252" s="29"/>
      <c r="AY252" s="29"/>
      <c r="AZ252" s="29"/>
      <c r="BA252" s="29"/>
      <c r="BB252" s="29"/>
      <c r="BC252" s="29"/>
      <c r="BD252" s="29"/>
      <c r="BE252" s="29"/>
      <c r="BF252" s="37"/>
      <c r="BG252" s="29">
        <f>BF252-AW252-AZ252-BC252-BE252</f>
        <v>0</v>
      </c>
      <c r="BH252" s="37"/>
      <c r="BI252" s="37"/>
      <c r="BJ252" s="23" t="s">
        <v>570</v>
      </c>
      <c r="BK252" s="37"/>
      <c r="BL252" s="37"/>
      <c r="BM252" s="37"/>
      <c r="BN252" s="13"/>
      <c r="BO252" s="13"/>
      <c r="BP252" s="13"/>
      <c r="BQ252" s="13"/>
      <c r="BR252" s="13"/>
      <c r="BS252" s="13"/>
      <c r="BT252" s="13"/>
      <c r="BU252" s="13"/>
      <c r="BV252" s="13"/>
      <c r="BW252" s="13"/>
      <c r="BX252" s="13"/>
      <c r="BY252" s="13"/>
      <c r="BZ252" s="13"/>
      <c r="CA252" s="13"/>
      <c r="CB252" s="224" t="s">
        <v>570</v>
      </c>
      <c r="CC252" s="224" t="s">
        <v>570</v>
      </c>
      <c r="CD252" s="224" t="s">
        <v>570</v>
      </c>
      <c r="CE252" s="13"/>
      <c r="CF252" s="13"/>
      <c r="CG252" s="13"/>
      <c r="CH252" s="13"/>
      <c r="CI252" s="13"/>
      <c r="CJ252" s="13"/>
      <c r="CK252" s="13"/>
      <c r="CL252" s="13"/>
      <c r="CM252" s="13"/>
      <c r="CN252" s="13"/>
      <c r="CO252" s="13"/>
      <c r="CP252" s="13"/>
      <c r="CQ252" s="13"/>
      <c r="CR252" s="13"/>
      <c r="CS252" s="29" t="s">
        <v>570</v>
      </c>
      <c r="CT252" s="29" t="s">
        <v>570</v>
      </c>
      <c r="CU252" s="29" t="s">
        <v>570</v>
      </c>
      <c r="CV252" s="23"/>
      <c r="CW252" s="30"/>
      <c r="CX252" s="13"/>
      <c r="CY252" s="155"/>
      <c r="CZ252" s="29"/>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31">
        <f t="shared" ref="DY252:DY284" si="120">CW252+CZ252+DC252+DF252+DI252+DL252+DO252+DR252+DU252+DX252</f>
        <v>0</v>
      </c>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c r="EY252" s="13"/>
      <c r="EZ252" s="13"/>
      <c r="FA252" s="13"/>
      <c r="FB252" s="13"/>
      <c r="FC252" s="13"/>
      <c r="FD252" s="13"/>
      <c r="FE252" s="13"/>
      <c r="FF252" s="13"/>
      <c r="FG252" s="13"/>
      <c r="FH252" s="13"/>
      <c r="FI252" s="13"/>
      <c r="FJ252" s="13"/>
      <c r="FK252" s="13"/>
      <c r="FL252" s="13"/>
      <c r="FM252" s="13"/>
      <c r="FN252" s="13"/>
      <c r="FO252" s="13"/>
      <c r="FP252" s="13"/>
      <c r="FQ252" s="13"/>
      <c r="FR252" s="13"/>
      <c r="FS252" s="25">
        <v>1</v>
      </c>
      <c r="FT252" s="25">
        <v>1</v>
      </c>
      <c r="FU252" s="25">
        <v>1</v>
      </c>
      <c r="FV252" s="25">
        <v>1</v>
      </c>
      <c r="FW252" s="25">
        <v>1</v>
      </c>
      <c r="FX252" s="25">
        <v>1</v>
      </c>
      <c r="FY252" s="25">
        <v>1</v>
      </c>
      <c r="FZ252" s="25">
        <v>1</v>
      </c>
      <c r="GA252" s="25">
        <v>1</v>
      </c>
      <c r="GB252" s="25">
        <v>1</v>
      </c>
      <c r="GC252" s="25">
        <v>1</v>
      </c>
      <c r="GD252" s="25">
        <v>1</v>
      </c>
      <c r="GE252" s="25">
        <v>1</v>
      </c>
      <c r="GF252" s="25">
        <v>1</v>
      </c>
      <c r="GG252" s="25">
        <v>1</v>
      </c>
      <c r="GH252" s="25">
        <v>1</v>
      </c>
      <c r="GI252" s="25">
        <v>1</v>
      </c>
      <c r="GJ252" s="25">
        <v>1</v>
      </c>
      <c r="GK252" s="25">
        <v>1</v>
      </c>
      <c r="GL252" s="25">
        <v>1</v>
      </c>
      <c r="GM252" s="25">
        <v>1</v>
      </c>
      <c r="GN252" s="25">
        <v>1</v>
      </c>
      <c r="GO252" s="25">
        <v>1</v>
      </c>
      <c r="GP252" s="25">
        <v>1</v>
      </c>
      <c r="GQ252" s="25">
        <v>1</v>
      </c>
      <c r="GR252" s="25">
        <v>1</v>
      </c>
      <c r="GS252" s="25">
        <v>1</v>
      </c>
      <c r="GT252" s="25">
        <v>1</v>
      </c>
      <c r="GU252" s="25">
        <v>1</v>
      </c>
      <c r="GV252" s="25" t="s">
        <v>1588</v>
      </c>
      <c r="GW252" s="25" t="s">
        <v>1588</v>
      </c>
      <c r="GX252" s="25" t="s">
        <v>1588</v>
      </c>
      <c r="GY252" s="25" t="s">
        <v>1588</v>
      </c>
      <c r="GZ252" s="25" t="s">
        <v>1588</v>
      </c>
      <c r="HA252" s="25" t="s">
        <v>1588</v>
      </c>
      <c r="HB252" s="25" t="s">
        <v>1588</v>
      </c>
      <c r="HC252" s="25" t="s">
        <v>1889</v>
      </c>
      <c r="HD252" s="25" t="s">
        <v>1889</v>
      </c>
      <c r="HE252" s="25" t="s">
        <v>1889</v>
      </c>
      <c r="HF252" s="25" t="s">
        <v>1889</v>
      </c>
      <c r="HG252" s="25" t="s">
        <v>1889</v>
      </c>
      <c r="HH252" s="25" t="s">
        <v>1889</v>
      </c>
      <c r="HI252" s="25"/>
      <c r="HJ252" s="25"/>
      <c r="HK252" s="25"/>
      <c r="HL252" s="25"/>
      <c r="HM252" s="84"/>
      <c r="HN252" s="84"/>
      <c r="HO252" s="84"/>
      <c r="HP252" s="84"/>
      <c r="HQ252" s="84"/>
      <c r="HR252" s="84"/>
      <c r="HS252" s="84"/>
      <c r="HT252" s="84"/>
      <c r="HU252" s="13" t="s">
        <v>423</v>
      </c>
      <c r="HV252" s="13"/>
      <c r="HW252" s="32"/>
      <c r="HX252" s="55"/>
      <c r="HY252" s="55"/>
      <c r="HZ252" s="55"/>
      <c r="IA252" s="55"/>
      <c r="IB252" s="55"/>
      <c r="IC252" s="55"/>
      <c r="ID252" s="55"/>
      <c r="IE252" s="55"/>
      <c r="IF252" s="107">
        <v>13273.33</v>
      </c>
      <c r="IG252" s="107">
        <v>0</v>
      </c>
      <c r="IH252" s="250">
        <f t="shared" si="119"/>
        <v>0</v>
      </c>
      <c r="II252" s="55"/>
      <c r="IJ252" s="55"/>
      <c r="IK252" s="55"/>
      <c r="IL252" s="55"/>
      <c r="IM252" s="55"/>
      <c r="IN252" s="55"/>
      <c r="IO252" s="55"/>
      <c r="IP252" s="55"/>
      <c r="IQ252" s="55"/>
      <c r="IR252" s="55"/>
      <c r="IS252" s="55"/>
      <c r="IT252" s="55"/>
      <c r="IU252" s="55"/>
      <c r="IV252" s="55"/>
      <c r="IW252" s="55"/>
      <c r="IX252" s="55"/>
      <c r="IY252" s="55"/>
      <c r="IZ252" s="55"/>
      <c r="JA252" s="55"/>
      <c r="JB252" s="55"/>
      <c r="JC252" s="55"/>
      <c r="JD252" s="55">
        <v>2016</v>
      </c>
    </row>
    <row r="253" spans="1:265" s="5" customFormat="1" ht="20.100000000000001" hidden="1" customHeight="1">
      <c r="A253" s="26" t="s">
        <v>44</v>
      </c>
      <c r="B253" s="26" t="s">
        <v>203</v>
      </c>
      <c r="C253" s="13" t="s">
        <v>349</v>
      </c>
      <c r="D253" s="13" t="s">
        <v>380</v>
      </c>
      <c r="E253" s="16" t="s">
        <v>360</v>
      </c>
      <c r="F253" s="13" t="s">
        <v>356</v>
      </c>
      <c r="G253" s="26" t="s">
        <v>354</v>
      </c>
      <c r="H253" s="13" t="s">
        <v>1556</v>
      </c>
      <c r="I253" s="313" t="s">
        <v>50</v>
      </c>
      <c r="J253" s="26">
        <v>3</v>
      </c>
      <c r="K253" s="49" t="s">
        <v>375</v>
      </c>
      <c r="L253" s="314" t="s">
        <v>219</v>
      </c>
      <c r="M253" s="14" t="s">
        <v>220</v>
      </c>
      <c r="N253" s="15"/>
      <c r="O253" s="13" t="s">
        <v>206</v>
      </c>
      <c r="P253" s="13" t="s">
        <v>4</v>
      </c>
      <c r="Q253" s="22" t="s">
        <v>794</v>
      </c>
      <c r="R253" s="22"/>
      <c r="S253" s="13"/>
      <c r="T253" s="13"/>
      <c r="U253" s="13"/>
      <c r="V253" s="13"/>
      <c r="W253" s="13" t="s">
        <v>570</v>
      </c>
      <c r="X253" s="13" t="s">
        <v>570</v>
      </c>
      <c r="Y253" s="13"/>
      <c r="Z253" s="13"/>
      <c r="AA253" s="29"/>
      <c r="AB253" s="29">
        <v>13273.33</v>
      </c>
      <c r="AC253" s="29">
        <v>0</v>
      </c>
      <c r="AD253" s="29">
        <v>13273.33</v>
      </c>
      <c r="AE253" s="29">
        <v>0</v>
      </c>
      <c r="AF253" s="29">
        <f t="shared" si="100"/>
        <v>13273.33</v>
      </c>
      <c r="AG253" s="25">
        <v>0.12</v>
      </c>
      <c r="AH253" s="29">
        <f t="shared" si="116"/>
        <v>1592.7995999999998</v>
      </c>
      <c r="AI253" s="29">
        <f t="shared" si="117"/>
        <v>0</v>
      </c>
      <c r="AJ253" s="29">
        <f t="shared" si="118"/>
        <v>14866.129600000002</v>
      </c>
      <c r="AK253" s="29">
        <v>0</v>
      </c>
      <c r="AL253" s="29">
        <f>AB253-AK253</f>
        <v>13273.33</v>
      </c>
      <c r="AM253" s="29"/>
      <c r="AN253" s="29"/>
      <c r="AO253" s="29"/>
      <c r="AP253" s="29"/>
      <c r="AQ253" s="29"/>
      <c r="AR253" s="29"/>
      <c r="AS253" s="29"/>
      <c r="AT253" s="29"/>
      <c r="AU253" s="29"/>
      <c r="AV253" s="29"/>
      <c r="AW253" s="29"/>
      <c r="AX253" s="29"/>
      <c r="AY253" s="29"/>
      <c r="AZ253" s="29"/>
      <c r="BA253" s="29"/>
      <c r="BB253" s="29"/>
      <c r="BC253" s="29"/>
      <c r="BD253" s="29"/>
      <c r="BE253" s="29"/>
      <c r="BF253" s="37"/>
      <c r="BG253" s="29">
        <f>BF253-AW253-AZ253-BC253-BE253</f>
        <v>0</v>
      </c>
      <c r="BH253" s="37"/>
      <c r="BI253" s="37"/>
      <c r="BJ253" s="23" t="s">
        <v>570</v>
      </c>
      <c r="BK253" s="37"/>
      <c r="BL253" s="37"/>
      <c r="BM253" s="37"/>
      <c r="BN253" s="13"/>
      <c r="BO253" s="13"/>
      <c r="BP253" s="13"/>
      <c r="BQ253" s="13"/>
      <c r="BR253" s="13"/>
      <c r="BS253" s="13"/>
      <c r="BT253" s="13"/>
      <c r="BU253" s="13"/>
      <c r="BV253" s="13"/>
      <c r="BW253" s="13"/>
      <c r="BX253" s="13"/>
      <c r="BY253" s="13"/>
      <c r="BZ253" s="13"/>
      <c r="CA253" s="13"/>
      <c r="CB253" s="224" t="s">
        <v>570</v>
      </c>
      <c r="CC253" s="224" t="s">
        <v>570</v>
      </c>
      <c r="CD253" s="224" t="s">
        <v>570</v>
      </c>
      <c r="CE253" s="13"/>
      <c r="CF253" s="13"/>
      <c r="CG253" s="13"/>
      <c r="CH253" s="13"/>
      <c r="CI253" s="13"/>
      <c r="CJ253" s="13"/>
      <c r="CK253" s="13"/>
      <c r="CL253" s="13"/>
      <c r="CM253" s="13"/>
      <c r="CN253" s="13"/>
      <c r="CO253" s="13"/>
      <c r="CP253" s="13"/>
      <c r="CQ253" s="13"/>
      <c r="CR253" s="13"/>
      <c r="CS253" s="29" t="s">
        <v>570</v>
      </c>
      <c r="CT253" s="29" t="s">
        <v>570</v>
      </c>
      <c r="CU253" s="29" t="s">
        <v>570</v>
      </c>
      <c r="CV253" s="23"/>
      <c r="CW253" s="30"/>
      <c r="CX253" s="13"/>
      <c r="CY253" s="155"/>
      <c r="CZ253" s="29"/>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31">
        <f t="shared" si="120"/>
        <v>0</v>
      </c>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c r="EY253" s="13"/>
      <c r="EZ253" s="13"/>
      <c r="FA253" s="13"/>
      <c r="FB253" s="13"/>
      <c r="FC253" s="13"/>
      <c r="FD253" s="13"/>
      <c r="FE253" s="13"/>
      <c r="FF253" s="13"/>
      <c r="FG253" s="13"/>
      <c r="FH253" s="13"/>
      <c r="FI253" s="13"/>
      <c r="FJ253" s="13"/>
      <c r="FK253" s="13"/>
      <c r="FL253" s="13"/>
      <c r="FM253" s="13"/>
      <c r="FN253" s="13"/>
      <c r="FO253" s="13"/>
      <c r="FP253" s="13"/>
      <c r="FQ253" s="13"/>
      <c r="FR253" s="13"/>
      <c r="FS253" s="13"/>
      <c r="FT253" s="13"/>
      <c r="FU253" s="25"/>
      <c r="FV253" s="25">
        <v>1</v>
      </c>
      <c r="FW253" s="25">
        <v>1</v>
      </c>
      <c r="FX253" s="25">
        <v>1</v>
      </c>
      <c r="FY253" s="25">
        <v>1</v>
      </c>
      <c r="FZ253" s="25">
        <v>1</v>
      </c>
      <c r="GA253" s="25">
        <v>1</v>
      </c>
      <c r="GB253" s="25">
        <v>1</v>
      </c>
      <c r="GC253" s="25">
        <v>1</v>
      </c>
      <c r="GD253" s="25">
        <v>1</v>
      </c>
      <c r="GE253" s="25">
        <v>1</v>
      </c>
      <c r="GF253" s="25">
        <v>1</v>
      </c>
      <c r="GG253" s="25">
        <v>1</v>
      </c>
      <c r="GH253" s="25">
        <v>1</v>
      </c>
      <c r="GI253" s="25">
        <v>1</v>
      </c>
      <c r="GJ253" s="25">
        <v>1</v>
      </c>
      <c r="GK253" s="25">
        <v>1</v>
      </c>
      <c r="GL253" s="25">
        <v>1</v>
      </c>
      <c r="GM253" s="25">
        <v>1</v>
      </c>
      <c r="GN253" s="25">
        <v>1</v>
      </c>
      <c r="GO253" s="25">
        <v>1</v>
      </c>
      <c r="GP253" s="25">
        <v>1</v>
      </c>
      <c r="GQ253" s="25">
        <v>1</v>
      </c>
      <c r="GR253" s="25">
        <v>1</v>
      </c>
      <c r="GS253" s="25">
        <v>1</v>
      </c>
      <c r="GT253" s="25">
        <v>1</v>
      </c>
      <c r="GU253" s="25">
        <v>1</v>
      </c>
      <c r="GV253" s="25" t="s">
        <v>1588</v>
      </c>
      <c r="GW253" s="25" t="s">
        <v>1588</v>
      </c>
      <c r="GX253" s="25" t="s">
        <v>1588</v>
      </c>
      <c r="GY253" s="25" t="s">
        <v>1588</v>
      </c>
      <c r="GZ253" s="25" t="s">
        <v>1588</v>
      </c>
      <c r="HA253" s="25" t="s">
        <v>1588</v>
      </c>
      <c r="HB253" s="25" t="s">
        <v>1588</v>
      </c>
      <c r="HC253" s="25" t="s">
        <v>1889</v>
      </c>
      <c r="HD253" s="25" t="s">
        <v>1889</v>
      </c>
      <c r="HE253" s="25" t="s">
        <v>1889</v>
      </c>
      <c r="HF253" s="25" t="s">
        <v>1889</v>
      </c>
      <c r="HG253" s="25" t="s">
        <v>1889</v>
      </c>
      <c r="HH253" s="25" t="s">
        <v>1889</v>
      </c>
      <c r="HI253" s="25"/>
      <c r="HJ253" s="25"/>
      <c r="HK253" s="25"/>
      <c r="HL253" s="25"/>
      <c r="HM253" s="84"/>
      <c r="HN253" s="84"/>
      <c r="HO253" s="84"/>
      <c r="HP253" s="84"/>
      <c r="HQ253" s="84"/>
      <c r="HR253" s="84"/>
      <c r="HS253" s="84"/>
      <c r="HT253" s="84"/>
      <c r="HU253" s="13" t="s">
        <v>423</v>
      </c>
      <c r="HV253" s="13"/>
      <c r="HW253" s="32"/>
      <c r="HX253" s="55"/>
      <c r="HY253" s="55"/>
      <c r="HZ253" s="55"/>
      <c r="IA253" s="55"/>
      <c r="IB253" s="55"/>
      <c r="IC253" s="55"/>
      <c r="ID253" s="55"/>
      <c r="IE253" s="55"/>
      <c r="IF253" s="107">
        <v>13273.33</v>
      </c>
      <c r="IG253" s="107">
        <v>0</v>
      </c>
      <c r="IH253" s="250">
        <f t="shared" si="119"/>
        <v>0</v>
      </c>
      <c r="II253" s="55"/>
      <c r="IJ253" s="55"/>
      <c r="IK253" s="55"/>
      <c r="IL253" s="55"/>
      <c r="IM253" s="55"/>
      <c r="IN253" s="55"/>
      <c r="IO253" s="55"/>
      <c r="IP253" s="55"/>
      <c r="IQ253" s="55"/>
      <c r="IR253" s="55"/>
      <c r="IS253" s="55"/>
      <c r="IT253" s="55"/>
      <c r="IU253" s="55"/>
      <c r="IV253" s="55"/>
      <c r="IW253" s="55"/>
      <c r="IX253" s="55"/>
      <c r="IY253" s="55"/>
      <c r="IZ253" s="55"/>
      <c r="JA253" s="55"/>
      <c r="JB253" s="55"/>
      <c r="JC253" s="55"/>
      <c r="JD253" s="55">
        <v>2017</v>
      </c>
    </row>
    <row r="254" spans="1:265" s="5" customFormat="1" ht="24.95" hidden="1" customHeight="1">
      <c r="A254" s="26" t="s">
        <v>44</v>
      </c>
      <c r="B254" s="26" t="s">
        <v>203</v>
      </c>
      <c r="C254" s="13" t="s">
        <v>352</v>
      </c>
      <c r="D254" s="13" t="s">
        <v>377</v>
      </c>
      <c r="E254" s="16" t="s">
        <v>355</v>
      </c>
      <c r="F254" s="13" t="s">
        <v>356</v>
      </c>
      <c r="G254" s="26" t="s">
        <v>354</v>
      </c>
      <c r="H254" s="13" t="s">
        <v>1556</v>
      </c>
      <c r="I254" s="313" t="s">
        <v>52</v>
      </c>
      <c r="J254" s="26">
        <v>4</v>
      </c>
      <c r="K254" s="49" t="s">
        <v>375</v>
      </c>
      <c r="L254" s="314" t="s">
        <v>221</v>
      </c>
      <c r="M254" s="15" t="s">
        <v>222</v>
      </c>
      <c r="N254" s="15"/>
      <c r="O254" s="13" t="s">
        <v>206</v>
      </c>
      <c r="P254" s="13" t="s">
        <v>4</v>
      </c>
      <c r="Q254" s="22" t="s">
        <v>794</v>
      </c>
      <c r="R254" s="22"/>
      <c r="S254" s="13"/>
      <c r="T254" s="13"/>
      <c r="U254" s="13"/>
      <c r="V254" s="13"/>
      <c r="W254" s="13" t="s">
        <v>570</v>
      </c>
      <c r="X254" s="13" t="s">
        <v>570</v>
      </c>
      <c r="Y254" s="13"/>
      <c r="Z254" s="13"/>
      <c r="AA254" s="29"/>
      <c r="AB254" s="29">
        <v>13273.33</v>
      </c>
      <c r="AC254" s="29">
        <v>0</v>
      </c>
      <c r="AD254" s="29">
        <v>13273.333333333299</v>
      </c>
      <c r="AE254" s="29">
        <v>0</v>
      </c>
      <c r="AF254" s="29">
        <f t="shared" si="100"/>
        <v>13273.333333333299</v>
      </c>
      <c r="AG254" s="25">
        <v>0.12</v>
      </c>
      <c r="AH254" s="29">
        <f t="shared" si="116"/>
        <v>1592.7999999999959</v>
      </c>
      <c r="AI254" s="29">
        <f t="shared" si="117"/>
        <v>0</v>
      </c>
      <c r="AJ254" s="29">
        <f t="shared" si="118"/>
        <v>14866.133333333297</v>
      </c>
      <c r="AK254" s="29">
        <v>0</v>
      </c>
      <c r="AL254" s="29">
        <f>AB254-AK254</f>
        <v>13273.33</v>
      </c>
      <c r="AM254" s="29"/>
      <c r="AN254" s="29"/>
      <c r="AO254" s="29"/>
      <c r="AP254" s="29"/>
      <c r="AQ254" s="29"/>
      <c r="AR254" s="29"/>
      <c r="AS254" s="29"/>
      <c r="AT254" s="29"/>
      <c r="AU254" s="29"/>
      <c r="AV254" s="29"/>
      <c r="AW254" s="29"/>
      <c r="AX254" s="29"/>
      <c r="AY254" s="29"/>
      <c r="AZ254" s="29"/>
      <c r="BA254" s="29"/>
      <c r="BB254" s="29"/>
      <c r="BC254" s="29"/>
      <c r="BD254" s="29"/>
      <c r="BE254" s="29"/>
      <c r="BF254" s="37"/>
      <c r="BG254" s="29">
        <f>BF254-AW254-AZ254-BC254-BE254</f>
        <v>0</v>
      </c>
      <c r="BH254" s="37"/>
      <c r="BI254" s="37"/>
      <c r="BJ254" s="23" t="s">
        <v>570</v>
      </c>
      <c r="BK254" s="37"/>
      <c r="BL254" s="37"/>
      <c r="BM254" s="37"/>
      <c r="BN254" s="13"/>
      <c r="BO254" s="13"/>
      <c r="BP254" s="13"/>
      <c r="BQ254" s="13"/>
      <c r="BR254" s="13"/>
      <c r="BS254" s="13"/>
      <c r="BT254" s="13"/>
      <c r="BU254" s="13"/>
      <c r="BV254" s="13"/>
      <c r="BW254" s="13"/>
      <c r="BX254" s="13"/>
      <c r="BY254" s="13"/>
      <c r="BZ254" s="13"/>
      <c r="CA254" s="13"/>
      <c r="CB254" s="224" t="s">
        <v>570</v>
      </c>
      <c r="CC254" s="224" t="s">
        <v>570</v>
      </c>
      <c r="CD254" s="224" t="s">
        <v>570</v>
      </c>
      <c r="CE254" s="13"/>
      <c r="CF254" s="13"/>
      <c r="CG254" s="13"/>
      <c r="CH254" s="13"/>
      <c r="CI254" s="13"/>
      <c r="CJ254" s="13"/>
      <c r="CK254" s="13"/>
      <c r="CL254" s="13"/>
      <c r="CM254" s="13"/>
      <c r="CN254" s="13"/>
      <c r="CO254" s="13"/>
      <c r="CP254" s="13"/>
      <c r="CQ254" s="13"/>
      <c r="CR254" s="13"/>
      <c r="CS254" s="29" t="s">
        <v>570</v>
      </c>
      <c r="CT254" s="29" t="s">
        <v>570</v>
      </c>
      <c r="CU254" s="29" t="s">
        <v>570</v>
      </c>
      <c r="CV254" s="23"/>
      <c r="CW254" s="30"/>
      <c r="CX254" s="13"/>
      <c r="CY254" s="155"/>
      <c r="CZ254" s="29"/>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31">
        <f t="shared" si="120"/>
        <v>0</v>
      </c>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3"/>
      <c r="FJ254" s="13"/>
      <c r="FK254" s="13"/>
      <c r="FL254" s="13"/>
      <c r="FM254" s="13"/>
      <c r="FN254" s="13"/>
      <c r="FO254" s="13"/>
      <c r="FP254" s="13"/>
      <c r="FQ254" s="13"/>
      <c r="FR254" s="13"/>
      <c r="FS254" s="25">
        <v>1</v>
      </c>
      <c r="FT254" s="25">
        <v>1</v>
      </c>
      <c r="FU254" s="25">
        <v>1</v>
      </c>
      <c r="FV254" s="25">
        <v>1</v>
      </c>
      <c r="FW254" s="25">
        <v>1</v>
      </c>
      <c r="FX254" s="25">
        <v>1</v>
      </c>
      <c r="FY254" s="25">
        <v>1</v>
      </c>
      <c r="FZ254" s="25">
        <v>1</v>
      </c>
      <c r="GA254" s="25">
        <v>1</v>
      </c>
      <c r="GB254" s="25">
        <v>1</v>
      </c>
      <c r="GC254" s="25">
        <v>1</v>
      </c>
      <c r="GD254" s="25">
        <v>1</v>
      </c>
      <c r="GE254" s="25">
        <v>1</v>
      </c>
      <c r="GF254" s="25">
        <v>1</v>
      </c>
      <c r="GG254" s="25">
        <v>1</v>
      </c>
      <c r="GH254" s="25">
        <v>1</v>
      </c>
      <c r="GI254" s="25">
        <v>1</v>
      </c>
      <c r="GJ254" s="25">
        <v>1</v>
      </c>
      <c r="GK254" s="25">
        <v>1</v>
      </c>
      <c r="GL254" s="25">
        <v>1</v>
      </c>
      <c r="GM254" s="25">
        <v>1</v>
      </c>
      <c r="GN254" s="25">
        <v>1</v>
      </c>
      <c r="GO254" s="25">
        <v>1</v>
      </c>
      <c r="GP254" s="25">
        <v>1</v>
      </c>
      <c r="GQ254" s="25">
        <v>1</v>
      </c>
      <c r="GR254" s="25">
        <v>1</v>
      </c>
      <c r="GS254" s="25">
        <v>1</v>
      </c>
      <c r="GT254" s="25">
        <v>1</v>
      </c>
      <c r="GU254" s="25">
        <v>1</v>
      </c>
      <c r="GV254" s="25" t="s">
        <v>1588</v>
      </c>
      <c r="GW254" s="25" t="s">
        <v>1588</v>
      </c>
      <c r="GX254" s="25" t="s">
        <v>1588</v>
      </c>
      <c r="GY254" s="25" t="s">
        <v>1588</v>
      </c>
      <c r="GZ254" s="25" t="s">
        <v>1588</v>
      </c>
      <c r="HA254" s="25" t="s">
        <v>1588</v>
      </c>
      <c r="HB254" s="25" t="s">
        <v>1588</v>
      </c>
      <c r="HC254" s="25" t="s">
        <v>1889</v>
      </c>
      <c r="HD254" s="25" t="s">
        <v>1889</v>
      </c>
      <c r="HE254" s="25" t="s">
        <v>1889</v>
      </c>
      <c r="HF254" s="25" t="s">
        <v>1889</v>
      </c>
      <c r="HG254" s="25" t="s">
        <v>1889</v>
      </c>
      <c r="HH254" s="25" t="s">
        <v>1889</v>
      </c>
      <c r="HI254" s="25"/>
      <c r="HJ254" s="25"/>
      <c r="HK254" s="25"/>
      <c r="HL254" s="25"/>
      <c r="HM254" s="84"/>
      <c r="HN254" s="84"/>
      <c r="HO254" s="84"/>
      <c r="HP254" s="84"/>
      <c r="HQ254" s="84"/>
      <c r="HR254" s="84"/>
      <c r="HS254" s="84"/>
      <c r="HT254" s="84"/>
      <c r="HU254" s="13" t="s">
        <v>423</v>
      </c>
      <c r="HV254" s="13"/>
      <c r="HW254" s="32"/>
      <c r="HX254" s="55"/>
      <c r="HY254" s="55"/>
      <c r="HZ254" s="55"/>
      <c r="IA254" s="55"/>
      <c r="IB254" s="55"/>
      <c r="IC254" s="55"/>
      <c r="ID254" s="55"/>
      <c r="IE254" s="55"/>
      <c r="IF254" s="107">
        <v>13273.33</v>
      </c>
      <c r="IG254" s="107">
        <v>0</v>
      </c>
      <c r="IH254" s="250">
        <f t="shared" si="119"/>
        <v>0</v>
      </c>
      <c r="II254" s="55"/>
      <c r="IJ254" s="55"/>
      <c r="IK254" s="55"/>
      <c r="IL254" s="55"/>
      <c r="IM254" s="55"/>
      <c r="IN254" s="55"/>
      <c r="IO254" s="55"/>
      <c r="IP254" s="55"/>
      <c r="IQ254" s="55"/>
      <c r="IR254" s="55"/>
      <c r="IS254" s="55"/>
      <c r="IT254" s="55"/>
      <c r="IU254" s="55"/>
      <c r="IV254" s="55"/>
      <c r="IW254" s="55"/>
      <c r="IX254" s="55"/>
      <c r="IY254" s="55"/>
      <c r="IZ254" s="55"/>
      <c r="JA254" s="55"/>
      <c r="JB254" s="55"/>
      <c r="JC254" s="55"/>
      <c r="JD254" s="55">
        <v>2016</v>
      </c>
    </row>
    <row r="255" spans="1:265" s="5" customFormat="1" ht="47.25" hidden="1" customHeight="1">
      <c r="A255" s="26" t="s">
        <v>44</v>
      </c>
      <c r="B255" s="26" t="s">
        <v>203</v>
      </c>
      <c r="C255" s="13" t="s">
        <v>352</v>
      </c>
      <c r="D255" s="13" t="s">
        <v>377</v>
      </c>
      <c r="E255" s="16" t="s">
        <v>378</v>
      </c>
      <c r="F255" s="13" t="s">
        <v>356</v>
      </c>
      <c r="G255" s="26" t="s">
        <v>354</v>
      </c>
      <c r="H255" s="13" t="s">
        <v>1556</v>
      </c>
      <c r="I255" s="313" t="s">
        <v>54</v>
      </c>
      <c r="J255" s="26">
        <v>5</v>
      </c>
      <c r="K255" s="49" t="s">
        <v>375</v>
      </c>
      <c r="L255" s="314" t="s">
        <v>223</v>
      </c>
      <c r="M255" s="15" t="s">
        <v>224</v>
      </c>
      <c r="N255" s="15"/>
      <c r="O255" s="13" t="s">
        <v>206</v>
      </c>
      <c r="P255" s="13" t="s">
        <v>4</v>
      </c>
      <c r="Q255" s="22" t="s">
        <v>794</v>
      </c>
      <c r="R255" s="22"/>
      <c r="S255" s="13"/>
      <c r="T255" s="13"/>
      <c r="U255" s="13"/>
      <c r="V255" s="13"/>
      <c r="W255" s="13" t="s">
        <v>570</v>
      </c>
      <c r="X255" s="13" t="s">
        <v>570</v>
      </c>
      <c r="Y255" s="13"/>
      <c r="Z255" s="13"/>
      <c r="AA255" s="137"/>
      <c r="AB255" s="29">
        <v>13273.09</v>
      </c>
      <c r="AC255" s="29">
        <v>0</v>
      </c>
      <c r="AD255" s="29">
        <v>13273.09</v>
      </c>
      <c r="AE255" s="29">
        <v>0</v>
      </c>
      <c r="AF255" s="29">
        <f t="shared" si="100"/>
        <v>13273.09</v>
      </c>
      <c r="AG255" s="25">
        <v>0.12</v>
      </c>
      <c r="AH255" s="29">
        <f t="shared" si="116"/>
        <v>1592.7708</v>
      </c>
      <c r="AI255" s="29">
        <f t="shared" si="117"/>
        <v>0</v>
      </c>
      <c r="AJ255" s="29">
        <f t="shared" si="118"/>
        <v>14865.860800000002</v>
      </c>
      <c r="AK255" s="29">
        <v>0</v>
      </c>
      <c r="AL255" s="29">
        <f>AB255-AK255</f>
        <v>13273.09</v>
      </c>
      <c r="AM255" s="29"/>
      <c r="AN255" s="137"/>
      <c r="AO255" s="137"/>
      <c r="AP255" s="137"/>
      <c r="AQ255" s="137"/>
      <c r="AR255" s="137"/>
      <c r="AS255" s="137"/>
      <c r="AT255" s="137"/>
      <c r="AU255" s="137"/>
      <c r="AV255" s="137"/>
      <c r="AW255" s="137"/>
      <c r="AX255" s="137"/>
      <c r="AY255" s="137"/>
      <c r="AZ255" s="137"/>
      <c r="BA255" s="137"/>
      <c r="BB255" s="137"/>
      <c r="BC255" s="137"/>
      <c r="BD255" s="137"/>
      <c r="BE255" s="137"/>
      <c r="BF255" s="37"/>
      <c r="BG255" s="29">
        <f>BF255-AW255-AZ255-BC255-BE255</f>
        <v>0</v>
      </c>
      <c r="BH255" s="37"/>
      <c r="BI255" s="37"/>
      <c r="BJ255" s="23" t="s">
        <v>570</v>
      </c>
      <c r="BK255" s="37"/>
      <c r="BL255" s="37"/>
      <c r="BM255" s="37"/>
      <c r="BN255" s="13"/>
      <c r="BO255" s="13"/>
      <c r="BP255" s="13"/>
      <c r="BQ255" s="13"/>
      <c r="BR255" s="13"/>
      <c r="BS255" s="13"/>
      <c r="BT255" s="13"/>
      <c r="BU255" s="13"/>
      <c r="BV255" s="13"/>
      <c r="BW255" s="13"/>
      <c r="BX255" s="13"/>
      <c r="BY255" s="13"/>
      <c r="BZ255" s="13"/>
      <c r="CA255" s="13"/>
      <c r="CB255" s="224" t="s">
        <v>570</v>
      </c>
      <c r="CC255" s="224" t="s">
        <v>570</v>
      </c>
      <c r="CD255" s="224" t="s">
        <v>570</v>
      </c>
      <c r="CE255" s="13"/>
      <c r="CF255" s="13"/>
      <c r="CG255" s="13"/>
      <c r="CH255" s="13"/>
      <c r="CI255" s="13"/>
      <c r="CJ255" s="13"/>
      <c r="CK255" s="13"/>
      <c r="CL255" s="13"/>
      <c r="CM255" s="13"/>
      <c r="CN255" s="13"/>
      <c r="CO255" s="13"/>
      <c r="CP255" s="13"/>
      <c r="CQ255" s="13"/>
      <c r="CR255" s="13"/>
      <c r="CS255" s="29" t="s">
        <v>570</v>
      </c>
      <c r="CT255" s="29" t="s">
        <v>570</v>
      </c>
      <c r="CU255" s="29" t="s">
        <v>570</v>
      </c>
      <c r="CV255" s="23"/>
      <c r="CW255" s="30"/>
      <c r="CX255" s="13"/>
      <c r="CY255" s="155"/>
      <c r="CZ255" s="29"/>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31">
        <f t="shared" si="120"/>
        <v>0</v>
      </c>
      <c r="DZ255" s="13"/>
      <c r="EA255" s="13"/>
      <c r="EB255" s="13"/>
      <c r="EC255" s="13"/>
      <c r="ED255" s="13"/>
      <c r="EE255" s="13"/>
      <c r="EF255" s="13"/>
      <c r="EG255" s="13"/>
      <c r="EH255" s="13"/>
      <c r="EI255" s="13"/>
      <c r="EJ255" s="13"/>
      <c r="EK255" s="13"/>
      <c r="EL255" s="13"/>
      <c r="EM255" s="13"/>
      <c r="EN255" s="13"/>
      <c r="EO255" s="13"/>
      <c r="EP255" s="13"/>
      <c r="EQ255" s="13"/>
      <c r="ER255" s="13"/>
      <c r="ES255" s="13"/>
      <c r="ET255" s="13"/>
      <c r="EU255" s="13"/>
      <c r="EV255" s="13"/>
      <c r="EW255" s="13"/>
      <c r="EX255" s="13"/>
      <c r="EY255" s="13"/>
      <c r="EZ255" s="13"/>
      <c r="FA255" s="13"/>
      <c r="FB255" s="13"/>
      <c r="FC255" s="13"/>
      <c r="FD255" s="13"/>
      <c r="FE255" s="13"/>
      <c r="FF255" s="13"/>
      <c r="FG255" s="13"/>
      <c r="FH255" s="13"/>
      <c r="FI255" s="13"/>
      <c r="FJ255" s="13"/>
      <c r="FK255" s="13"/>
      <c r="FL255" s="13"/>
      <c r="FM255" s="13"/>
      <c r="FN255" s="13"/>
      <c r="FO255" s="13"/>
      <c r="FP255" s="13"/>
      <c r="FQ255" s="13"/>
      <c r="FR255" s="13"/>
      <c r="FS255" s="25">
        <v>1</v>
      </c>
      <c r="FT255" s="25">
        <v>1</v>
      </c>
      <c r="FU255" s="25">
        <v>1</v>
      </c>
      <c r="FV255" s="25">
        <v>1</v>
      </c>
      <c r="FW255" s="25">
        <v>1</v>
      </c>
      <c r="FX255" s="25">
        <v>1</v>
      </c>
      <c r="FY255" s="25">
        <v>1</v>
      </c>
      <c r="FZ255" s="25">
        <v>1</v>
      </c>
      <c r="GA255" s="25">
        <v>1</v>
      </c>
      <c r="GB255" s="25">
        <v>1</v>
      </c>
      <c r="GC255" s="25">
        <v>1</v>
      </c>
      <c r="GD255" s="25">
        <v>1</v>
      </c>
      <c r="GE255" s="25">
        <v>1</v>
      </c>
      <c r="GF255" s="25">
        <v>1</v>
      </c>
      <c r="GG255" s="25">
        <v>1</v>
      </c>
      <c r="GH255" s="25">
        <v>1</v>
      </c>
      <c r="GI255" s="25">
        <v>1</v>
      </c>
      <c r="GJ255" s="25">
        <v>1</v>
      </c>
      <c r="GK255" s="25">
        <v>1</v>
      </c>
      <c r="GL255" s="25">
        <v>1</v>
      </c>
      <c r="GM255" s="25">
        <v>1</v>
      </c>
      <c r="GN255" s="25">
        <v>1</v>
      </c>
      <c r="GO255" s="25">
        <v>1</v>
      </c>
      <c r="GP255" s="25">
        <v>1</v>
      </c>
      <c r="GQ255" s="25">
        <v>1</v>
      </c>
      <c r="GR255" s="25">
        <v>1</v>
      </c>
      <c r="GS255" s="25">
        <v>1</v>
      </c>
      <c r="GT255" s="25">
        <v>1</v>
      </c>
      <c r="GU255" s="25">
        <v>1</v>
      </c>
      <c r="GV255" s="25" t="s">
        <v>1588</v>
      </c>
      <c r="GW255" s="25" t="s">
        <v>1588</v>
      </c>
      <c r="GX255" s="25" t="s">
        <v>1588</v>
      </c>
      <c r="GY255" s="25" t="s">
        <v>1588</v>
      </c>
      <c r="GZ255" s="25" t="s">
        <v>1588</v>
      </c>
      <c r="HA255" s="25" t="s">
        <v>1588</v>
      </c>
      <c r="HB255" s="25" t="s">
        <v>1588</v>
      </c>
      <c r="HC255" s="25" t="s">
        <v>1889</v>
      </c>
      <c r="HD255" s="25" t="s">
        <v>1889</v>
      </c>
      <c r="HE255" s="25" t="s">
        <v>1889</v>
      </c>
      <c r="HF255" s="25" t="s">
        <v>1889</v>
      </c>
      <c r="HG255" s="25" t="s">
        <v>1889</v>
      </c>
      <c r="HH255" s="25" t="s">
        <v>1889</v>
      </c>
      <c r="HI255" s="25"/>
      <c r="HJ255" s="25"/>
      <c r="HK255" s="25"/>
      <c r="HL255" s="25"/>
      <c r="HM255" s="84"/>
      <c r="HN255" s="84"/>
      <c r="HO255" s="84"/>
      <c r="HP255" s="84"/>
      <c r="HQ255" s="84"/>
      <c r="HR255" s="84"/>
      <c r="HS255" s="84"/>
      <c r="HT255" s="84"/>
      <c r="HU255" s="13" t="s">
        <v>423</v>
      </c>
      <c r="HV255" s="13"/>
      <c r="HW255" s="32"/>
      <c r="HX255" s="55"/>
      <c r="HY255" s="55"/>
      <c r="HZ255" s="55"/>
      <c r="IA255" s="55"/>
      <c r="IB255" s="55"/>
      <c r="IC255" s="55"/>
      <c r="ID255" s="55"/>
      <c r="IE255" s="55"/>
      <c r="IF255" s="107">
        <v>13273.09</v>
      </c>
      <c r="IG255" s="107">
        <v>0</v>
      </c>
      <c r="IH255" s="250">
        <f t="shared" si="119"/>
        <v>0</v>
      </c>
      <c r="II255" s="55"/>
      <c r="IJ255" s="55"/>
      <c r="IK255" s="55"/>
      <c r="IL255" s="55"/>
      <c r="IM255" s="55"/>
      <c r="IN255" s="55"/>
      <c r="IO255" s="55"/>
      <c r="IP255" s="55"/>
      <c r="IQ255" s="55"/>
      <c r="IR255" s="55"/>
      <c r="IS255" s="55"/>
      <c r="IT255" s="55"/>
      <c r="IU255" s="55"/>
      <c r="IV255" s="55"/>
      <c r="IW255" s="55"/>
      <c r="IX255" s="55"/>
      <c r="IY255" s="55"/>
      <c r="IZ255" s="55"/>
      <c r="JA255" s="55"/>
      <c r="JB255" s="55"/>
      <c r="JC255" s="55"/>
      <c r="JD255" s="55">
        <v>2017</v>
      </c>
    </row>
    <row r="256" spans="1:265" s="5" customFormat="1" ht="24.95" hidden="1" customHeight="1">
      <c r="A256" s="26" t="s">
        <v>44</v>
      </c>
      <c r="B256" s="26" t="s">
        <v>203</v>
      </c>
      <c r="C256" s="13" t="s">
        <v>349</v>
      </c>
      <c r="D256" s="13" t="s">
        <v>380</v>
      </c>
      <c r="E256" s="16" t="s">
        <v>350</v>
      </c>
      <c r="F256" s="13" t="s">
        <v>356</v>
      </c>
      <c r="G256" s="39" t="s">
        <v>351</v>
      </c>
      <c r="H256" s="13" t="s">
        <v>1556</v>
      </c>
      <c r="I256" s="313" t="s">
        <v>46</v>
      </c>
      <c r="J256" s="26">
        <v>1</v>
      </c>
      <c r="K256" s="49" t="s">
        <v>375</v>
      </c>
      <c r="L256" s="314" t="s">
        <v>1392</v>
      </c>
      <c r="M256" s="15" t="s">
        <v>1398</v>
      </c>
      <c r="N256" s="20"/>
      <c r="O256" s="13" t="s">
        <v>206</v>
      </c>
      <c r="P256" s="13" t="s">
        <v>4</v>
      </c>
      <c r="Q256" s="22" t="s">
        <v>1118</v>
      </c>
      <c r="R256" s="22" t="s">
        <v>1616</v>
      </c>
      <c r="S256" s="13" t="s">
        <v>1578</v>
      </c>
      <c r="T256" s="13" t="s">
        <v>1387</v>
      </c>
      <c r="U256" s="13" t="s">
        <v>477</v>
      </c>
      <c r="V256" s="13" t="s">
        <v>1579</v>
      </c>
      <c r="W256" s="13" t="s">
        <v>570</v>
      </c>
      <c r="X256" s="13" t="s">
        <v>570</v>
      </c>
      <c r="Y256" s="13"/>
      <c r="Z256" s="13"/>
      <c r="AA256" s="137"/>
      <c r="AB256" s="29">
        <v>123420</v>
      </c>
      <c r="AC256" s="29">
        <v>0</v>
      </c>
      <c r="AD256" s="37">
        <v>40500</v>
      </c>
      <c r="AE256" s="29">
        <v>0</v>
      </c>
      <c r="AF256" s="29">
        <f t="shared" ref="AF256:AF303" si="121">AD256+AE256</f>
        <v>40500</v>
      </c>
      <c r="AG256" s="25">
        <v>0.12</v>
      </c>
      <c r="AH256" s="29">
        <f t="shared" si="116"/>
        <v>4860</v>
      </c>
      <c r="AI256" s="29">
        <f t="shared" si="117"/>
        <v>0</v>
      </c>
      <c r="AJ256" s="29">
        <f t="shared" si="118"/>
        <v>45360.000000000007</v>
      </c>
      <c r="AK256" s="29">
        <v>93000</v>
      </c>
      <c r="AL256" s="29">
        <f>AB256-AK256</f>
        <v>30420</v>
      </c>
      <c r="AM256" s="126"/>
      <c r="AN256" s="137"/>
      <c r="AO256" s="37">
        <v>40500</v>
      </c>
      <c r="AP256" s="137"/>
      <c r="AQ256" s="37">
        <v>40500</v>
      </c>
      <c r="AR256" s="138">
        <v>0.12</v>
      </c>
      <c r="AS256" s="137">
        <f>AQ256*0.12</f>
        <v>4860</v>
      </c>
      <c r="AT256" s="137">
        <f>AQ256*1.12</f>
        <v>45360.000000000007</v>
      </c>
      <c r="AU256" s="137"/>
      <c r="AV256" s="137"/>
      <c r="AW256" s="137"/>
      <c r="AX256" s="137"/>
      <c r="AY256" s="137"/>
      <c r="AZ256" s="137"/>
      <c r="BA256" s="137"/>
      <c r="BB256" s="137"/>
      <c r="BC256" s="137"/>
      <c r="BD256" s="137"/>
      <c r="BE256" s="137"/>
      <c r="BF256" s="37"/>
      <c r="BG256" s="29"/>
      <c r="BH256" s="37"/>
      <c r="BI256" s="37"/>
      <c r="BJ256" s="23" t="s">
        <v>570</v>
      </c>
      <c r="BK256" s="37"/>
      <c r="BL256" s="37"/>
      <c r="BM256" s="37"/>
      <c r="BN256" s="23">
        <v>42978</v>
      </c>
      <c r="BO256" s="13"/>
      <c r="BP256" s="13"/>
      <c r="BQ256" s="23">
        <v>42989</v>
      </c>
      <c r="BR256" s="13"/>
      <c r="BS256" s="13"/>
      <c r="BT256" s="13"/>
      <c r="BU256" s="13"/>
      <c r="BV256" s="13"/>
      <c r="BW256" s="13"/>
      <c r="BX256" s="57">
        <v>43012</v>
      </c>
      <c r="BY256" s="13"/>
      <c r="BZ256" s="13"/>
      <c r="CA256" s="23">
        <v>43060</v>
      </c>
      <c r="CB256" s="224" t="s">
        <v>570</v>
      </c>
      <c r="CC256" s="224" t="s">
        <v>570</v>
      </c>
      <c r="CD256" s="224" t="s">
        <v>570</v>
      </c>
      <c r="CE256" s="13"/>
      <c r="CF256" s="13"/>
      <c r="CG256" s="13"/>
      <c r="CH256" s="13"/>
      <c r="CI256" s="13"/>
      <c r="CJ256" s="13"/>
      <c r="CK256" s="13"/>
      <c r="CL256" s="13"/>
      <c r="CM256" s="13"/>
      <c r="CN256" s="13"/>
      <c r="CO256" s="23">
        <v>43012</v>
      </c>
      <c r="CP256" s="13"/>
      <c r="CQ256" s="13"/>
      <c r="CR256" s="13"/>
      <c r="CS256" s="29" t="s">
        <v>570</v>
      </c>
      <c r="CT256" s="29" t="s">
        <v>570</v>
      </c>
      <c r="CU256" s="29" t="s">
        <v>570</v>
      </c>
      <c r="CV256" s="155">
        <v>43096</v>
      </c>
      <c r="CW256" s="37">
        <v>20250</v>
      </c>
      <c r="CX256" s="160" t="s">
        <v>1621</v>
      </c>
      <c r="CY256" s="155">
        <v>43115</v>
      </c>
      <c r="CZ256" s="37">
        <f>36450-18225</f>
        <v>18225</v>
      </c>
      <c r="DA256" s="160" t="s">
        <v>1622</v>
      </c>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31">
        <f t="shared" si="120"/>
        <v>38475</v>
      </c>
      <c r="DZ256" s="13"/>
      <c r="EA256" s="13"/>
      <c r="EB256" s="13"/>
      <c r="EC256" s="13"/>
      <c r="ED256" s="13"/>
      <c r="EE256" s="13"/>
      <c r="EF256" s="13"/>
      <c r="EG256" s="13">
        <v>240</v>
      </c>
      <c r="EH256" s="23" t="s">
        <v>1626</v>
      </c>
      <c r="EI256" s="23">
        <f>CA256+1</f>
        <v>43061</v>
      </c>
      <c r="EJ256" s="23">
        <f>EI256+EG256</f>
        <v>43301</v>
      </c>
      <c r="EK256" s="13"/>
      <c r="EL256" s="13"/>
      <c r="EM256" s="13"/>
      <c r="EN256" s="13"/>
      <c r="EO256" s="13"/>
      <c r="EP256" s="13"/>
      <c r="EQ256" s="13"/>
      <c r="ER256" s="13"/>
      <c r="ES256" s="13"/>
      <c r="ET256" s="13"/>
      <c r="EU256" s="13"/>
      <c r="EV256" s="13"/>
      <c r="EW256" s="13"/>
      <c r="EX256" s="13"/>
      <c r="EY256" s="13"/>
      <c r="EZ256" s="13"/>
      <c r="FA256" s="13"/>
      <c r="FB256" s="13"/>
      <c r="FC256" s="13"/>
      <c r="FD256" s="13"/>
      <c r="FE256" s="13"/>
      <c r="FF256" s="13"/>
      <c r="FG256" s="13"/>
      <c r="FH256" s="13"/>
      <c r="FI256" s="13"/>
      <c r="FJ256" s="13"/>
      <c r="FK256" s="13"/>
      <c r="FL256" s="13"/>
      <c r="FM256" s="13"/>
      <c r="FN256" s="13"/>
      <c r="FO256" s="13"/>
      <c r="FP256" s="13"/>
      <c r="FQ256" s="13"/>
      <c r="FR256" s="13"/>
      <c r="FS256" s="25"/>
      <c r="FT256" s="25"/>
      <c r="FU256" s="25"/>
      <c r="FV256" s="25"/>
      <c r="FW256" s="25"/>
      <c r="FX256" s="25">
        <v>0</v>
      </c>
      <c r="FY256" s="25">
        <v>0</v>
      </c>
      <c r="FZ256" s="25">
        <v>0</v>
      </c>
      <c r="GA256" s="25">
        <v>0</v>
      </c>
      <c r="GB256" s="25">
        <v>0</v>
      </c>
      <c r="GC256" s="25">
        <v>0</v>
      </c>
      <c r="GD256" s="25">
        <v>0.99</v>
      </c>
      <c r="GE256" s="25">
        <v>0.99</v>
      </c>
      <c r="GF256" s="25">
        <v>0.99</v>
      </c>
      <c r="GG256" s="25">
        <v>0.99</v>
      </c>
      <c r="GH256" s="25">
        <v>0.99</v>
      </c>
      <c r="GI256" s="25">
        <v>0.99</v>
      </c>
      <c r="GJ256" s="25">
        <v>0.99</v>
      </c>
      <c r="GK256" s="25">
        <v>1</v>
      </c>
      <c r="GL256" s="25">
        <v>1</v>
      </c>
      <c r="GM256" s="25">
        <v>1</v>
      </c>
      <c r="GN256" s="25">
        <v>1</v>
      </c>
      <c r="GO256" s="25">
        <v>1</v>
      </c>
      <c r="GP256" s="25">
        <v>1</v>
      </c>
      <c r="GQ256" s="25">
        <v>1</v>
      </c>
      <c r="GR256" s="25">
        <v>1</v>
      </c>
      <c r="GS256" s="25">
        <v>1</v>
      </c>
      <c r="GT256" s="25">
        <v>1</v>
      </c>
      <c r="GU256" s="25">
        <v>1</v>
      </c>
      <c r="GV256" s="25" t="s">
        <v>1588</v>
      </c>
      <c r="GW256" s="25" t="s">
        <v>1588</v>
      </c>
      <c r="GX256" s="25" t="s">
        <v>1588</v>
      </c>
      <c r="GY256" s="25" t="s">
        <v>1588</v>
      </c>
      <c r="GZ256" s="25" t="s">
        <v>1588</v>
      </c>
      <c r="HA256" s="25" t="s">
        <v>1588</v>
      </c>
      <c r="HB256" s="25" t="s">
        <v>455</v>
      </c>
      <c r="HC256" s="25" t="s">
        <v>455</v>
      </c>
      <c r="HD256" s="25" t="s">
        <v>455</v>
      </c>
      <c r="HE256" s="25" t="s">
        <v>455</v>
      </c>
      <c r="HF256" s="25" t="s">
        <v>455</v>
      </c>
      <c r="HG256" s="25" t="s">
        <v>455</v>
      </c>
      <c r="HH256" s="25" t="s">
        <v>455</v>
      </c>
      <c r="HI256" s="25" t="s">
        <v>1635</v>
      </c>
      <c r="HJ256" s="25" t="s">
        <v>1635</v>
      </c>
      <c r="HK256" s="25"/>
      <c r="HL256" s="25"/>
      <c r="HM256" s="84" t="s">
        <v>1732</v>
      </c>
      <c r="HN256" s="84"/>
      <c r="HO256" s="84" t="s">
        <v>1840</v>
      </c>
      <c r="HP256" s="84"/>
      <c r="HQ256" s="84"/>
      <c r="HR256" s="84"/>
      <c r="HS256" s="84"/>
      <c r="HT256" s="84"/>
      <c r="HU256" s="13" t="s">
        <v>1397</v>
      </c>
      <c r="HV256" s="13"/>
      <c r="HW256" s="32"/>
      <c r="HX256" s="55"/>
      <c r="HY256" s="55"/>
      <c r="HZ256" s="55"/>
      <c r="IA256" s="55"/>
      <c r="IB256" s="55"/>
      <c r="IC256" s="55"/>
      <c r="ID256" s="55"/>
      <c r="IE256" s="55"/>
      <c r="IF256" s="107">
        <v>123420</v>
      </c>
      <c r="IG256" s="107">
        <v>40500</v>
      </c>
      <c r="IH256" s="250">
        <f t="shared" si="119"/>
        <v>52500</v>
      </c>
      <c r="II256" s="55"/>
      <c r="IJ256" s="55"/>
      <c r="IK256" s="55"/>
      <c r="IL256" s="55"/>
      <c r="IM256" s="55"/>
      <c r="IN256" s="55"/>
      <c r="IO256" s="55"/>
      <c r="IP256" s="55"/>
      <c r="IQ256" s="55"/>
      <c r="IR256" s="55"/>
      <c r="IS256" s="55"/>
      <c r="IT256" s="55"/>
      <c r="IU256" s="55"/>
      <c r="IV256" s="55"/>
      <c r="IW256" s="55"/>
      <c r="IX256" s="55"/>
      <c r="IY256" s="55"/>
      <c r="IZ256" s="55"/>
      <c r="JA256" s="55"/>
      <c r="JB256" s="55"/>
      <c r="JC256" s="55"/>
      <c r="JD256" s="55">
        <v>2019</v>
      </c>
    </row>
    <row r="257" spans="1:264" s="5" customFormat="1" ht="24.95" hidden="1" customHeight="1">
      <c r="A257" s="26" t="s">
        <v>44</v>
      </c>
      <c r="B257" s="26" t="s">
        <v>203</v>
      </c>
      <c r="C257" s="13" t="s">
        <v>349</v>
      </c>
      <c r="D257" s="13" t="s">
        <v>380</v>
      </c>
      <c r="E257" s="16" t="s">
        <v>350</v>
      </c>
      <c r="F257" s="13" t="s">
        <v>356</v>
      </c>
      <c r="G257" s="39" t="s">
        <v>351</v>
      </c>
      <c r="H257" s="13" t="s">
        <v>1556</v>
      </c>
      <c r="I257" s="313" t="s">
        <v>46</v>
      </c>
      <c r="J257" s="26">
        <v>1</v>
      </c>
      <c r="K257" s="49" t="s">
        <v>375</v>
      </c>
      <c r="L257" s="314" t="s">
        <v>1393</v>
      </c>
      <c r="M257" s="15" t="s">
        <v>1395</v>
      </c>
      <c r="N257" s="20"/>
      <c r="O257" s="13" t="s">
        <v>206</v>
      </c>
      <c r="P257" s="13" t="s">
        <v>4</v>
      </c>
      <c r="Q257" s="22" t="s">
        <v>1118</v>
      </c>
      <c r="R257" s="22" t="s">
        <v>1609</v>
      </c>
      <c r="S257" s="13" t="s">
        <v>1576</v>
      </c>
      <c r="T257" s="13" t="s">
        <v>1387</v>
      </c>
      <c r="U257" s="13" t="s">
        <v>477</v>
      </c>
      <c r="V257" s="13" t="s">
        <v>1577</v>
      </c>
      <c r="W257" s="13" t="s">
        <v>570</v>
      </c>
      <c r="X257" s="13" t="s">
        <v>570</v>
      </c>
      <c r="Y257" s="13"/>
      <c r="Z257" s="13"/>
      <c r="AA257" s="137"/>
      <c r="AB257" s="137">
        <v>0</v>
      </c>
      <c r="AC257" s="29">
        <v>0</v>
      </c>
      <c r="AD257" s="37">
        <v>31500</v>
      </c>
      <c r="AE257" s="29">
        <v>0</v>
      </c>
      <c r="AF257" s="29">
        <f t="shared" si="121"/>
        <v>31500</v>
      </c>
      <c r="AG257" s="25">
        <v>0.12</v>
      </c>
      <c r="AH257" s="29">
        <f t="shared" si="116"/>
        <v>3780</v>
      </c>
      <c r="AI257" s="29">
        <f t="shared" si="117"/>
        <v>0</v>
      </c>
      <c r="AJ257" s="29">
        <f t="shared" si="118"/>
        <v>35280</v>
      </c>
      <c r="AK257" s="29"/>
      <c r="AL257" s="29"/>
      <c r="AM257" s="126"/>
      <c r="AN257" s="137"/>
      <c r="AO257" s="37">
        <v>31500</v>
      </c>
      <c r="AP257" s="137"/>
      <c r="AQ257" s="37">
        <v>31500</v>
      </c>
      <c r="AR257" s="138">
        <v>0.12</v>
      </c>
      <c r="AS257" s="137">
        <f>AQ257*0.12</f>
        <v>3780</v>
      </c>
      <c r="AT257" s="137">
        <f>AQ257*1.12</f>
        <v>35280</v>
      </c>
      <c r="AU257" s="137"/>
      <c r="AV257" s="137"/>
      <c r="AW257" s="137"/>
      <c r="AX257" s="137"/>
      <c r="AY257" s="137"/>
      <c r="AZ257" s="137"/>
      <c r="BA257" s="137"/>
      <c r="BB257" s="137"/>
      <c r="BC257" s="137"/>
      <c r="BD257" s="137"/>
      <c r="BE257" s="137"/>
      <c r="BF257" s="37"/>
      <c r="BG257" s="29"/>
      <c r="BH257" s="37"/>
      <c r="BI257" s="37"/>
      <c r="BJ257" s="23" t="s">
        <v>570</v>
      </c>
      <c r="BK257" s="37"/>
      <c r="BL257" s="37"/>
      <c r="BM257" s="37"/>
      <c r="BN257" s="23">
        <v>42978</v>
      </c>
      <c r="BO257" s="13"/>
      <c r="BP257" s="13"/>
      <c r="BQ257" s="23">
        <v>42989</v>
      </c>
      <c r="BR257" s="13"/>
      <c r="BS257" s="13"/>
      <c r="BT257" s="13"/>
      <c r="BU257" s="13"/>
      <c r="BV257" s="13"/>
      <c r="BW257" s="13"/>
      <c r="BX257" s="57">
        <v>43012</v>
      </c>
      <c r="BY257" s="13"/>
      <c r="BZ257" s="13"/>
      <c r="CA257" s="23">
        <v>43060</v>
      </c>
      <c r="CB257" s="224" t="s">
        <v>570</v>
      </c>
      <c r="CC257" s="224" t="s">
        <v>570</v>
      </c>
      <c r="CD257" s="224" t="s">
        <v>570</v>
      </c>
      <c r="CE257" s="13"/>
      <c r="CF257" s="13"/>
      <c r="CG257" s="13"/>
      <c r="CH257" s="13"/>
      <c r="CI257" s="13"/>
      <c r="CJ257" s="13"/>
      <c r="CK257" s="13"/>
      <c r="CL257" s="13"/>
      <c r="CM257" s="13"/>
      <c r="CN257" s="13"/>
      <c r="CO257" s="23">
        <v>43012</v>
      </c>
      <c r="CP257" s="13"/>
      <c r="CQ257" s="13"/>
      <c r="CR257" s="23">
        <v>43060</v>
      </c>
      <c r="CS257" s="29" t="s">
        <v>570</v>
      </c>
      <c r="CT257" s="29" t="s">
        <v>570</v>
      </c>
      <c r="CU257" s="29" t="s">
        <v>570</v>
      </c>
      <c r="CV257" s="155">
        <v>43088</v>
      </c>
      <c r="CW257" s="37">
        <v>15750</v>
      </c>
      <c r="CX257" s="160" t="s">
        <v>1619</v>
      </c>
      <c r="CY257" s="155">
        <v>43115</v>
      </c>
      <c r="CZ257" s="37">
        <f>22050-11025</f>
        <v>11025</v>
      </c>
      <c r="DA257" s="189" t="s">
        <v>1623</v>
      </c>
      <c r="DB257" s="155">
        <v>43138</v>
      </c>
      <c r="DC257" s="37">
        <f>6300-3150</f>
        <v>3150</v>
      </c>
      <c r="DD257" s="189" t="s">
        <v>1624</v>
      </c>
      <c r="DE257" s="13"/>
      <c r="DF257" s="13"/>
      <c r="DG257" s="13"/>
      <c r="DH257" s="13"/>
      <c r="DI257" s="13"/>
      <c r="DJ257" s="13"/>
      <c r="DK257" s="13"/>
      <c r="DL257" s="13"/>
      <c r="DM257" s="13"/>
      <c r="DN257" s="13"/>
      <c r="DO257" s="13"/>
      <c r="DP257" s="13"/>
      <c r="DQ257" s="13"/>
      <c r="DR257" s="13"/>
      <c r="DS257" s="13"/>
      <c r="DT257" s="13"/>
      <c r="DU257" s="13"/>
      <c r="DV257" s="13"/>
      <c r="DW257" s="13"/>
      <c r="DX257" s="13"/>
      <c r="DY257" s="31">
        <f t="shared" si="120"/>
        <v>29925</v>
      </c>
      <c r="DZ257" s="13"/>
      <c r="EA257" s="13"/>
      <c r="EB257" s="13"/>
      <c r="EC257" s="13"/>
      <c r="ED257" s="13"/>
      <c r="EE257" s="13"/>
      <c r="EF257" s="13"/>
      <c r="EG257" s="13">
        <v>240</v>
      </c>
      <c r="EH257" s="23" t="s">
        <v>1626</v>
      </c>
      <c r="EI257" s="23">
        <f>CA257+1</f>
        <v>43061</v>
      </c>
      <c r="EJ257" s="23">
        <f>EI257+EG257</f>
        <v>43301</v>
      </c>
      <c r="EK257" s="13"/>
      <c r="EL257" s="13"/>
      <c r="EM257" s="13"/>
      <c r="EN257" s="13"/>
      <c r="EO257" s="13"/>
      <c r="EP257" s="13"/>
      <c r="EQ257" s="13"/>
      <c r="ER257" s="13"/>
      <c r="ES257" s="13"/>
      <c r="ET257" s="13"/>
      <c r="EU257" s="13"/>
      <c r="EV257" s="13"/>
      <c r="EW257" s="13"/>
      <c r="EX257" s="13"/>
      <c r="EY257" s="13"/>
      <c r="EZ257" s="13"/>
      <c r="FA257" s="13"/>
      <c r="FB257" s="13"/>
      <c r="FC257" s="13"/>
      <c r="FD257" s="13"/>
      <c r="FE257" s="13"/>
      <c r="FF257" s="13"/>
      <c r="FG257" s="13"/>
      <c r="FH257" s="13"/>
      <c r="FI257" s="13"/>
      <c r="FJ257" s="13"/>
      <c r="FK257" s="13"/>
      <c r="FL257" s="13"/>
      <c r="FM257" s="13"/>
      <c r="FN257" s="13"/>
      <c r="FO257" s="13"/>
      <c r="FP257" s="13"/>
      <c r="FQ257" s="13"/>
      <c r="FR257" s="13"/>
      <c r="FS257" s="25"/>
      <c r="FT257" s="25"/>
      <c r="FU257" s="25"/>
      <c r="FV257" s="25"/>
      <c r="FW257" s="25"/>
      <c r="FX257" s="25">
        <v>0</v>
      </c>
      <c r="FY257" s="25">
        <v>0</v>
      </c>
      <c r="FZ257" s="25">
        <v>0</v>
      </c>
      <c r="GA257" s="25">
        <v>0</v>
      </c>
      <c r="GB257" s="25">
        <v>0</v>
      </c>
      <c r="GC257" s="25">
        <v>0</v>
      </c>
      <c r="GD257" s="25">
        <v>0</v>
      </c>
      <c r="GE257" s="25">
        <v>0</v>
      </c>
      <c r="GF257" s="25">
        <v>0</v>
      </c>
      <c r="GG257" s="25">
        <v>0</v>
      </c>
      <c r="GH257" s="25">
        <v>0</v>
      </c>
      <c r="GI257" s="25">
        <v>0.99</v>
      </c>
      <c r="GJ257" s="25">
        <v>0.99</v>
      </c>
      <c r="GK257" s="25">
        <v>1</v>
      </c>
      <c r="GL257" s="25">
        <v>1</v>
      </c>
      <c r="GM257" s="25">
        <v>1</v>
      </c>
      <c r="GN257" s="25">
        <v>1</v>
      </c>
      <c r="GO257" s="25">
        <v>1</v>
      </c>
      <c r="GP257" s="25">
        <v>1</v>
      </c>
      <c r="GQ257" s="25">
        <v>1</v>
      </c>
      <c r="GR257" s="25">
        <v>1</v>
      </c>
      <c r="GS257" s="25">
        <v>1</v>
      </c>
      <c r="GT257" s="25">
        <v>1</v>
      </c>
      <c r="GU257" s="25">
        <v>1</v>
      </c>
      <c r="GV257" s="25" t="s">
        <v>1588</v>
      </c>
      <c r="GW257" s="25" t="s">
        <v>1588</v>
      </c>
      <c r="GX257" s="25" t="s">
        <v>1588</v>
      </c>
      <c r="GY257" s="25" t="s">
        <v>1588</v>
      </c>
      <c r="GZ257" s="25" t="s">
        <v>1588</v>
      </c>
      <c r="HA257" s="25" t="s">
        <v>1588</v>
      </c>
      <c r="HB257" s="25" t="s">
        <v>455</v>
      </c>
      <c r="HC257" s="25" t="s">
        <v>455</v>
      </c>
      <c r="HD257" s="25" t="s">
        <v>455</v>
      </c>
      <c r="HE257" s="25" t="s">
        <v>455</v>
      </c>
      <c r="HF257" s="25" t="s">
        <v>455</v>
      </c>
      <c r="HG257" s="25" t="s">
        <v>455</v>
      </c>
      <c r="HH257" s="25" t="s">
        <v>455</v>
      </c>
      <c r="HI257" s="25"/>
      <c r="HJ257" s="25"/>
      <c r="HK257" s="25"/>
      <c r="HL257" s="25"/>
      <c r="HM257" s="84" t="s">
        <v>1732</v>
      </c>
      <c r="HN257" s="84"/>
      <c r="HO257" s="84" t="s">
        <v>1840</v>
      </c>
      <c r="HP257" s="84"/>
      <c r="HQ257" s="84"/>
      <c r="HR257" s="84"/>
      <c r="HS257" s="84"/>
      <c r="HT257" s="84"/>
      <c r="HU257" s="13" t="s">
        <v>1397</v>
      </c>
      <c r="HV257" s="13"/>
      <c r="HW257" s="32"/>
      <c r="HX257" s="55"/>
      <c r="HY257" s="55"/>
      <c r="HZ257" s="55"/>
      <c r="IA257" s="55"/>
      <c r="IB257" s="55"/>
      <c r="IC257" s="55"/>
      <c r="ID257" s="55"/>
      <c r="IE257" s="55"/>
      <c r="IF257" s="107">
        <v>0</v>
      </c>
      <c r="IG257" s="107">
        <v>31500</v>
      </c>
      <c r="IH257" s="250">
        <f t="shared" si="119"/>
        <v>-31500</v>
      </c>
      <c r="II257" s="55"/>
      <c r="IJ257" s="55"/>
      <c r="IK257" s="55"/>
      <c r="IL257" s="55"/>
      <c r="IM257" s="55"/>
      <c r="IN257" s="55"/>
      <c r="IO257" s="55"/>
      <c r="IP257" s="55"/>
      <c r="IQ257" s="55"/>
      <c r="IR257" s="55"/>
      <c r="IS257" s="55"/>
      <c r="IT257" s="55"/>
      <c r="IU257" s="55"/>
      <c r="IV257" s="55"/>
      <c r="IW257" s="55"/>
      <c r="IX257" s="55"/>
      <c r="IY257" s="55"/>
      <c r="IZ257" s="55"/>
      <c r="JA257" s="55"/>
      <c r="JB257" s="55"/>
      <c r="JC257" s="55"/>
      <c r="JD257" s="55">
        <v>2019</v>
      </c>
    </row>
    <row r="258" spans="1:264" s="5" customFormat="1" ht="24.95" hidden="1" customHeight="1">
      <c r="A258" s="26" t="s">
        <v>44</v>
      </c>
      <c r="B258" s="26" t="s">
        <v>203</v>
      </c>
      <c r="C258" s="13" t="s">
        <v>349</v>
      </c>
      <c r="D258" s="13" t="s">
        <v>380</v>
      </c>
      <c r="E258" s="16" t="s">
        <v>350</v>
      </c>
      <c r="F258" s="13" t="s">
        <v>356</v>
      </c>
      <c r="G258" s="39" t="s">
        <v>351</v>
      </c>
      <c r="H258" s="13" t="s">
        <v>1556</v>
      </c>
      <c r="I258" s="313" t="s">
        <v>46</v>
      </c>
      <c r="J258" s="26">
        <v>1</v>
      </c>
      <c r="K258" s="49" t="s">
        <v>375</v>
      </c>
      <c r="L258" s="314" t="s">
        <v>1394</v>
      </c>
      <c r="M258" s="15" t="s">
        <v>1396</v>
      </c>
      <c r="N258" s="20"/>
      <c r="O258" s="13" t="s">
        <v>206</v>
      </c>
      <c r="P258" s="13" t="s">
        <v>4</v>
      </c>
      <c r="Q258" s="22" t="s">
        <v>1118</v>
      </c>
      <c r="R258" s="22" t="s">
        <v>1617</v>
      </c>
      <c r="S258" s="13" t="s">
        <v>1583</v>
      </c>
      <c r="T258" s="13" t="s">
        <v>1387</v>
      </c>
      <c r="U258" s="13" t="s">
        <v>477</v>
      </c>
      <c r="V258" s="24">
        <v>1309830485001</v>
      </c>
      <c r="W258" s="13" t="s">
        <v>570</v>
      </c>
      <c r="X258" s="13" t="s">
        <v>570</v>
      </c>
      <c r="Y258" s="13"/>
      <c r="Z258" s="13"/>
      <c r="AA258" s="137"/>
      <c r="AB258" s="137">
        <v>0</v>
      </c>
      <c r="AC258" s="29">
        <v>0</v>
      </c>
      <c r="AD258" s="37">
        <v>21000</v>
      </c>
      <c r="AE258" s="29">
        <v>0</v>
      </c>
      <c r="AF258" s="29">
        <f t="shared" si="121"/>
        <v>21000</v>
      </c>
      <c r="AG258" s="25">
        <v>0.12</v>
      </c>
      <c r="AH258" s="29">
        <f t="shared" si="116"/>
        <v>2520</v>
      </c>
      <c r="AI258" s="29">
        <f t="shared" si="117"/>
        <v>0</v>
      </c>
      <c r="AJ258" s="29">
        <f t="shared" si="118"/>
        <v>23520.000000000004</v>
      </c>
      <c r="AK258" s="29"/>
      <c r="AL258" s="29"/>
      <c r="AM258" s="126"/>
      <c r="AN258" s="137"/>
      <c r="AO258" s="37">
        <v>21000</v>
      </c>
      <c r="AP258" s="137"/>
      <c r="AQ258" s="37">
        <v>21000</v>
      </c>
      <c r="AR258" s="138">
        <v>0.12</v>
      </c>
      <c r="AS258" s="137">
        <f>AQ258*0.12</f>
        <v>2520</v>
      </c>
      <c r="AT258" s="137">
        <f>AQ258*1.12</f>
        <v>23520.000000000004</v>
      </c>
      <c r="AU258" s="137"/>
      <c r="AV258" s="137"/>
      <c r="AW258" s="137"/>
      <c r="AX258" s="137"/>
      <c r="AY258" s="137"/>
      <c r="AZ258" s="137"/>
      <c r="BA258" s="137"/>
      <c r="BB258" s="137"/>
      <c r="BC258" s="137"/>
      <c r="BD258" s="137"/>
      <c r="BE258" s="137"/>
      <c r="BF258" s="37"/>
      <c r="BG258" s="29"/>
      <c r="BH258" s="37"/>
      <c r="BI258" s="37"/>
      <c r="BJ258" s="23" t="s">
        <v>570</v>
      </c>
      <c r="BK258" s="37"/>
      <c r="BL258" s="37"/>
      <c r="BM258" s="37"/>
      <c r="BN258" s="23">
        <v>42978</v>
      </c>
      <c r="BO258" s="13"/>
      <c r="BP258" s="13"/>
      <c r="BQ258" s="23">
        <v>42989</v>
      </c>
      <c r="BR258" s="13"/>
      <c r="BS258" s="13"/>
      <c r="BT258" s="13"/>
      <c r="BU258" s="13"/>
      <c r="BV258" s="13"/>
      <c r="BW258" s="13"/>
      <c r="BX258" s="57">
        <v>43012</v>
      </c>
      <c r="BY258" s="13"/>
      <c r="BZ258" s="13"/>
      <c r="CA258" s="23">
        <v>43023</v>
      </c>
      <c r="CB258" s="224" t="s">
        <v>570</v>
      </c>
      <c r="CC258" s="224" t="s">
        <v>570</v>
      </c>
      <c r="CD258" s="224" t="s">
        <v>570</v>
      </c>
      <c r="CE258" s="13"/>
      <c r="CF258" s="13"/>
      <c r="CG258" s="13"/>
      <c r="CH258" s="13"/>
      <c r="CI258" s="13"/>
      <c r="CJ258" s="13"/>
      <c r="CK258" s="13"/>
      <c r="CL258" s="13"/>
      <c r="CM258" s="13"/>
      <c r="CN258" s="13"/>
      <c r="CO258" s="23">
        <v>43012</v>
      </c>
      <c r="CP258" s="13"/>
      <c r="CQ258" s="13"/>
      <c r="CR258" s="13"/>
      <c r="CS258" s="29" t="s">
        <v>570</v>
      </c>
      <c r="CT258" s="29" t="s">
        <v>570</v>
      </c>
      <c r="CU258" s="29" t="s">
        <v>570</v>
      </c>
      <c r="CV258" s="155">
        <v>43060</v>
      </c>
      <c r="CW258" s="37">
        <v>10500</v>
      </c>
      <c r="CX258" s="189" t="s">
        <v>1619</v>
      </c>
      <c r="CY258" s="155">
        <v>43116</v>
      </c>
      <c r="CZ258" s="37">
        <f>8400-4200</f>
        <v>4200</v>
      </c>
      <c r="DA258" s="189" t="s">
        <v>1625</v>
      </c>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31">
        <f t="shared" si="120"/>
        <v>14700</v>
      </c>
      <c r="DZ258" s="13"/>
      <c r="EA258" s="13"/>
      <c r="EB258" s="13"/>
      <c r="EC258" s="13"/>
      <c r="ED258" s="13"/>
      <c r="EE258" s="13"/>
      <c r="EF258" s="13"/>
      <c r="EG258" s="13">
        <v>180</v>
      </c>
      <c r="EH258" s="23" t="s">
        <v>1626</v>
      </c>
      <c r="EI258" s="23">
        <f>CA258+1</f>
        <v>43024</v>
      </c>
      <c r="EJ258" s="23">
        <f>EI258+EG258</f>
        <v>43204</v>
      </c>
      <c r="EK258" s="13"/>
      <c r="EL258" s="13"/>
      <c r="EM258" s="13"/>
      <c r="EN258" s="13"/>
      <c r="EO258" s="13"/>
      <c r="EP258" s="13"/>
      <c r="EQ258" s="13"/>
      <c r="ER258" s="13"/>
      <c r="ES258" s="13"/>
      <c r="ET258" s="13"/>
      <c r="EU258" s="13"/>
      <c r="EV258" s="13"/>
      <c r="EW258" s="13"/>
      <c r="EX258" s="13"/>
      <c r="EY258" s="13"/>
      <c r="EZ258" s="13"/>
      <c r="FA258" s="13"/>
      <c r="FB258" s="13"/>
      <c r="FC258" s="13"/>
      <c r="FD258" s="13"/>
      <c r="FE258" s="13"/>
      <c r="FF258" s="13"/>
      <c r="FG258" s="13"/>
      <c r="FH258" s="13"/>
      <c r="FI258" s="13"/>
      <c r="FJ258" s="13"/>
      <c r="FK258" s="13"/>
      <c r="FL258" s="13"/>
      <c r="FM258" s="13"/>
      <c r="FN258" s="13"/>
      <c r="FO258" s="13"/>
      <c r="FP258" s="13"/>
      <c r="FQ258" s="13"/>
      <c r="FR258" s="13"/>
      <c r="FS258" s="25"/>
      <c r="FT258" s="25"/>
      <c r="FU258" s="25"/>
      <c r="FV258" s="25"/>
      <c r="FW258" s="25"/>
      <c r="FX258" s="25">
        <v>0</v>
      </c>
      <c r="FY258" s="25">
        <v>0</v>
      </c>
      <c r="FZ258" s="25">
        <v>0</v>
      </c>
      <c r="GA258" s="25">
        <v>0</v>
      </c>
      <c r="GB258" s="25">
        <v>0</v>
      </c>
      <c r="GC258" s="25">
        <v>0</v>
      </c>
      <c r="GD258" s="25">
        <v>0</v>
      </c>
      <c r="GE258" s="25">
        <v>0</v>
      </c>
      <c r="GF258" s="25">
        <v>0</v>
      </c>
      <c r="GG258" s="25">
        <v>0</v>
      </c>
      <c r="GH258" s="25">
        <v>0</v>
      </c>
      <c r="GI258" s="25">
        <v>0.99</v>
      </c>
      <c r="GJ258" s="25">
        <v>0.99</v>
      </c>
      <c r="GK258" s="25">
        <v>1</v>
      </c>
      <c r="GL258" s="25">
        <v>1</v>
      </c>
      <c r="GM258" s="25">
        <v>1</v>
      </c>
      <c r="GN258" s="25">
        <v>1</v>
      </c>
      <c r="GO258" s="25">
        <v>1</v>
      </c>
      <c r="GP258" s="25">
        <v>1</v>
      </c>
      <c r="GQ258" s="25">
        <v>1</v>
      </c>
      <c r="GR258" s="25">
        <v>1</v>
      </c>
      <c r="GS258" s="25">
        <v>1</v>
      </c>
      <c r="GT258" s="25">
        <v>1</v>
      </c>
      <c r="GU258" s="25">
        <v>1</v>
      </c>
      <c r="GV258" s="25" t="s">
        <v>1588</v>
      </c>
      <c r="GW258" s="25" t="s">
        <v>1588</v>
      </c>
      <c r="GX258" s="25" t="s">
        <v>1588</v>
      </c>
      <c r="GY258" s="25" t="s">
        <v>1588</v>
      </c>
      <c r="GZ258" s="25" t="s">
        <v>1588</v>
      </c>
      <c r="HA258" s="25" t="s">
        <v>455</v>
      </c>
      <c r="HB258" s="25" t="s">
        <v>455</v>
      </c>
      <c r="HC258" s="25" t="s">
        <v>455</v>
      </c>
      <c r="HD258" s="25" t="s">
        <v>455</v>
      </c>
      <c r="HE258" s="25" t="s">
        <v>455</v>
      </c>
      <c r="HF258" s="25" t="s">
        <v>455</v>
      </c>
      <c r="HG258" s="25" t="s">
        <v>455</v>
      </c>
      <c r="HH258" s="25" t="s">
        <v>455</v>
      </c>
      <c r="HI258" s="25"/>
      <c r="HJ258" s="25"/>
      <c r="HK258" s="25"/>
      <c r="HL258" s="25"/>
      <c r="HM258" s="84" t="s">
        <v>1732</v>
      </c>
      <c r="HN258" s="84" t="s">
        <v>1793</v>
      </c>
      <c r="HO258" s="84" t="s">
        <v>1840</v>
      </c>
      <c r="HP258" s="84"/>
      <c r="HQ258" s="84"/>
      <c r="HR258" s="84"/>
      <c r="HS258" s="84"/>
      <c r="HT258" s="84"/>
      <c r="HU258" s="13" t="s">
        <v>1397</v>
      </c>
      <c r="HV258" s="13"/>
      <c r="HW258" s="32"/>
      <c r="HX258" s="55"/>
      <c r="HY258" s="55"/>
      <c r="HZ258" s="55"/>
      <c r="IA258" s="55"/>
      <c r="IB258" s="55"/>
      <c r="IC258" s="55"/>
      <c r="ID258" s="55"/>
      <c r="IE258" s="55"/>
      <c r="IF258" s="107">
        <v>0</v>
      </c>
      <c r="IG258" s="107">
        <v>21000</v>
      </c>
      <c r="IH258" s="250">
        <f t="shared" si="119"/>
        <v>-21000</v>
      </c>
      <c r="II258" s="55"/>
      <c r="IJ258" s="55"/>
      <c r="IK258" s="55"/>
      <c r="IL258" s="55"/>
      <c r="IM258" s="55"/>
      <c r="IN258" s="55"/>
      <c r="IO258" s="55"/>
      <c r="IP258" s="55"/>
      <c r="IQ258" s="55"/>
      <c r="IR258" s="55"/>
      <c r="IS258" s="55"/>
      <c r="IT258" s="55"/>
      <c r="IU258" s="55"/>
      <c r="IV258" s="55"/>
      <c r="IW258" s="55"/>
      <c r="IX258" s="55"/>
      <c r="IY258" s="55"/>
      <c r="IZ258" s="55"/>
      <c r="JA258" s="55"/>
      <c r="JB258" s="55"/>
      <c r="JC258" s="55"/>
      <c r="JD258" s="55">
        <v>2019</v>
      </c>
    </row>
    <row r="259" spans="1:264" s="5" customFormat="1" ht="20.100000000000001" hidden="1" customHeight="1">
      <c r="A259" s="26" t="s">
        <v>44</v>
      </c>
      <c r="B259" s="26" t="s">
        <v>203</v>
      </c>
      <c r="C259" s="13" t="s">
        <v>349</v>
      </c>
      <c r="D259" s="13" t="s">
        <v>380</v>
      </c>
      <c r="E259" s="16" t="s">
        <v>350</v>
      </c>
      <c r="F259" s="13" t="s">
        <v>356</v>
      </c>
      <c r="G259" s="26" t="s">
        <v>354</v>
      </c>
      <c r="H259" s="13" t="s">
        <v>1556</v>
      </c>
      <c r="I259" s="20" t="s">
        <v>55</v>
      </c>
      <c r="J259" s="26">
        <v>6</v>
      </c>
      <c r="K259" s="49" t="s">
        <v>375</v>
      </c>
      <c r="L259" s="314" t="s">
        <v>225</v>
      </c>
      <c r="M259" s="15" t="s">
        <v>226</v>
      </c>
      <c r="N259" s="15"/>
      <c r="O259" s="13" t="s">
        <v>206</v>
      </c>
      <c r="P259" s="13" t="s">
        <v>4</v>
      </c>
      <c r="Q259" s="22" t="s">
        <v>794</v>
      </c>
      <c r="R259" s="22"/>
      <c r="S259" s="13"/>
      <c r="T259" s="13"/>
      <c r="U259" s="13"/>
      <c r="V259" s="13"/>
      <c r="W259" s="13" t="s">
        <v>570</v>
      </c>
      <c r="X259" s="13" t="s">
        <v>570</v>
      </c>
      <c r="Y259" s="13"/>
      <c r="Z259" s="13"/>
      <c r="AA259" s="29"/>
      <c r="AB259" s="29">
        <v>14593.33</v>
      </c>
      <c r="AC259" s="29">
        <v>0</v>
      </c>
      <c r="AD259" s="137">
        <v>14593.33</v>
      </c>
      <c r="AE259" s="29">
        <v>0</v>
      </c>
      <c r="AF259" s="29">
        <f t="shared" si="121"/>
        <v>14593.33</v>
      </c>
      <c r="AG259" s="25">
        <v>0.12</v>
      </c>
      <c r="AH259" s="29">
        <f t="shared" si="116"/>
        <v>1751.1995999999999</v>
      </c>
      <c r="AI259" s="29">
        <f t="shared" si="117"/>
        <v>0</v>
      </c>
      <c r="AJ259" s="29">
        <f t="shared" si="118"/>
        <v>16344.529600000002</v>
      </c>
      <c r="AK259" s="29">
        <v>0</v>
      </c>
      <c r="AL259" s="29">
        <f>AB259-AK259</f>
        <v>14593.33</v>
      </c>
      <c r="AM259" s="126"/>
      <c r="AN259" s="29"/>
      <c r="AO259" s="29"/>
      <c r="AP259" s="29"/>
      <c r="AQ259" s="29"/>
      <c r="AR259" s="29"/>
      <c r="AS259" s="29"/>
      <c r="AT259" s="29"/>
      <c r="AU259" s="29"/>
      <c r="AV259" s="29"/>
      <c r="AW259" s="29"/>
      <c r="AX259" s="29"/>
      <c r="AY259" s="29"/>
      <c r="AZ259" s="29"/>
      <c r="BA259" s="29"/>
      <c r="BB259" s="29"/>
      <c r="BC259" s="29"/>
      <c r="BD259" s="29"/>
      <c r="BE259" s="29"/>
      <c r="BF259" s="37"/>
      <c r="BG259" s="29">
        <f t="shared" ref="BG259:BG279" si="122">BF259-AW259-AZ259-BC259-BE259</f>
        <v>0</v>
      </c>
      <c r="BH259" s="37"/>
      <c r="BI259" s="37"/>
      <c r="BJ259" s="23" t="s">
        <v>570</v>
      </c>
      <c r="BK259" s="37"/>
      <c r="BL259" s="37"/>
      <c r="BM259" s="37"/>
      <c r="BN259" s="13"/>
      <c r="BO259" s="13"/>
      <c r="BP259" s="13"/>
      <c r="BQ259" s="13"/>
      <c r="BR259" s="13"/>
      <c r="BS259" s="13"/>
      <c r="BT259" s="13"/>
      <c r="BU259" s="13"/>
      <c r="BV259" s="13"/>
      <c r="BW259" s="13"/>
      <c r="BX259" s="13"/>
      <c r="BY259" s="13"/>
      <c r="BZ259" s="13"/>
      <c r="CA259" s="13"/>
      <c r="CB259" s="224" t="s">
        <v>570</v>
      </c>
      <c r="CC259" s="224" t="s">
        <v>570</v>
      </c>
      <c r="CD259" s="224" t="s">
        <v>570</v>
      </c>
      <c r="CE259" s="13"/>
      <c r="CF259" s="13"/>
      <c r="CG259" s="13"/>
      <c r="CH259" s="13"/>
      <c r="CI259" s="13"/>
      <c r="CJ259" s="13"/>
      <c r="CK259" s="13"/>
      <c r="CL259" s="13"/>
      <c r="CM259" s="13"/>
      <c r="CN259" s="13"/>
      <c r="CO259" s="13"/>
      <c r="CP259" s="13"/>
      <c r="CQ259" s="13"/>
      <c r="CR259" s="13"/>
      <c r="CS259" s="29" t="s">
        <v>570</v>
      </c>
      <c r="CT259" s="29" t="s">
        <v>570</v>
      </c>
      <c r="CU259" s="29" t="s">
        <v>570</v>
      </c>
      <c r="CV259" s="23"/>
      <c r="CW259" s="30"/>
      <c r="CX259" s="13"/>
      <c r="CY259" s="155"/>
      <c r="CZ259" s="29"/>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31">
        <f t="shared" si="120"/>
        <v>0</v>
      </c>
      <c r="DZ259" s="13"/>
      <c r="EA259" s="13"/>
      <c r="EB259" s="13"/>
      <c r="EC259" s="13"/>
      <c r="ED259" s="13"/>
      <c r="EE259" s="13"/>
      <c r="EF259" s="13"/>
      <c r="EG259" s="13"/>
      <c r="EH259" s="13"/>
      <c r="EI259" s="13"/>
      <c r="EJ259" s="13"/>
      <c r="EK259" s="13"/>
      <c r="EL259" s="13"/>
      <c r="EM259" s="13"/>
      <c r="EN259" s="13"/>
      <c r="EO259" s="13"/>
      <c r="EP259" s="13"/>
      <c r="EQ259" s="13"/>
      <c r="ER259" s="13"/>
      <c r="ES259" s="13"/>
      <c r="ET259" s="13"/>
      <c r="EU259" s="13"/>
      <c r="EV259" s="13"/>
      <c r="EW259" s="13"/>
      <c r="EX259" s="13"/>
      <c r="EY259" s="13"/>
      <c r="EZ259" s="13"/>
      <c r="FA259" s="13"/>
      <c r="FB259" s="13"/>
      <c r="FC259" s="13"/>
      <c r="FD259" s="13"/>
      <c r="FE259" s="13"/>
      <c r="FF259" s="13"/>
      <c r="FG259" s="13"/>
      <c r="FH259" s="13"/>
      <c r="FI259" s="13"/>
      <c r="FJ259" s="13"/>
      <c r="FK259" s="13"/>
      <c r="FL259" s="13"/>
      <c r="FM259" s="13"/>
      <c r="FN259" s="13"/>
      <c r="FO259" s="13"/>
      <c r="FP259" s="13"/>
      <c r="FQ259" s="13"/>
      <c r="FR259" s="13"/>
      <c r="FS259" s="25">
        <v>1</v>
      </c>
      <c r="FT259" s="25">
        <v>1</v>
      </c>
      <c r="FU259" s="25">
        <v>1</v>
      </c>
      <c r="FV259" s="25">
        <v>1</v>
      </c>
      <c r="FW259" s="25">
        <v>1</v>
      </c>
      <c r="FX259" s="25">
        <v>1</v>
      </c>
      <c r="FY259" s="25">
        <v>1</v>
      </c>
      <c r="FZ259" s="25">
        <v>1</v>
      </c>
      <c r="GA259" s="25">
        <v>1</v>
      </c>
      <c r="GB259" s="25">
        <v>1</v>
      </c>
      <c r="GC259" s="25">
        <v>1</v>
      </c>
      <c r="GD259" s="25">
        <v>1</v>
      </c>
      <c r="GE259" s="25">
        <v>1</v>
      </c>
      <c r="GF259" s="25">
        <v>1</v>
      </c>
      <c r="GG259" s="25">
        <v>1</v>
      </c>
      <c r="GH259" s="25">
        <v>1</v>
      </c>
      <c r="GI259" s="25">
        <v>1</v>
      </c>
      <c r="GJ259" s="25">
        <v>1</v>
      </c>
      <c r="GK259" s="25">
        <v>1</v>
      </c>
      <c r="GL259" s="25">
        <v>1</v>
      </c>
      <c r="GM259" s="25">
        <v>1</v>
      </c>
      <c r="GN259" s="25">
        <v>1</v>
      </c>
      <c r="GO259" s="25">
        <v>1</v>
      </c>
      <c r="GP259" s="25">
        <v>1</v>
      </c>
      <c r="GQ259" s="25">
        <v>1</v>
      </c>
      <c r="GR259" s="25">
        <v>1</v>
      </c>
      <c r="GS259" s="25">
        <v>1</v>
      </c>
      <c r="GT259" s="25">
        <v>1</v>
      </c>
      <c r="GU259" s="25">
        <v>1</v>
      </c>
      <c r="GV259" s="25" t="s">
        <v>1588</v>
      </c>
      <c r="GW259" s="25" t="s">
        <v>1588</v>
      </c>
      <c r="GX259" s="25" t="s">
        <v>1588</v>
      </c>
      <c r="GY259" s="25" t="s">
        <v>1588</v>
      </c>
      <c r="GZ259" s="25" t="s">
        <v>1588</v>
      </c>
      <c r="HA259" s="25" t="s">
        <v>1588</v>
      </c>
      <c r="HB259" s="25" t="s">
        <v>1588</v>
      </c>
      <c r="HC259" s="25" t="s">
        <v>1889</v>
      </c>
      <c r="HD259" s="25" t="s">
        <v>1889</v>
      </c>
      <c r="HE259" s="25" t="s">
        <v>1889</v>
      </c>
      <c r="HF259" s="25" t="s">
        <v>1889</v>
      </c>
      <c r="HG259" s="25" t="s">
        <v>1889</v>
      </c>
      <c r="HH259" s="25" t="s">
        <v>1889</v>
      </c>
      <c r="HI259" s="25"/>
      <c r="HJ259" s="25"/>
      <c r="HK259" s="25"/>
      <c r="HL259" s="25"/>
      <c r="HM259" s="84"/>
      <c r="HN259" s="84"/>
      <c r="HO259" s="84"/>
      <c r="HP259" s="84"/>
      <c r="HQ259" s="84"/>
      <c r="HR259" s="84"/>
      <c r="HS259" s="84"/>
      <c r="HT259" s="84"/>
      <c r="HU259" s="13" t="s">
        <v>423</v>
      </c>
      <c r="HV259" s="13"/>
      <c r="HW259" s="32"/>
      <c r="HX259" s="55"/>
      <c r="HY259" s="55"/>
      <c r="HZ259" s="55"/>
      <c r="IA259" s="55"/>
      <c r="IB259" s="55"/>
      <c r="IC259" s="55"/>
      <c r="ID259" s="55"/>
      <c r="IE259" s="55"/>
      <c r="IF259" s="107">
        <v>14593.33</v>
      </c>
      <c r="IG259" s="107">
        <v>0</v>
      </c>
      <c r="IH259" s="250">
        <f t="shared" si="119"/>
        <v>0</v>
      </c>
      <c r="II259" s="55"/>
      <c r="IJ259" s="55"/>
      <c r="IK259" s="55"/>
      <c r="IL259" s="55"/>
      <c r="IM259" s="55"/>
      <c r="IN259" s="55"/>
      <c r="IO259" s="55"/>
      <c r="IP259" s="55"/>
      <c r="IQ259" s="55"/>
      <c r="IR259" s="55"/>
      <c r="IS259" s="55"/>
      <c r="IT259" s="55"/>
      <c r="IU259" s="55"/>
      <c r="IV259" s="55"/>
      <c r="IW259" s="55"/>
      <c r="IX259" s="55"/>
      <c r="IY259" s="55"/>
      <c r="IZ259" s="55"/>
      <c r="JA259" s="55"/>
      <c r="JB259" s="55"/>
      <c r="JC259" s="55"/>
      <c r="JD259" s="55">
        <v>2016</v>
      </c>
    </row>
    <row r="260" spans="1:264" s="5" customFormat="1" ht="20.100000000000001" hidden="1" customHeight="1">
      <c r="A260" s="26" t="s">
        <v>56</v>
      </c>
      <c r="B260" s="26" t="s">
        <v>203</v>
      </c>
      <c r="C260" s="13" t="s">
        <v>349</v>
      </c>
      <c r="D260" s="13" t="s">
        <v>380</v>
      </c>
      <c r="E260" s="16" t="s">
        <v>350</v>
      </c>
      <c r="F260" s="13" t="s">
        <v>356</v>
      </c>
      <c r="G260" s="26" t="s">
        <v>351</v>
      </c>
      <c r="H260" s="13" t="s">
        <v>1516</v>
      </c>
      <c r="I260" s="313" t="s">
        <v>413</v>
      </c>
      <c r="J260" s="26">
        <v>1</v>
      </c>
      <c r="K260" s="49" t="s">
        <v>375</v>
      </c>
      <c r="L260" s="314" t="s">
        <v>227</v>
      </c>
      <c r="M260" s="392" t="s">
        <v>334</v>
      </c>
      <c r="N260" s="20" t="s">
        <v>1942</v>
      </c>
      <c r="O260" s="13" t="s">
        <v>206</v>
      </c>
      <c r="P260" s="13" t="s">
        <v>4</v>
      </c>
      <c r="Q260" s="22" t="s">
        <v>1118</v>
      </c>
      <c r="R260" s="314" t="s">
        <v>227</v>
      </c>
      <c r="S260" s="13" t="s">
        <v>689</v>
      </c>
      <c r="T260" s="22" t="s">
        <v>1387</v>
      </c>
      <c r="U260" s="13" t="s">
        <v>477</v>
      </c>
      <c r="V260" s="13" t="s">
        <v>690</v>
      </c>
      <c r="W260" s="13" t="s">
        <v>570</v>
      </c>
      <c r="X260" s="13" t="s">
        <v>570</v>
      </c>
      <c r="Y260" s="13" t="s">
        <v>676</v>
      </c>
      <c r="Z260" s="13" t="s">
        <v>503</v>
      </c>
      <c r="AA260" s="29">
        <v>17502.787066072306</v>
      </c>
      <c r="AB260" s="29">
        <v>18000</v>
      </c>
      <c r="AC260" s="29">
        <v>17502.79</v>
      </c>
      <c r="AD260" s="29">
        <v>18000</v>
      </c>
      <c r="AE260" s="29">
        <v>0</v>
      </c>
      <c r="AF260" s="29">
        <f t="shared" si="121"/>
        <v>18000</v>
      </c>
      <c r="AG260" s="25">
        <v>0.12</v>
      </c>
      <c r="AH260" s="29">
        <f t="shared" si="116"/>
        <v>2160</v>
      </c>
      <c r="AI260" s="29">
        <f t="shared" si="117"/>
        <v>0</v>
      </c>
      <c r="AJ260" s="29">
        <f t="shared" si="118"/>
        <v>20160.000000000004</v>
      </c>
      <c r="AK260" s="29">
        <v>18000</v>
      </c>
      <c r="AL260" s="29">
        <f>AB260-AK260</f>
        <v>0</v>
      </c>
      <c r="AM260" s="126"/>
      <c r="AN260" s="29"/>
      <c r="AO260" s="29">
        <v>18000</v>
      </c>
      <c r="AP260" s="29"/>
      <c r="AQ260" s="29">
        <v>18000</v>
      </c>
      <c r="AR260" s="29"/>
      <c r="AS260" s="29"/>
      <c r="AT260" s="29"/>
      <c r="AU260" s="29"/>
      <c r="AV260" s="29"/>
      <c r="AW260" s="29"/>
      <c r="AX260" s="29"/>
      <c r="AY260" s="29"/>
      <c r="AZ260" s="29"/>
      <c r="BA260" s="29"/>
      <c r="BB260" s="29"/>
      <c r="BC260" s="29"/>
      <c r="BD260" s="29"/>
      <c r="BE260" s="29"/>
      <c r="BF260" s="29">
        <f t="shared" ref="BF260:BF284" si="123">AB260-AQ260</f>
        <v>0</v>
      </c>
      <c r="BG260" s="29">
        <f t="shared" si="122"/>
        <v>0</v>
      </c>
      <c r="BH260" s="37"/>
      <c r="BI260" s="23" t="s">
        <v>570</v>
      </c>
      <c r="BJ260" s="23" t="s">
        <v>570</v>
      </c>
      <c r="BK260" s="23"/>
      <c r="BL260" s="23"/>
      <c r="BM260" s="23"/>
      <c r="BN260" s="13"/>
      <c r="BO260" s="13"/>
      <c r="BP260" s="13"/>
      <c r="BQ260" s="13"/>
      <c r="BR260" s="13"/>
      <c r="BS260" s="13"/>
      <c r="BT260" s="13"/>
      <c r="BU260" s="13"/>
      <c r="BV260" s="13"/>
      <c r="BW260" s="13" t="s">
        <v>570</v>
      </c>
      <c r="BX260" s="23">
        <v>42384</v>
      </c>
      <c r="BY260" s="13" t="s">
        <v>570</v>
      </c>
      <c r="BZ260" s="13" t="s">
        <v>503</v>
      </c>
      <c r="CA260" s="23">
        <v>42395</v>
      </c>
      <c r="CB260" s="224" t="s">
        <v>570</v>
      </c>
      <c r="CC260" s="224" t="s">
        <v>570</v>
      </c>
      <c r="CD260" s="224" t="s">
        <v>570</v>
      </c>
      <c r="CE260" s="23"/>
      <c r="CF260" s="23"/>
      <c r="CG260" s="23"/>
      <c r="CH260" s="23"/>
      <c r="CI260" s="23"/>
      <c r="CJ260" s="23"/>
      <c r="CK260" s="23"/>
      <c r="CL260" s="23"/>
      <c r="CM260" s="23"/>
      <c r="CN260" s="23"/>
      <c r="CO260" s="23"/>
      <c r="CP260" s="23"/>
      <c r="CQ260" s="23"/>
      <c r="CR260" s="23"/>
      <c r="CS260" s="29" t="s">
        <v>570</v>
      </c>
      <c r="CT260" s="29" t="s">
        <v>570</v>
      </c>
      <c r="CU260" s="29" t="s">
        <v>570</v>
      </c>
      <c r="CV260" s="23"/>
      <c r="CW260" s="30"/>
      <c r="CX260" s="161" t="s">
        <v>1256</v>
      </c>
      <c r="CY260" s="99">
        <v>42744</v>
      </c>
      <c r="CZ260" s="54">
        <v>5065.2</v>
      </c>
      <c r="DA260" s="134" t="s">
        <v>1422</v>
      </c>
      <c r="DB260" s="99">
        <v>42797</v>
      </c>
      <c r="DC260" s="54">
        <v>6588</v>
      </c>
      <c r="DD260" s="134" t="s">
        <v>1423</v>
      </c>
      <c r="DE260" s="99">
        <v>42815</v>
      </c>
      <c r="DF260" s="54">
        <v>4546.8</v>
      </c>
      <c r="DG260" s="13"/>
      <c r="DH260" s="13"/>
      <c r="DI260" s="13"/>
      <c r="DJ260" s="13"/>
      <c r="DK260" s="13"/>
      <c r="DL260" s="13"/>
      <c r="DM260" s="13"/>
      <c r="DN260" s="13"/>
      <c r="DO260" s="13"/>
      <c r="DP260" s="13"/>
      <c r="DQ260" s="13"/>
      <c r="DR260" s="13"/>
      <c r="DS260" s="13"/>
      <c r="DT260" s="13"/>
      <c r="DU260" s="13"/>
      <c r="DV260" s="13"/>
      <c r="DW260" s="13"/>
      <c r="DX260" s="13"/>
      <c r="DY260" s="31">
        <f t="shared" si="120"/>
        <v>16200</v>
      </c>
      <c r="DZ260" s="13"/>
      <c r="EA260" s="13"/>
      <c r="EB260" s="13"/>
      <c r="EC260" s="13"/>
      <c r="ED260" s="13"/>
      <c r="EE260" s="13"/>
      <c r="EF260" s="13"/>
      <c r="EG260" s="13">
        <v>270</v>
      </c>
      <c r="EH260" s="13" t="s">
        <v>548</v>
      </c>
      <c r="EI260" s="23">
        <v>42642</v>
      </c>
      <c r="EJ260" s="23">
        <f t="shared" ref="EJ260:EJ268" si="124">EI260+EG260</f>
        <v>42912</v>
      </c>
      <c r="EK260" s="13"/>
      <c r="EL260" s="13"/>
      <c r="EM260" s="13"/>
      <c r="EN260" s="13"/>
      <c r="EO260" s="13"/>
      <c r="EP260" s="13"/>
      <c r="EQ260" s="13"/>
      <c r="ER260" s="13"/>
      <c r="ES260" s="13"/>
      <c r="ET260" s="13"/>
      <c r="EU260" s="13"/>
      <c r="EV260" s="13"/>
      <c r="EW260" s="13"/>
      <c r="EX260" s="13"/>
      <c r="EY260" s="13"/>
      <c r="EZ260" s="13"/>
      <c r="FA260" s="13"/>
      <c r="FB260" s="13"/>
      <c r="FC260" s="13"/>
      <c r="FD260" s="13"/>
      <c r="FE260" s="13"/>
      <c r="FF260" s="13"/>
      <c r="FG260" s="13"/>
      <c r="FH260" s="13"/>
      <c r="FI260" s="13"/>
      <c r="FJ260" s="13"/>
      <c r="FK260" s="13"/>
      <c r="FL260" s="13"/>
      <c r="FM260" s="13"/>
      <c r="FN260" s="13"/>
      <c r="FO260" s="13"/>
      <c r="FP260" s="13"/>
      <c r="FQ260" s="13"/>
      <c r="FR260" s="13"/>
      <c r="FS260" s="25" t="s">
        <v>1241</v>
      </c>
      <c r="FT260" s="25" t="s">
        <v>1242</v>
      </c>
      <c r="FU260" s="25" t="s">
        <v>1243</v>
      </c>
      <c r="FV260" s="25">
        <v>0.9</v>
      </c>
      <c r="FW260" s="25">
        <v>0.9</v>
      </c>
      <c r="FX260" s="25">
        <v>0.98499999999999999</v>
      </c>
      <c r="FY260" s="25">
        <v>1</v>
      </c>
      <c r="FZ260" s="25">
        <v>1</v>
      </c>
      <c r="GA260" s="25">
        <v>1</v>
      </c>
      <c r="GB260" s="25">
        <v>1</v>
      </c>
      <c r="GC260" s="25">
        <v>1</v>
      </c>
      <c r="GD260" s="25">
        <v>1</v>
      </c>
      <c r="GE260" s="25">
        <v>1</v>
      </c>
      <c r="GF260" s="25">
        <v>1</v>
      </c>
      <c r="GG260" s="25">
        <v>1</v>
      </c>
      <c r="GH260" s="25">
        <v>1</v>
      </c>
      <c r="GI260" s="25">
        <v>1</v>
      </c>
      <c r="GJ260" s="25">
        <v>1</v>
      </c>
      <c r="GK260" s="25">
        <v>1</v>
      </c>
      <c r="GL260" s="25">
        <v>1</v>
      </c>
      <c r="GM260" s="25">
        <v>1</v>
      </c>
      <c r="GN260" s="25">
        <v>1</v>
      </c>
      <c r="GO260" s="25">
        <v>1</v>
      </c>
      <c r="GP260" s="25">
        <v>1</v>
      </c>
      <c r="GQ260" s="25">
        <v>1</v>
      </c>
      <c r="GR260" s="25">
        <v>1</v>
      </c>
      <c r="GS260" s="25">
        <v>1</v>
      </c>
      <c r="GT260" s="25">
        <v>1</v>
      </c>
      <c r="GU260" s="25">
        <v>1</v>
      </c>
      <c r="GV260" s="25" t="s">
        <v>452</v>
      </c>
      <c r="GW260" s="25" t="s">
        <v>452</v>
      </c>
      <c r="GX260" s="25" t="s">
        <v>452</v>
      </c>
      <c r="GY260" s="25" t="s">
        <v>452</v>
      </c>
      <c r="GZ260" s="25" t="s">
        <v>452</v>
      </c>
      <c r="HA260" s="25" t="s">
        <v>452</v>
      </c>
      <c r="HB260" s="25" t="s">
        <v>452</v>
      </c>
      <c r="HC260" s="25" t="s">
        <v>452</v>
      </c>
      <c r="HD260" s="25" t="s">
        <v>452</v>
      </c>
      <c r="HE260" s="25" t="s">
        <v>452</v>
      </c>
      <c r="HF260" s="25" t="s">
        <v>452</v>
      </c>
      <c r="HG260" s="25" t="s">
        <v>452</v>
      </c>
      <c r="HH260" s="25" t="s">
        <v>452</v>
      </c>
      <c r="HI260" s="25"/>
      <c r="HJ260" s="25"/>
      <c r="HK260" s="25"/>
      <c r="HL260" s="25"/>
      <c r="HM260" s="84"/>
      <c r="HN260" s="84"/>
      <c r="HO260" s="84"/>
      <c r="HP260" s="84"/>
      <c r="HQ260" s="84"/>
      <c r="HR260" s="84"/>
      <c r="HS260" s="84"/>
      <c r="HT260" s="84"/>
      <c r="HU260" s="13"/>
      <c r="HV260" s="13"/>
      <c r="HW260" s="32"/>
      <c r="HX260" s="55"/>
      <c r="HY260" s="55"/>
      <c r="HZ260" s="55"/>
      <c r="IA260" s="55"/>
      <c r="IB260" s="55"/>
      <c r="IC260" s="55"/>
      <c r="ID260" s="55"/>
      <c r="IE260" s="55"/>
      <c r="IF260" s="107">
        <v>18000</v>
      </c>
      <c r="IG260" s="107">
        <v>18000</v>
      </c>
      <c r="IH260" s="250">
        <f t="shared" si="119"/>
        <v>0</v>
      </c>
      <c r="II260" s="55"/>
      <c r="IJ260" s="55"/>
      <c r="IK260" s="55"/>
      <c r="IL260" s="55"/>
      <c r="IM260" s="55"/>
      <c r="IN260" s="55"/>
      <c r="IO260" s="55"/>
      <c r="IP260" s="55"/>
      <c r="IQ260" s="55"/>
      <c r="IR260" s="55"/>
      <c r="IS260" s="55"/>
      <c r="IT260" s="55"/>
      <c r="IU260" s="55"/>
      <c r="IV260" s="55"/>
      <c r="IW260" s="55"/>
      <c r="IX260" s="55"/>
      <c r="IY260" s="55"/>
      <c r="IZ260" s="55"/>
      <c r="JA260" s="55"/>
      <c r="JB260" s="55"/>
      <c r="JC260" s="55"/>
      <c r="JD260" s="55">
        <v>2017</v>
      </c>
    </row>
    <row r="261" spans="1:264" s="5" customFormat="1" ht="20.100000000000001" hidden="1" customHeight="1">
      <c r="A261" s="26" t="s">
        <v>56</v>
      </c>
      <c r="B261" s="26" t="s">
        <v>203</v>
      </c>
      <c r="C261" s="13" t="s">
        <v>349</v>
      </c>
      <c r="D261" s="13" t="s">
        <v>380</v>
      </c>
      <c r="E261" s="16" t="s">
        <v>350</v>
      </c>
      <c r="F261" s="13" t="s">
        <v>356</v>
      </c>
      <c r="G261" s="26" t="s">
        <v>351</v>
      </c>
      <c r="H261" s="13" t="s">
        <v>1516</v>
      </c>
      <c r="I261" s="313" t="s">
        <v>414</v>
      </c>
      <c r="J261" s="26">
        <v>2</v>
      </c>
      <c r="K261" s="49" t="s">
        <v>375</v>
      </c>
      <c r="L261" s="314" t="s">
        <v>227</v>
      </c>
      <c r="M261" s="393"/>
      <c r="N261" s="20" t="s">
        <v>1943</v>
      </c>
      <c r="O261" s="13" t="s">
        <v>206</v>
      </c>
      <c r="P261" s="13" t="s">
        <v>4</v>
      </c>
      <c r="Q261" s="22" t="s">
        <v>1118</v>
      </c>
      <c r="R261" s="314" t="s">
        <v>227</v>
      </c>
      <c r="S261" s="13" t="s">
        <v>689</v>
      </c>
      <c r="T261" s="22" t="s">
        <v>1387</v>
      </c>
      <c r="U261" s="13" t="s">
        <v>477</v>
      </c>
      <c r="V261" s="13" t="s">
        <v>690</v>
      </c>
      <c r="W261" s="13" t="s">
        <v>570</v>
      </c>
      <c r="X261" s="13" t="s">
        <v>570</v>
      </c>
      <c r="Y261" s="13" t="s">
        <v>676</v>
      </c>
      <c r="Z261" s="13" t="s">
        <v>503</v>
      </c>
      <c r="AA261" s="29">
        <v>497.21</v>
      </c>
      <c r="AB261" s="29">
        <v>0</v>
      </c>
      <c r="AC261" s="29">
        <v>497.21</v>
      </c>
      <c r="AD261" s="29"/>
      <c r="AE261" s="29">
        <v>0</v>
      </c>
      <c r="AF261" s="29">
        <f t="shared" si="121"/>
        <v>0</v>
      </c>
      <c r="AG261" s="25">
        <v>0.12</v>
      </c>
      <c r="AH261" s="29">
        <f t="shared" si="116"/>
        <v>0</v>
      </c>
      <c r="AI261" s="29">
        <f t="shared" si="117"/>
        <v>0</v>
      </c>
      <c r="AJ261" s="29">
        <f t="shared" si="118"/>
        <v>0</v>
      </c>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f t="shared" si="123"/>
        <v>0</v>
      </c>
      <c r="BG261" s="29">
        <f t="shared" si="122"/>
        <v>0</v>
      </c>
      <c r="BH261" s="37"/>
      <c r="BI261" s="23" t="s">
        <v>570</v>
      </c>
      <c r="BJ261" s="23" t="s">
        <v>570</v>
      </c>
      <c r="BK261" s="23"/>
      <c r="BL261" s="23"/>
      <c r="BM261" s="23"/>
      <c r="BN261" s="13"/>
      <c r="BO261" s="13"/>
      <c r="BP261" s="13"/>
      <c r="BQ261" s="13"/>
      <c r="BR261" s="13"/>
      <c r="BS261" s="13"/>
      <c r="BT261" s="13"/>
      <c r="BU261" s="13"/>
      <c r="BV261" s="13"/>
      <c r="BW261" s="13" t="s">
        <v>570</v>
      </c>
      <c r="BX261" s="23">
        <v>42384</v>
      </c>
      <c r="BY261" s="13" t="s">
        <v>570</v>
      </c>
      <c r="BZ261" s="13" t="s">
        <v>503</v>
      </c>
      <c r="CA261" s="23">
        <v>42395</v>
      </c>
      <c r="CB261" s="224" t="s">
        <v>570</v>
      </c>
      <c r="CC261" s="224" t="s">
        <v>570</v>
      </c>
      <c r="CD261" s="224" t="s">
        <v>570</v>
      </c>
      <c r="CE261" s="23"/>
      <c r="CF261" s="23"/>
      <c r="CG261" s="23"/>
      <c r="CH261" s="23"/>
      <c r="CI261" s="23"/>
      <c r="CJ261" s="23"/>
      <c r="CK261" s="23"/>
      <c r="CL261" s="23"/>
      <c r="CM261" s="23"/>
      <c r="CN261" s="23"/>
      <c r="CO261" s="23"/>
      <c r="CP261" s="23"/>
      <c r="CQ261" s="23"/>
      <c r="CR261" s="23"/>
      <c r="CS261" s="29" t="s">
        <v>570</v>
      </c>
      <c r="CT261" s="29" t="s">
        <v>570</v>
      </c>
      <c r="CU261" s="29" t="s">
        <v>570</v>
      </c>
      <c r="CV261" s="23"/>
      <c r="CW261" s="30"/>
      <c r="CX261" s="13"/>
      <c r="CY261" s="155"/>
      <c r="CZ261" s="29"/>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31">
        <f t="shared" si="120"/>
        <v>0</v>
      </c>
      <c r="DZ261" s="13"/>
      <c r="EA261" s="13"/>
      <c r="EB261" s="13"/>
      <c r="EC261" s="13"/>
      <c r="ED261" s="13"/>
      <c r="EE261" s="13"/>
      <c r="EF261" s="13"/>
      <c r="EG261" s="13">
        <v>270</v>
      </c>
      <c r="EH261" s="13" t="s">
        <v>548</v>
      </c>
      <c r="EI261" s="23">
        <v>42642</v>
      </c>
      <c r="EJ261" s="23">
        <f t="shared" si="124"/>
        <v>42912</v>
      </c>
      <c r="EK261" s="13"/>
      <c r="EL261" s="13"/>
      <c r="EM261" s="13"/>
      <c r="EN261" s="13"/>
      <c r="EO261" s="13"/>
      <c r="EP261" s="13"/>
      <c r="EQ261" s="13"/>
      <c r="ER261" s="13"/>
      <c r="ES261" s="13"/>
      <c r="ET261" s="13"/>
      <c r="EU261" s="13"/>
      <c r="EV261" s="13"/>
      <c r="EW261" s="13"/>
      <c r="EX261" s="13"/>
      <c r="EY261" s="13"/>
      <c r="EZ261" s="13"/>
      <c r="FA261" s="13"/>
      <c r="FB261" s="13"/>
      <c r="FC261" s="13"/>
      <c r="FD261" s="13"/>
      <c r="FE261" s="13"/>
      <c r="FF261" s="13"/>
      <c r="FG261" s="13"/>
      <c r="FH261" s="13"/>
      <c r="FI261" s="13"/>
      <c r="FJ261" s="13"/>
      <c r="FK261" s="13"/>
      <c r="FL261" s="13"/>
      <c r="FM261" s="13"/>
      <c r="FN261" s="13"/>
      <c r="FO261" s="13"/>
      <c r="FP261" s="13"/>
      <c r="FQ261" s="13"/>
      <c r="FR261" s="13"/>
      <c r="FS261" s="25" t="s">
        <v>1241</v>
      </c>
      <c r="FT261" s="25" t="s">
        <v>1242</v>
      </c>
      <c r="FU261" s="25" t="s">
        <v>1243</v>
      </c>
      <c r="FV261" s="25">
        <v>0.9</v>
      </c>
      <c r="FW261" s="25">
        <v>0.9</v>
      </c>
      <c r="FX261" s="25">
        <v>0.98499999999999999</v>
      </c>
      <c r="FY261" s="25">
        <v>1</v>
      </c>
      <c r="FZ261" s="25">
        <v>1</v>
      </c>
      <c r="GA261" s="25">
        <v>1</v>
      </c>
      <c r="GB261" s="25">
        <v>1</v>
      </c>
      <c r="GC261" s="25">
        <v>1</v>
      </c>
      <c r="GD261" s="25">
        <v>1</v>
      </c>
      <c r="GE261" s="25">
        <v>1</v>
      </c>
      <c r="GF261" s="25">
        <v>1</v>
      </c>
      <c r="GG261" s="25">
        <v>1</v>
      </c>
      <c r="GH261" s="25">
        <v>1</v>
      </c>
      <c r="GI261" s="25">
        <v>1</v>
      </c>
      <c r="GJ261" s="25">
        <v>1</v>
      </c>
      <c r="GK261" s="25">
        <v>1</v>
      </c>
      <c r="GL261" s="25">
        <v>1</v>
      </c>
      <c r="GM261" s="25">
        <v>1</v>
      </c>
      <c r="GN261" s="25">
        <v>1</v>
      </c>
      <c r="GO261" s="25">
        <v>1</v>
      </c>
      <c r="GP261" s="25">
        <v>1</v>
      </c>
      <c r="GQ261" s="25">
        <v>1</v>
      </c>
      <c r="GR261" s="25">
        <v>1</v>
      </c>
      <c r="GS261" s="25">
        <v>1</v>
      </c>
      <c r="GT261" s="25">
        <v>1</v>
      </c>
      <c r="GU261" s="25">
        <v>1</v>
      </c>
      <c r="GV261" s="25" t="s">
        <v>452</v>
      </c>
      <c r="GW261" s="25" t="s">
        <v>452</v>
      </c>
      <c r="GX261" s="25" t="s">
        <v>452</v>
      </c>
      <c r="GY261" s="25" t="s">
        <v>452</v>
      </c>
      <c r="GZ261" s="25" t="s">
        <v>452</v>
      </c>
      <c r="HA261" s="25" t="s">
        <v>452</v>
      </c>
      <c r="HB261" s="25" t="s">
        <v>452</v>
      </c>
      <c r="HC261" s="25" t="s">
        <v>452</v>
      </c>
      <c r="HD261" s="25" t="s">
        <v>452</v>
      </c>
      <c r="HE261" s="25" t="s">
        <v>452</v>
      </c>
      <c r="HF261" s="25" t="s">
        <v>452</v>
      </c>
      <c r="HG261" s="25" t="s">
        <v>452</v>
      </c>
      <c r="HH261" s="25" t="s">
        <v>452</v>
      </c>
      <c r="HI261" s="25"/>
      <c r="HJ261" s="25"/>
      <c r="HK261" s="25"/>
      <c r="HL261" s="25"/>
      <c r="HM261" s="84"/>
      <c r="HN261" s="84"/>
      <c r="HO261" s="84"/>
      <c r="HP261" s="84"/>
      <c r="HQ261" s="84"/>
      <c r="HR261" s="84"/>
      <c r="HS261" s="84"/>
      <c r="HT261" s="84"/>
      <c r="HU261" s="13"/>
      <c r="HV261" s="13"/>
      <c r="HW261" s="32"/>
      <c r="HX261" s="55"/>
      <c r="HY261" s="55"/>
      <c r="HZ261" s="55"/>
      <c r="IA261" s="55"/>
      <c r="IB261" s="55"/>
      <c r="IC261" s="55"/>
      <c r="ID261" s="55"/>
      <c r="IE261" s="55"/>
      <c r="IF261" s="107">
        <v>0</v>
      </c>
      <c r="IG261" s="107"/>
      <c r="IH261" s="250">
        <f t="shared" si="119"/>
        <v>0</v>
      </c>
      <c r="II261" s="55"/>
      <c r="IJ261" s="55"/>
      <c r="IK261" s="55"/>
      <c r="IL261" s="55"/>
      <c r="IM261" s="55"/>
      <c r="IN261" s="55"/>
      <c r="IO261" s="55"/>
      <c r="IP261" s="55"/>
      <c r="IQ261" s="55"/>
      <c r="IR261" s="55"/>
      <c r="IS261" s="55"/>
      <c r="IT261" s="55"/>
      <c r="IU261" s="55"/>
      <c r="IV261" s="55"/>
      <c r="IW261" s="55"/>
      <c r="IX261" s="55"/>
      <c r="IY261" s="55"/>
      <c r="IZ261" s="55"/>
      <c r="JA261" s="55"/>
      <c r="JB261" s="55"/>
      <c r="JC261" s="55"/>
      <c r="JD261" s="55">
        <v>2017</v>
      </c>
    </row>
    <row r="262" spans="1:264" s="5" customFormat="1" ht="20.100000000000001" hidden="1" customHeight="1">
      <c r="A262" s="26" t="s">
        <v>56</v>
      </c>
      <c r="B262" s="26" t="s">
        <v>203</v>
      </c>
      <c r="C262" s="13" t="s">
        <v>349</v>
      </c>
      <c r="D262" s="13" t="s">
        <v>380</v>
      </c>
      <c r="E262" s="16" t="s">
        <v>350</v>
      </c>
      <c r="F262" s="13" t="s">
        <v>356</v>
      </c>
      <c r="G262" s="26" t="s">
        <v>351</v>
      </c>
      <c r="H262" s="13" t="s">
        <v>1516</v>
      </c>
      <c r="I262" s="313" t="s">
        <v>413</v>
      </c>
      <c r="J262" s="26">
        <v>1</v>
      </c>
      <c r="K262" s="49" t="s">
        <v>375</v>
      </c>
      <c r="L262" s="38" t="s">
        <v>404</v>
      </c>
      <c r="M262" s="14" t="s">
        <v>228</v>
      </c>
      <c r="N262" s="20"/>
      <c r="O262" s="13" t="s">
        <v>206</v>
      </c>
      <c r="P262" s="13" t="s">
        <v>4</v>
      </c>
      <c r="Q262" s="22" t="s">
        <v>1118</v>
      </c>
      <c r="R262" s="38" t="s">
        <v>404</v>
      </c>
      <c r="S262" s="13" t="s">
        <v>675</v>
      </c>
      <c r="T262" s="22" t="s">
        <v>1387</v>
      </c>
      <c r="U262" s="13" t="s">
        <v>477</v>
      </c>
      <c r="V262" s="13" t="s">
        <v>674</v>
      </c>
      <c r="W262" s="13" t="s">
        <v>570</v>
      </c>
      <c r="X262" s="13" t="s">
        <v>570</v>
      </c>
      <c r="Y262" s="13" t="s">
        <v>676</v>
      </c>
      <c r="Z262" s="13" t="s">
        <v>503</v>
      </c>
      <c r="AA262" s="29"/>
      <c r="AB262" s="29">
        <v>18000</v>
      </c>
      <c r="AC262" s="29">
        <v>0</v>
      </c>
      <c r="AD262" s="29">
        <v>18000</v>
      </c>
      <c r="AE262" s="29">
        <v>0</v>
      </c>
      <c r="AF262" s="29">
        <f t="shared" si="121"/>
        <v>18000</v>
      </c>
      <c r="AG262" s="25">
        <v>0.12</v>
      </c>
      <c r="AH262" s="29">
        <f t="shared" si="116"/>
        <v>2160</v>
      </c>
      <c r="AI262" s="29">
        <f t="shared" si="117"/>
        <v>0</v>
      </c>
      <c r="AJ262" s="29">
        <f t="shared" si="118"/>
        <v>20160.000000000004</v>
      </c>
      <c r="AK262" s="29">
        <v>17900</v>
      </c>
      <c r="AL262" s="29">
        <f>AB262-AK262</f>
        <v>100</v>
      </c>
      <c r="AM262" s="126"/>
      <c r="AN262" s="29"/>
      <c r="AO262" s="29">
        <v>18000</v>
      </c>
      <c r="AP262" s="29"/>
      <c r="AQ262" s="29">
        <v>17900</v>
      </c>
      <c r="AR262" s="25">
        <v>0.14000000000000001</v>
      </c>
      <c r="AS262" s="25"/>
      <c r="AT262" s="29">
        <f>+AQ262*1.14</f>
        <v>20406</v>
      </c>
      <c r="AU262" s="29"/>
      <c r="AV262" s="29"/>
      <c r="AW262" s="29"/>
      <c r="AX262" s="29"/>
      <c r="AY262" s="29"/>
      <c r="AZ262" s="29"/>
      <c r="BA262" s="29"/>
      <c r="BB262" s="29"/>
      <c r="BC262" s="29"/>
      <c r="BD262" s="29"/>
      <c r="BE262" s="29"/>
      <c r="BF262" s="29">
        <f t="shared" si="123"/>
        <v>100</v>
      </c>
      <c r="BG262" s="29">
        <f t="shared" si="122"/>
        <v>100</v>
      </c>
      <c r="BH262" s="37"/>
      <c r="BI262" s="23" t="s">
        <v>570</v>
      </c>
      <c r="BJ262" s="23" t="s">
        <v>570</v>
      </c>
      <c r="BK262" s="23"/>
      <c r="BL262" s="23"/>
      <c r="BM262" s="23"/>
      <c r="BN262" s="13"/>
      <c r="BO262" s="13"/>
      <c r="BP262" s="13"/>
      <c r="BQ262" s="13"/>
      <c r="BR262" s="13"/>
      <c r="BS262" s="13"/>
      <c r="BT262" s="13"/>
      <c r="BU262" s="13"/>
      <c r="BV262" s="13"/>
      <c r="BW262" s="13" t="s">
        <v>570</v>
      </c>
      <c r="BX262" s="23">
        <v>42643</v>
      </c>
      <c r="BY262" s="13" t="s">
        <v>570</v>
      </c>
      <c r="BZ262" s="13" t="s">
        <v>503</v>
      </c>
      <c r="CA262" s="23">
        <v>42657</v>
      </c>
      <c r="CB262" s="224" t="s">
        <v>570</v>
      </c>
      <c r="CC262" s="224" t="s">
        <v>570</v>
      </c>
      <c r="CD262" s="224" t="s">
        <v>570</v>
      </c>
      <c r="CE262" s="23"/>
      <c r="CF262" s="23"/>
      <c r="CG262" s="23"/>
      <c r="CH262" s="23"/>
      <c r="CI262" s="23"/>
      <c r="CJ262" s="23"/>
      <c r="CK262" s="23"/>
      <c r="CL262" s="23"/>
      <c r="CM262" s="23"/>
      <c r="CN262" s="23"/>
      <c r="CO262" s="23"/>
      <c r="CP262" s="23"/>
      <c r="CQ262" s="23"/>
      <c r="CR262" s="23"/>
      <c r="CS262" s="29" t="s">
        <v>570</v>
      </c>
      <c r="CT262" s="29" t="s">
        <v>570</v>
      </c>
      <c r="CU262" s="29" t="s">
        <v>570</v>
      </c>
      <c r="CV262" s="23" t="s">
        <v>570</v>
      </c>
      <c r="CW262" s="30"/>
      <c r="CX262" s="134" t="s">
        <v>1424</v>
      </c>
      <c r="CY262" s="155">
        <v>42732</v>
      </c>
      <c r="CZ262" s="29">
        <v>5037.0600000000004</v>
      </c>
      <c r="DA262" s="134" t="s">
        <v>1425</v>
      </c>
      <c r="DB262" s="99">
        <v>42797</v>
      </c>
      <c r="DC262" s="54">
        <v>6551.4</v>
      </c>
      <c r="DD262" s="134" t="s">
        <v>1426</v>
      </c>
      <c r="DE262" s="99">
        <v>42815</v>
      </c>
      <c r="DF262" s="54">
        <v>4521.54</v>
      </c>
      <c r="DG262" s="13"/>
      <c r="DH262" s="13"/>
      <c r="DI262" s="13"/>
      <c r="DJ262" s="13"/>
      <c r="DK262" s="13"/>
      <c r="DL262" s="13"/>
      <c r="DM262" s="13"/>
      <c r="DN262" s="13"/>
      <c r="DO262" s="13"/>
      <c r="DP262" s="13"/>
      <c r="DQ262" s="13"/>
      <c r="DR262" s="13"/>
      <c r="DS262" s="13"/>
      <c r="DT262" s="13"/>
      <c r="DU262" s="13"/>
      <c r="DV262" s="13"/>
      <c r="DW262" s="13"/>
      <c r="DX262" s="13"/>
      <c r="DY262" s="31">
        <f t="shared" si="120"/>
        <v>16110</v>
      </c>
      <c r="DZ262" s="13"/>
      <c r="EA262" s="13"/>
      <c r="EB262" s="13"/>
      <c r="EC262" s="13"/>
      <c r="ED262" s="13"/>
      <c r="EE262" s="13"/>
      <c r="EF262" s="13"/>
      <c r="EG262" s="13">
        <v>270</v>
      </c>
      <c r="EH262" s="13" t="s">
        <v>548</v>
      </c>
      <c r="EI262" s="23">
        <v>42658</v>
      </c>
      <c r="EJ262" s="23">
        <f t="shared" si="124"/>
        <v>42928</v>
      </c>
      <c r="EK262" s="13"/>
      <c r="EL262" s="13"/>
      <c r="EM262" s="13"/>
      <c r="EN262" s="13"/>
      <c r="EO262" s="13"/>
      <c r="EP262" s="13"/>
      <c r="EQ262" s="13"/>
      <c r="ER262" s="13"/>
      <c r="ES262" s="13"/>
      <c r="ET262" s="13"/>
      <c r="EU262" s="13"/>
      <c r="EV262" s="13"/>
      <c r="EW262" s="13"/>
      <c r="EX262" s="13"/>
      <c r="EY262" s="13"/>
      <c r="EZ262" s="13"/>
      <c r="FA262" s="13"/>
      <c r="FB262" s="13"/>
      <c r="FC262" s="13"/>
      <c r="FD262" s="13"/>
      <c r="FE262" s="13"/>
      <c r="FF262" s="13"/>
      <c r="FG262" s="13"/>
      <c r="FH262" s="13"/>
      <c r="FI262" s="13"/>
      <c r="FJ262" s="13"/>
      <c r="FK262" s="13"/>
      <c r="FL262" s="13"/>
      <c r="FM262" s="13"/>
      <c r="FN262" s="13"/>
      <c r="FO262" s="13"/>
      <c r="FP262" s="13"/>
      <c r="FQ262" s="13"/>
      <c r="FR262" s="13"/>
      <c r="FS262" s="25" t="s">
        <v>1244</v>
      </c>
      <c r="FT262" s="25" t="s">
        <v>1244</v>
      </c>
      <c r="FU262" s="25" t="s">
        <v>1245</v>
      </c>
      <c r="FV262" s="25">
        <v>0.97</v>
      </c>
      <c r="FW262" s="25">
        <v>0.97</v>
      </c>
      <c r="FX262" s="25">
        <v>0.98499999999999999</v>
      </c>
      <c r="FY262" s="25">
        <v>1</v>
      </c>
      <c r="FZ262" s="25">
        <v>1</v>
      </c>
      <c r="GA262" s="25">
        <v>1</v>
      </c>
      <c r="GB262" s="25">
        <v>1</v>
      </c>
      <c r="GC262" s="25">
        <v>1</v>
      </c>
      <c r="GD262" s="25">
        <v>1</v>
      </c>
      <c r="GE262" s="25">
        <v>1</v>
      </c>
      <c r="GF262" s="25">
        <v>1</v>
      </c>
      <c r="GG262" s="25">
        <v>1</v>
      </c>
      <c r="GH262" s="25">
        <v>1</v>
      </c>
      <c r="GI262" s="25">
        <v>1</v>
      </c>
      <c r="GJ262" s="25">
        <v>1</v>
      </c>
      <c r="GK262" s="25">
        <v>1</v>
      </c>
      <c r="GL262" s="25">
        <v>1</v>
      </c>
      <c r="GM262" s="25">
        <v>1</v>
      </c>
      <c r="GN262" s="25">
        <v>1</v>
      </c>
      <c r="GO262" s="25">
        <v>1</v>
      </c>
      <c r="GP262" s="25">
        <v>1</v>
      </c>
      <c r="GQ262" s="25">
        <v>1</v>
      </c>
      <c r="GR262" s="25">
        <v>1</v>
      </c>
      <c r="GS262" s="25">
        <v>1</v>
      </c>
      <c r="GT262" s="25">
        <v>1</v>
      </c>
      <c r="GU262" s="25">
        <v>1</v>
      </c>
      <c r="GV262" s="25" t="s">
        <v>452</v>
      </c>
      <c r="GW262" s="25" t="s">
        <v>452</v>
      </c>
      <c r="GX262" s="25" t="s">
        <v>452</v>
      </c>
      <c r="GY262" s="25" t="s">
        <v>452</v>
      </c>
      <c r="GZ262" s="25" t="s">
        <v>452</v>
      </c>
      <c r="HA262" s="25" t="s">
        <v>452</v>
      </c>
      <c r="HB262" s="25" t="s">
        <v>452</v>
      </c>
      <c r="HC262" s="25" t="s">
        <v>452</v>
      </c>
      <c r="HD262" s="25" t="s">
        <v>452</v>
      </c>
      <c r="HE262" s="25" t="s">
        <v>452</v>
      </c>
      <c r="HF262" s="25" t="s">
        <v>452</v>
      </c>
      <c r="HG262" s="25" t="s">
        <v>452</v>
      </c>
      <c r="HH262" s="25" t="s">
        <v>452</v>
      </c>
      <c r="HI262" s="25"/>
      <c r="HJ262" s="25"/>
      <c r="HK262" s="25"/>
      <c r="HL262" s="25"/>
      <c r="HM262" s="84"/>
      <c r="HN262" s="84"/>
      <c r="HO262" s="84"/>
      <c r="HP262" s="84"/>
      <c r="HQ262" s="84"/>
      <c r="HR262" s="84"/>
      <c r="HS262" s="84"/>
      <c r="HT262" s="84"/>
      <c r="HU262" s="13"/>
      <c r="HV262" s="13"/>
      <c r="HW262" s="32"/>
      <c r="HX262" s="55"/>
      <c r="HY262" s="55"/>
      <c r="HZ262" s="55"/>
      <c r="IA262" s="55"/>
      <c r="IB262" s="55"/>
      <c r="IC262" s="55"/>
      <c r="ID262" s="55"/>
      <c r="IE262" s="55"/>
      <c r="IF262" s="107">
        <v>18000</v>
      </c>
      <c r="IG262" s="107">
        <v>17900</v>
      </c>
      <c r="IH262" s="250">
        <f t="shared" si="119"/>
        <v>0</v>
      </c>
      <c r="II262" s="55"/>
      <c r="IJ262" s="55"/>
      <c r="IK262" s="55"/>
      <c r="IL262" s="55"/>
      <c r="IM262" s="55"/>
      <c r="IN262" s="55"/>
      <c r="IO262" s="55"/>
      <c r="IP262" s="55"/>
      <c r="IQ262" s="55"/>
      <c r="IR262" s="55"/>
      <c r="IS262" s="55"/>
      <c r="IT262" s="55"/>
      <c r="IU262" s="55"/>
      <c r="IV262" s="55"/>
      <c r="IW262" s="55"/>
      <c r="IX262" s="55"/>
      <c r="IY262" s="55"/>
      <c r="IZ262" s="55"/>
      <c r="JA262" s="55"/>
      <c r="JB262" s="55"/>
      <c r="JC262" s="55"/>
      <c r="JD262" s="55">
        <v>2017</v>
      </c>
    </row>
    <row r="263" spans="1:264" s="5" customFormat="1" ht="20.100000000000001" hidden="1" customHeight="1">
      <c r="A263" s="26" t="s">
        <v>56</v>
      </c>
      <c r="B263" s="26" t="s">
        <v>203</v>
      </c>
      <c r="C263" s="13" t="s">
        <v>349</v>
      </c>
      <c r="D263" s="13" t="s">
        <v>380</v>
      </c>
      <c r="E263" s="16" t="s">
        <v>350</v>
      </c>
      <c r="F263" s="13" t="s">
        <v>356</v>
      </c>
      <c r="G263" s="26" t="s">
        <v>351</v>
      </c>
      <c r="H263" s="13" t="s">
        <v>1516</v>
      </c>
      <c r="I263" s="313" t="s">
        <v>417</v>
      </c>
      <c r="J263" s="26">
        <v>5</v>
      </c>
      <c r="K263" s="49" t="s">
        <v>375</v>
      </c>
      <c r="L263" s="38" t="s">
        <v>406</v>
      </c>
      <c r="M263" s="392" t="s">
        <v>229</v>
      </c>
      <c r="N263" s="20" t="s">
        <v>1946</v>
      </c>
      <c r="O263" s="13" t="s">
        <v>206</v>
      </c>
      <c r="P263" s="13" t="s">
        <v>4</v>
      </c>
      <c r="Q263" s="22" t="s">
        <v>1118</v>
      </c>
      <c r="R263" s="38" t="s">
        <v>406</v>
      </c>
      <c r="S263" s="13" t="s">
        <v>681</v>
      </c>
      <c r="T263" s="22" t="s">
        <v>1387</v>
      </c>
      <c r="U263" s="13" t="s">
        <v>477</v>
      </c>
      <c r="V263" s="13" t="s">
        <v>682</v>
      </c>
      <c r="W263" s="13" t="s">
        <v>570</v>
      </c>
      <c r="X263" s="13" t="s">
        <v>570</v>
      </c>
      <c r="Y263" s="13" t="s">
        <v>503</v>
      </c>
      <c r="Z263" s="13" t="s">
        <v>503</v>
      </c>
      <c r="AA263" s="29">
        <v>17890.90612941112</v>
      </c>
      <c r="AB263" s="29">
        <v>18000</v>
      </c>
      <c r="AC263" s="29">
        <v>17890.90612941112</v>
      </c>
      <c r="AD263" s="29">
        <v>18000</v>
      </c>
      <c r="AE263" s="29">
        <v>0</v>
      </c>
      <c r="AF263" s="29">
        <f t="shared" si="121"/>
        <v>18000</v>
      </c>
      <c r="AG263" s="25">
        <v>0.12</v>
      </c>
      <c r="AH263" s="29">
        <f t="shared" si="116"/>
        <v>2160</v>
      </c>
      <c r="AI263" s="29">
        <f t="shared" si="117"/>
        <v>0</v>
      </c>
      <c r="AJ263" s="29">
        <f t="shared" si="118"/>
        <v>20160.000000000004</v>
      </c>
      <c r="AK263" s="29">
        <v>17900</v>
      </c>
      <c r="AL263" s="29">
        <f>AB263-AK263</f>
        <v>100</v>
      </c>
      <c r="AM263" s="126"/>
      <c r="AN263" s="29"/>
      <c r="AO263" s="29">
        <v>18000</v>
      </c>
      <c r="AP263" s="29"/>
      <c r="AQ263" s="29">
        <v>17900</v>
      </c>
      <c r="AR263" s="25">
        <v>0.14000000000000001</v>
      </c>
      <c r="AS263" s="25"/>
      <c r="AT263" s="29">
        <f>+AQ263*1.14</f>
        <v>20406</v>
      </c>
      <c r="AU263" s="29"/>
      <c r="AV263" s="29"/>
      <c r="AW263" s="29"/>
      <c r="AX263" s="29"/>
      <c r="AY263" s="29"/>
      <c r="AZ263" s="29"/>
      <c r="BA263" s="29"/>
      <c r="BB263" s="29"/>
      <c r="BC263" s="29"/>
      <c r="BD263" s="29"/>
      <c r="BE263" s="29"/>
      <c r="BF263" s="29">
        <f t="shared" si="123"/>
        <v>100</v>
      </c>
      <c r="BG263" s="29">
        <f t="shared" si="122"/>
        <v>100</v>
      </c>
      <c r="BH263" s="37"/>
      <c r="BI263" s="23" t="s">
        <v>570</v>
      </c>
      <c r="BJ263" s="23" t="s">
        <v>570</v>
      </c>
      <c r="BK263" s="23"/>
      <c r="BL263" s="23"/>
      <c r="BM263" s="23"/>
      <c r="BN263" s="13"/>
      <c r="BO263" s="13"/>
      <c r="BP263" s="13"/>
      <c r="BQ263" s="13"/>
      <c r="BR263" s="13"/>
      <c r="BS263" s="13"/>
      <c r="BT263" s="13"/>
      <c r="BU263" s="13"/>
      <c r="BV263" s="13"/>
      <c r="BW263" s="13" t="s">
        <v>570</v>
      </c>
      <c r="BX263" s="23">
        <v>42626</v>
      </c>
      <c r="BY263" s="13" t="s">
        <v>570</v>
      </c>
      <c r="BZ263" s="13"/>
      <c r="CA263" s="23">
        <v>42647</v>
      </c>
      <c r="CB263" s="224" t="s">
        <v>570</v>
      </c>
      <c r="CC263" s="224" t="s">
        <v>570</v>
      </c>
      <c r="CD263" s="224" t="s">
        <v>570</v>
      </c>
      <c r="CE263" s="23"/>
      <c r="CF263" s="23"/>
      <c r="CG263" s="23"/>
      <c r="CH263" s="23"/>
      <c r="CI263" s="23"/>
      <c r="CJ263" s="23"/>
      <c r="CK263" s="23"/>
      <c r="CL263" s="23"/>
      <c r="CM263" s="23"/>
      <c r="CN263" s="23"/>
      <c r="CO263" s="23"/>
      <c r="CP263" s="23"/>
      <c r="CQ263" s="23"/>
      <c r="CR263" s="23"/>
      <c r="CS263" s="29" t="s">
        <v>570</v>
      </c>
      <c r="CT263" s="29" t="s">
        <v>570</v>
      </c>
      <c r="CU263" s="29" t="s">
        <v>570</v>
      </c>
      <c r="CV263" s="23"/>
      <c r="CW263" s="30"/>
      <c r="CX263" s="80" t="s">
        <v>1258</v>
      </c>
      <c r="CY263" s="155">
        <v>42733</v>
      </c>
      <c r="CZ263" s="29">
        <v>3897.01</v>
      </c>
      <c r="DA263" s="80" t="s">
        <v>1257</v>
      </c>
      <c r="DB263" s="155">
        <v>42782</v>
      </c>
      <c r="DC263" s="29">
        <v>5103.6499999999996</v>
      </c>
      <c r="DD263" s="134" t="s">
        <v>1427</v>
      </c>
      <c r="DE263" s="99">
        <v>42872</v>
      </c>
      <c r="DF263" s="54">
        <v>7109.34</v>
      </c>
      <c r="DG263" s="13"/>
      <c r="DH263" s="13"/>
      <c r="DI263" s="13"/>
      <c r="DJ263" s="13"/>
      <c r="DK263" s="13"/>
      <c r="DL263" s="13"/>
      <c r="DM263" s="13"/>
      <c r="DN263" s="13"/>
      <c r="DO263" s="13"/>
      <c r="DP263" s="13"/>
      <c r="DQ263" s="13"/>
      <c r="DR263" s="13"/>
      <c r="DS263" s="13"/>
      <c r="DT263" s="13"/>
      <c r="DU263" s="13"/>
      <c r="DV263" s="13"/>
      <c r="DW263" s="13"/>
      <c r="DX263" s="13"/>
      <c r="DY263" s="31">
        <f t="shared" si="120"/>
        <v>16110</v>
      </c>
      <c r="DZ263" s="13"/>
      <c r="EA263" s="13"/>
      <c r="EB263" s="13"/>
      <c r="EC263" s="13"/>
      <c r="ED263" s="13"/>
      <c r="EE263" s="13"/>
      <c r="EF263" s="13"/>
      <c r="EG263" s="13">
        <v>270</v>
      </c>
      <c r="EH263" s="13" t="s">
        <v>548</v>
      </c>
      <c r="EI263" s="23">
        <v>42650</v>
      </c>
      <c r="EJ263" s="23">
        <f t="shared" si="124"/>
        <v>42920</v>
      </c>
      <c r="EK263" s="13"/>
      <c r="EL263" s="13"/>
      <c r="EM263" s="13"/>
      <c r="EN263" s="13"/>
      <c r="EO263" s="13"/>
      <c r="EP263" s="13"/>
      <c r="EQ263" s="13"/>
      <c r="ER263" s="13"/>
      <c r="ES263" s="13"/>
      <c r="ET263" s="13"/>
      <c r="EU263" s="13"/>
      <c r="EV263" s="13"/>
      <c r="EW263" s="13"/>
      <c r="EX263" s="13"/>
      <c r="EY263" s="13"/>
      <c r="EZ263" s="13"/>
      <c r="FA263" s="13"/>
      <c r="FB263" s="13"/>
      <c r="FC263" s="13"/>
      <c r="FD263" s="13"/>
      <c r="FE263" s="13"/>
      <c r="FF263" s="13"/>
      <c r="FG263" s="13"/>
      <c r="FH263" s="13"/>
      <c r="FI263" s="13"/>
      <c r="FJ263" s="13"/>
      <c r="FK263" s="13"/>
      <c r="FL263" s="13"/>
      <c r="FM263" s="13"/>
      <c r="FN263" s="13"/>
      <c r="FO263" s="13"/>
      <c r="FP263" s="13"/>
      <c r="FQ263" s="13"/>
      <c r="FR263" s="13"/>
      <c r="FS263" s="13"/>
      <c r="FT263" s="13"/>
      <c r="FU263" s="25">
        <v>0</v>
      </c>
      <c r="FV263" s="25">
        <v>0.50900000000000001</v>
      </c>
      <c r="FW263" s="25">
        <v>0.9</v>
      </c>
      <c r="FX263" s="25">
        <v>0.98499999999999999</v>
      </c>
      <c r="FY263" s="25">
        <v>0.98499999999999999</v>
      </c>
      <c r="FZ263" s="25">
        <v>1</v>
      </c>
      <c r="GA263" s="25">
        <v>1</v>
      </c>
      <c r="GB263" s="25">
        <v>1</v>
      </c>
      <c r="GC263" s="25">
        <v>1</v>
      </c>
      <c r="GD263" s="25">
        <v>1</v>
      </c>
      <c r="GE263" s="25">
        <v>1</v>
      </c>
      <c r="GF263" s="25">
        <v>1</v>
      </c>
      <c r="GG263" s="25">
        <v>1</v>
      </c>
      <c r="GH263" s="25">
        <v>1</v>
      </c>
      <c r="GI263" s="25">
        <v>1</v>
      </c>
      <c r="GJ263" s="25">
        <v>1</v>
      </c>
      <c r="GK263" s="25">
        <v>1</v>
      </c>
      <c r="GL263" s="25">
        <v>1</v>
      </c>
      <c r="GM263" s="25">
        <v>1</v>
      </c>
      <c r="GN263" s="25">
        <v>1</v>
      </c>
      <c r="GO263" s="25">
        <v>1</v>
      </c>
      <c r="GP263" s="25">
        <v>1</v>
      </c>
      <c r="GQ263" s="25">
        <v>1</v>
      </c>
      <c r="GR263" s="25">
        <v>1</v>
      </c>
      <c r="GS263" s="25">
        <v>1</v>
      </c>
      <c r="GT263" s="25">
        <v>1</v>
      </c>
      <c r="GU263" s="25">
        <v>1</v>
      </c>
      <c r="GV263" s="25" t="s">
        <v>452</v>
      </c>
      <c r="GW263" s="25" t="s">
        <v>452</v>
      </c>
      <c r="GX263" s="25" t="s">
        <v>452</v>
      </c>
      <c r="GY263" s="25" t="s">
        <v>452</v>
      </c>
      <c r="GZ263" s="25" t="s">
        <v>452</v>
      </c>
      <c r="HA263" s="25" t="s">
        <v>452</v>
      </c>
      <c r="HB263" s="25" t="s">
        <v>452</v>
      </c>
      <c r="HC263" s="25" t="s">
        <v>452</v>
      </c>
      <c r="HD263" s="25" t="s">
        <v>452</v>
      </c>
      <c r="HE263" s="25" t="s">
        <v>452</v>
      </c>
      <c r="HF263" s="25" t="s">
        <v>452</v>
      </c>
      <c r="HG263" s="25" t="s">
        <v>452</v>
      </c>
      <c r="HH263" s="25" t="s">
        <v>452</v>
      </c>
      <c r="HI263" s="25"/>
      <c r="HJ263" s="25"/>
      <c r="HK263" s="25"/>
      <c r="HL263" s="25"/>
      <c r="HM263" s="84"/>
      <c r="HN263" s="84"/>
      <c r="HO263" s="84"/>
      <c r="HP263" s="84"/>
      <c r="HQ263" s="84"/>
      <c r="HR263" s="84"/>
      <c r="HS263" s="84"/>
      <c r="HT263" s="84"/>
      <c r="HU263" s="13"/>
      <c r="HV263" s="13"/>
      <c r="HW263" s="32"/>
      <c r="HX263" s="55"/>
      <c r="HY263" s="55"/>
      <c r="HZ263" s="55"/>
      <c r="IA263" s="55"/>
      <c r="IB263" s="55"/>
      <c r="IC263" s="55"/>
      <c r="ID263" s="55"/>
      <c r="IE263" s="55"/>
      <c r="IF263" s="107">
        <v>18000</v>
      </c>
      <c r="IG263" s="107">
        <v>17900</v>
      </c>
      <c r="IH263" s="250">
        <f t="shared" si="119"/>
        <v>0</v>
      </c>
      <c r="II263" s="55"/>
      <c r="IJ263" s="55"/>
      <c r="IK263" s="55"/>
      <c r="IL263" s="55"/>
      <c r="IM263" s="55"/>
      <c r="IN263" s="55"/>
      <c r="IO263" s="55"/>
      <c r="IP263" s="55"/>
      <c r="IQ263" s="55"/>
      <c r="IR263" s="55"/>
      <c r="IS263" s="55"/>
      <c r="IT263" s="55"/>
      <c r="IU263" s="55"/>
      <c r="IV263" s="55"/>
      <c r="IW263" s="55"/>
      <c r="IX263" s="55"/>
      <c r="IY263" s="55"/>
      <c r="IZ263" s="55"/>
      <c r="JA263" s="55"/>
      <c r="JB263" s="55"/>
      <c r="JC263" s="55"/>
      <c r="JD263" s="55">
        <v>2017</v>
      </c>
    </row>
    <row r="264" spans="1:264" s="5" customFormat="1" ht="20.100000000000001" hidden="1" customHeight="1">
      <c r="A264" s="26" t="s">
        <v>56</v>
      </c>
      <c r="B264" s="26" t="s">
        <v>203</v>
      </c>
      <c r="C264" s="13" t="s">
        <v>349</v>
      </c>
      <c r="D264" s="13" t="s">
        <v>380</v>
      </c>
      <c r="E264" s="16" t="s">
        <v>350</v>
      </c>
      <c r="F264" s="13" t="s">
        <v>356</v>
      </c>
      <c r="G264" s="26" t="s">
        <v>351</v>
      </c>
      <c r="H264" s="13" t="s">
        <v>1516</v>
      </c>
      <c r="I264" s="313" t="s">
        <v>418</v>
      </c>
      <c r="J264" s="26">
        <v>6</v>
      </c>
      <c r="K264" s="49" t="s">
        <v>375</v>
      </c>
      <c r="L264" s="38" t="s">
        <v>406</v>
      </c>
      <c r="M264" s="393"/>
      <c r="N264" s="20" t="s">
        <v>1947</v>
      </c>
      <c r="O264" s="13" t="s">
        <v>206</v>
      </c>
      <c r="P264" s="13" t="s">
        <v>4</v>
      </c>
      <c r="Q264" s="22" t="s">
        <v>1118</v>
      </c>
      <c r="R264" s="38" t="s">
        <v>406</v>
      </c>
      <c r="S264" s="13" t="s">
        <v>681</v>
      </c>
      <c r="T264" s="22" t="s">
        <v>1387</v>
      </c>
      <c r="U264" s="13" t="s">
        <v>477</v>
      </c>
      <c r="V264" s="13" t="s">
        <v>682</v>
      </c>
      <c r="W264" s="13" t="s">
        <v>570</v>
      </c>
      <c r="X264" s="13" t="s">
        <v>570</v>
      </c>
      <c r="Y264" s="13" t="s">
        <v>503</v>
      </c>
      <c r="Z264" s="13" t="s">
        <v>503</v>
      </c>
      <c r="AA264" s="29">
        <v>109.09392623553198</v>
      </c>
      <c r="AB264" s="29">
        <v>0</v>
      </c>
      <c r="AC264" s="29">
        <v>109.09392623553198</v>
      </c>
      <c r="AD264" s="29"/>
      <c r="AE264" s="29">
        <v>0</v>
      </c>
      <c r="AF264" s="29">
        <f t="shared" si="121"/>
        <v>0</v>
      </c>
      <c r="AG264" s="25">
        <v>0.12</v>
      </c>
      <c r="AH264" s="29">
        <f t="shared" si="116"/>
        <v>0</v>
      </c>
      <c r="AI264" s="29">
        <f t="shared" si="117"/>
        <v>0</v>
      </c>
      <c r="AJ264" s="29">
        <f t="shared" si="118"/>
        <v>0</v>
      </c>
      <c r="AK264" s="29"/>
      <c r="AL264" s="29"/>
      <c r="AM264" s="126"/>
      <c r="AN264" s="29"/>
      <c r="AO264" s="29"/>
      <c r="AP264" s="29"/>
      <c r="AQ264" s="29"/>
      <c r="AR264" s="29"/>
      <c r="AS264" s="29"/>
      <c r="AT264" s="29"/>
      <c r="AU264" s="29"/>
      <c r="AV264" s="29"/>
      <c r="AW264" s="29"/>
      <c r="AX264" s="29"/>
      <c r="AY264" s="29"/>
      <c r="AZ264" s="29"/>
      <c r="BA264" s="29"/>
      <c r="BB264" s="29"/>
      <c r="BC264" s="29"/>
      <c r="BD264" s="29"/>
      <c r="BE264" s="29"/>
      <c r="BF264" s="29">
        <f t="shared" si="123"/>
        <v>0</v>
      </c>
      <c r="BG264" s="29">
        <f t="shared" si="122"/>
        <v>0</v>
      </c>
      <c r="BH264" s="37"/>
      <c r="BI264" s="23" t="s">
        <v>570</v>
      </c>
      <c r="BJ264" s="23" t="s">
        <v>570</v>
      </c>
      <c r="BK264" s="23"/>
      <c r="BL264" s="23"/>
      <c r="BM264" s="23"/>
      <c r="BN264" s="13"/>
      <c r="BO264" s="13"/>
      <c r="BP264" s="13"/>
      <c r="BQ264" s="13"/>
      <c r="BR264" s="13"/>
      <c r="BS264" s="13"/>
      <c r="BT264" s="13"/>
      <c r="BU264" s="13"/>
      <c r="BV264" s="13"/>
      <c r="BW264" s="13" t="s">
        <v>570</v>
      </c>
      <c r="BX264" s="23">
        <v>42626</v>
      </c>
      <c r="BY264" s="13" t="s">
        <v>570</v>
      </c>
      <c r="BZ264" s="13"/>
      <c r="CA264" s="23">
        <v>42647</v>
      </c>
      <c r="CB264" s="224" t="s">
        <v>570</v>
      </c>
      <c r="CC264" s="224" t="s">
        <v>570</v>
      </c>
      <c r="CD264" s="224" t="s">
        <v>570</v>
      </c>
      <c r="CE264" s="23"/>
      <c r="CF264" s="23"/>
      <c r="CG264" s="23"/>
      <c r="CH264" s="23"/>
      <c r="CI264" s="23"/>
      <c r="CJ264" s="23"/>
      <c r="CK264" s="23"/>
      <c r="CL264" s="23"/>
      <c r="CM264" s="23"/>
      <c r="CN264" s="23"/>
      <c r="CO264" s="23"/>
      <c r="CP264" s="23"/>
      <c r="CQ264" s="23"/>
      <c r="CR264" s="23"/>
      <c r="CS264" s="29" t="s">
        <v>570</v>
      </c>
      <c r="CT264" s="29" t="s">
        <v>570</v>
      </c>
      <c r="CU264" s="29" t="s">
        <v>570</v>
      </c>
      <c r="CV264" s="23"/>
      <c r="CW264" s="30"/>
      <c r="CX264" s="13"/>
      <c r="CY264" s="155"/>
      <c r="CZ264" s="29"/>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31">
        <f t="shared" si="120"/>
        <v>0</v>
      </c>
      <c r="DZ264" s="13"/>
      <c r="EA264" s="13"/>
      <c r="EB264" s="13"/>
      <c r="EC264" s="13"/>
      <c r="ED264" s="13"/>
      <c r="EE264" s="13"/>
      <c r="EF264" s="13"/>
      <c r="EG264" s="13">
        <v>270</v>
      </c>
      <c r="EH264" s="13" t="s">
        <v>548</v>
      </c>
      <c r="EI264" s="23">
        <v>42650</v>
      </c>
      <c r="EJ264" s="23">
        <f t="shared" si="124"/>
        <v>42920</v>
      </c>
      <c r="EK264" s="13"/>
      <c r="EL264" s="13"/>
      <c r="EM264" s="13"/>
      <c r="EN264" s="13"/>
      <c r="EO264" s="13"/>
      <c r="EP264" s="13"/>
      <c r="EQ264" s="13"/>
      <c r="ER264" s="13"/>
      <c r="ES264" s="13"/>
      <c r="ET264" s="13"/>
      <c r="EU264" s="13"/>
      <c r="EV264" s="13"/>
      <c r="EW264" s="13"/>
      <c r="EX264" s="13"/>
      <c r="EY264" s="13"/>
      <c r="EZ264" s="13"/>
      <c r="FA264" s="13"/>
      <c r="FB264" s="13"/>
      <c r="FC264" s="13"/>
      <c r="FD264" s="13"/>
      <c r="FE264" s="13"/>
      <c r="FF264" s="13"/>
      <c r="FG264" s="13"/>
      <c r="FH264" s="13"/>
      <c r="FI264" s="13"/>
      <c r="FJ264" s="13"/>
      <c r="FK264" s="13"/>
      <c r="FL264" s="13"/>
      <c r="FM264" s="13"/>
      <c r="FN264" s="13"/>
      <c r="FO264" s="13"/>
      <c r="FP264" s="13"/>
      <c r="FQ264" s="13"/>
      <c r="FR264" s="13"/>
      <c r="FS264" s="13"/>
      <c r="FT264" s="13"/>
      <c r="FU264" s="25">
        <v>0</v>
      </c>
      <c r="FV264" s="25">
        <v>0.50900000000000001</v>
      </c>
      <c r="FW264" s="25">
        <v>0.9</v>
      </c>
      <c r="FX264" s="25">
        <v>0.98499999999999999</v>
      </c>
      <c r="FY264" s="25">
        <v>0.98499999999999999</v>
      </c>
      <c r="FZ264" s="25">
        <v>1</v>
      </c>
      <c r="GA264" s="25">
        <v>1</v>
      </c>
      <c r="GB264" s="25">
        <v>1</v>
      </c>
      <c r="GC264" s="25">
        <v>1</v>
      </c>
      <c r="GD264" s="25">
        <v>1</v>
      </c>
      <c r="GE264" s="25">
        <v>1</v>
      </c>
      <c r="GF264" s="25">
        <v>1</v>
      </c>
      <c r="GG264" s="25">
        <v>1</v>
      </c>
      <c r="GH264" s="25">
        <v>1</v>
      </c>
      <c r="GI264" s="25">
        <v>1</v>
      </c>
      <c r="GJ264" s="25">
        <v>1</v>
      </c>
      <c r="GK264" s="25">
        <v>1</v>
      </c>
      <c r="GL264" s="25">
        <v>1</v>
      </c>
      <c r="GM264" s="25">
        <v>1</v>
      </c>
      <c r="GN264" s="25">
        <v>1</v>
      </c>
      <c r="GO264" s="25">
        <v>1</v>
      </c>
      <c r="GP264" s="25">
        <v>1</v>
      </c>
      <c r="GQ264" s="25">
        <v>1</v>
      </c>
      <c r="GR264" s="25">
        <v>1</v>
      </c>
      <c r="GS264" s="25">
        <v>1</v>
      </c>
      <c r="GT264" s="25">
        <v>1</v>
      </c>
      <c r="GU264" s="25">
        <v>1</v>
      </c>
      <c r="GV264" s="25" t="s">
        <v>452</v>
      </c>
      <c r="GW264" s="25" t="s">
        <v>452</v>
      </c>
      <c r="GX264" s="25" t="s">
        <v>452</v>
      </c>
      <c r="GY264" s="25" t="s">
        <v>452</v>
      </c>
      <c r="GZ264" s="25" t="s">
        <v>452</v>
      </c>
      <c r="HA264" s="25" t="s">
        <v>452</v>
      </c>
      <c r="HB264" s="25" t="s">
        <v>452</v>
      </c>
      <c r="HC264" s="25" t="s">
        <v>452</v>
      </c>
      <c r="HD264" s="25" t="s">
        <v>452</v>
      </c>
      <c r="HE264" s="25" t="s">
        <v>452</v>
      </c>
      <c r="HF264" s="25" t="s">
        <v>452</v>
      </c>
      <c r="HG264" s="25" t="s">
        <v>452</v>
      </c>
      <c r="HH264" s="25" t="s">
        <v>452</v>
      </c>
      <c r="HI264" s="25"/>
      <c r="HJ264" s="25"/>
      <c r="HK264" s="25"/>
      <c r="HL264" s="25"/>
      <c r="HM264" s="84"/>
      <c r="HN264" s="84"/>
      <c r="HO264" s="84"/>
      <c r="HP264" s="84"/>
      <c r="HQ264" s="84"/>
      <c r="HR264" s="84"/>
      <c r="HS264" s="84"/>
      <c r="HT264" s="84"/>
      <c r="HU264" s="13"/>
      <c r="HV264" s="13"/>
      <c r="HW264" s="32"/>
      <c r="HX264" s="55"/>
      <c r="HY264" s="55"/>
      <c r="HZ264" s="55"/>
      <c r="IA264" s="55"/>
      <c r="IB264" s="55"/>
      <c r="IC264" s="55"/>
      <c r="ID264" s="55"/>
      <c r="IE264" s="55"/>
      <c r="IF264" s="107">
        <v>0</v>
      </c>
      <c r="IG264" s="107"/>
      <c r="IH264" s="250">
        <f t="shared" si="119"/>
        <v>0</v>
      </c>
      <c r="II264" s="55"/>
      <c r="IJ264" s="55"/>
      <c r="IK264" s="55"/>
      <c r="IL264" s="55"/>
      <c r="IM264" s="55"/>
      <c r="IN264" s="55"/>
      <c r="IO264" s="55"/>
      <c r="IP264" s="55"/>
      <c r="IQ264" s="55"/>
      <c r="IR264" s="55"/>
      <c r="IS264" s="55"/>
      <c r="IT264" s="55"/>
      <c r="IU264" s="55"/>
      <c r="IV264" s="55"/>
      <c r="IW264" s="55"/>
      <c r="IX264" s="55"/>
      <c r="IY264" s="55"/>
      <c r="IZ264" s="55"/>
      <c r="JA264" s="55"/>
      <c r="JB264" s="55"/>
      <c r="JC264" s="55"/>
      <c r="JD264" s="55">
        <v>2017</v>
      </c>
    </row>
    <row r="265" spans="1:264" s="5" customFormat="1" ht="20.100000000000001" hidden="1" customHeight="1">
      <c r="A265" s="26" t="s">
        <v>56</v>
      </c>
      <c r="B265" s="26" t="s">
        <v>203</v>
      </c>
      <c r="C265" s="13" t="s">
        <v>349</v>
      </c>
      <c r="D265" s="13" t="s">
        <v>380</v>
      </c>
      <c r="E265" s="16" t="s">
        <v>350</v>
      </c>
      <c r="F265" s="13" t="s">
        <v>356</v>
      </c>
      <c r="G265" s="26" t="s">
        <v>351</v>
      </c>
      <c r="H265" s="13" t="s">
        <v>1516</v>
      </c>
      <c r="I265" s="313" t="s">
        <v>417</v>
      </c>
      <c r="J265" s="26">
        <v>5</v>
      </c>
      <c r="K265" s="49" t="s">
        <v>375</v>
      </c>
      <c r="L265" s="38" t="s">
        <v>407</v>
      </c>
      <c r="M265" s="14" t="s">
        <v>230</v>
      </c>
      <c r="N265" s="20"/>
      <c r="O265" s="13" t="s">
        <v>206</v>
      </c>
      <c r="P265" s="13" t="s">
        <v>4</v>
      </c>
      <c r="Q265" s="22" t="s">
        <v>1118</v>
      </c>
      <c r="R265" s="38" t="s">
        <v>407</v>
      </c>
      <c r="S265" s="13" t="s">
        <v>683</v>
      </c>
      <c r="T265" s="22" t="s">
        <v>1387</v>
      </c>
      <c r="U265" s="13" t="s">
        <v>477</v>
      </c>
      <c r="V265" s="13" t="s">
        <v>684</v>
      </c>
      <c r="W265" s="13" t="s">
        <v>570</v>
      </c>
      <c r="X265" s="13" t="s">
        <v>570</v>
      </c>
      <c r="Y265" s="13" t="s">
        <v>685</v>
      </c>
      <c r="Z265" s="13" t="s">
        <v>503</v>
      </c>
      <c r="AA265" s="29"/>
      <c r="AB265" s="29">
        <v>16684.8</v>
      </c>
      <c r="AC265" s="29">
        <v>0</v>
      </c>
      <c r="AD265" s="29">
        <v>16684.803571428569</v>
      </c>
      <c r="AE265" s="29">
        <v>0</v>
      </c>
      <c r="AF265" s="29">
        <f t="shared" si="121"/>
        <v>16684.803571428569</v>
      </c>
      <c r="AG265" s="25">
        <v>0.12</v>
      </c>
      <c r="AH265" s="29">
        <f t="shared" si="116"/>
        <v>2002.1764285714282</v>
      </c>
      <c r="AI265" s="29">
        <f t="shared" si="117"/>
        <v>0</v>
      </c>
      <c r="AJ265" s="29">
        <f t="shared" si="118"/>
        <v>18686.98</v>
      </c>
      <c r="AK265" s="29">
        <v>16670</v>
      </c>
      <c r="AL265" s="29">
        <f>AB265-AK265</f>
        <v>14.799999999999272</v>
      </c>
      <c r="AM265" s="126"/>
      <c r="AN265" s="29"/>
      <c r="AO265" s="29">
        <v>16684.803571428569</v>
      </c>
      <c r="AP265" s="29"/>
      <c r="AQ265" s="29">
        <v>16670</v>
      </c>
      <c r="AR265" s="25">
        <v>0.14000000000000001</v>
      </c>
      <c r="AS265" s="25"/>
      <c r="AT265" s="29">
        <f>+AQ265*1.14</f>
        <v>19003.8</v>
      </c>
      <c r="AU265" s="29"/>
      <c r="AV265" s="29"/>
      <c r="AW265" s="29"/>
      <c r="AX265" s="29"/>
      <c r="AY265" s="29"/>
      <c r="AZ265" s="29"/>
      <c r="BA265" s="29"/>
      <c r="BB265" s="29"/>
      <c r="BC265" s="29"/>
      <c r="BD265" s="29"/>
      <c r="BE265" s="29"/>
      <c r="BF265" s="29">
        <f t="shared" si="123"/>
        <v>14.799999999999272</v>
      </c>
      <c r="BG265" s="29">
        <f t="shared" si="122"/>
        <v>14.799999999999272</v>
      </c>
      <c r="BH265" s="37"/>
      <c r="BI265" s="23" t="s">
        <v>570</v>
      </c>
      <c r="BJ265" s="23" t="s">
        <v>570</v>
      </c>
      <c r="BK265" s="23"/>
      <c r="BL265" s="23"/>
      <c r="BM265" s="23"/>
      <c r="BN265" s="13"/>
      <c r="BO265" s="13"/>
      <c r="BP265" s="13"/>
      <c r="BQ265" s="13"/>
      <c r="BR265" s="13"/>
      <c r="BS265" s="13"/>
      <c r="BT265" s="13"/>
      <c r="BU265" s="13"/>
      <c r="BV265" s="13"/>
      <c r="BW265" s="13" t="s">
        <v>570</v>
      </c>
      <c r="BX265" s="23">
        <v>42636</v>
      </c>
      <c r="BY265" s="13"/>
      <c r="BZ265" s="13"/>
      <c r="CA265" s="23">
        <v>42655</v>
      </c>
      <c r="CB265" s="224" t="s">
        <v>570</v>
      </c>
      <c r="CC265" s="224" t="s">
        <v>570</v>
      </c>
      <c r="CD265" s="224" t="s">
        <v>570</v>
      </c>
      <c r="CE265" s="23"/>
      <c r="CF265" s="23"/>
      <c r="CG265" s="23"/>
      <c r="CH265" s="23"/>
      <c r="CI265" s="23"/>
      <c r="CJ265" s="23"/>
      <c r="CK265" s="23"/>
      <c r="CL265" s="23"/>
      <c r="CM265" s="23"/>
      <c r="CN265" s="23"/>
      <c r="CO265" s="23"/>
      <c r="CP265" s="23"/>
      <c r="CQ265" s="23"/>
      <c r="CR265" s="23"/>
      <c r="CS265" s="29" t="s">
        <v>570</v>
      </c>
      <c r="CT265" s="29" t="s">
        <v>570</v>
      </c>
      <c r="CU265" s="29" t="s">
        <v>570</v>
      </c>
      <c r="CV265" s="23" t="s">
        <v>570</v>
      </c>
      <c r="CW265" s="30">
        <v>0</v>
      </c>
      <c r="CX265" s="80" t="s">
        <v>1258</v>
      </c>
      <c r="CY265" s="155">
        <v>42727</v>
      </c>
      <c r="CZ265" s="29">
        <v>3629.23</v>
      </c>
      <c r="DA265" s="80" t="s">
        <v>1259</v>
      </c>
      <c r="DB265" s="99">
        <v>42780</v>
      </c>
      <c r="DC265" s="54">
        <v>4752.95</v>
      </c>
      <c r="DD265" s="161" t="s">
        <v>1428</v>
      </c>
      <c r="DE265" s="99">
        <v>42829</v>
      </c>
      <c r="DF265" s="54">
        <v>6620.82</v>
      </c>
      <c r="DG265" s="13"/>
      <c r="DH265" s="13"/>
      <c r="DI265" s="13"/>
      <c r="DJ265" s="13"/>
      <c r="DK265" s="13"/>
      <c r="DL265" s="13"/>
      <c r="DM265" s="13"/>
      <c r="DN265" s="13"/>
      <c r="DO265" s="13"/>
      <c r="DP265" s="13"/>
      <c r="DQ265" s="13"/>
      <c r="DR265" s="13"/>
      <c r="DS265" s="13"/>
      <c r="DT265" s="13"/>
      <c r="DU265" s="13"/>
      <c r="DV265" s="13"/>
      <c r="DW265" s="13"/>
      <c r="DX265" s="13"/>
      <c r="DY265" s="31">
        <f t="shared" si="120"/>
        <v>15003</v>
      </c>
      <c r="DZ265" s="13"/>
      <c r="EA265" s="13"/>
      <c r="EB265" s="13"/>
      <c r="EC265" s="13"/>
      <c r="ED265" s="13"/>
      <c r="EE265" s="13"/>
      <c r="EF265" s="13"/>
      <c r="EG265" s="13">
        <v>270</v>
      </c>
      <c r="EH265" s="13" t="s">
        <v>548</v>
      </c>
      <c r="EI265" s="23">
        <v>42657</v>
      </c>
      <c r="EJ265" s="23">
        <f t="shared" si="124"/>
        <v>42927</v>
      </c>
      <c r="EK265" s="13"/>
      <c r="EL265" s="13"/>
      <c r="EM265" s="13"/>
      <c r="EN265" s="13"/>
      <c r="EO265" s="13"/>
      <c r="EP265" s="13"/>
      <c r="EQ265" s="13"/>
      <c r="ER265" s="13"/>
      <c r="ES265" s="13"/>
      <c r="ET265" s="13"/>
      <c r="EU265" s="13"/>
      <c r="EV265" s="13"/>
      <c r="EW265" s="13"/>
      <c r="EX265" s="13"/>
      <c r="EY265" s="13"/>
      <c r="EZ265" s="13"/>
      <c r="FA265" s="13"/>
      <c r="FB265" s="13"/>
      <c r="FC265" s="13"/>
      <c r="FD265" s="13"/>
      <c r="FE265" s="13"/>
      <c r="FF265" s="13"/>
      <c r="FG265" s="13"/>
      <c r="FH265" s="13"/>
      <c r="FI265" s="13"/>
      <c r="FJ265" s="13"/>
      <c r="FK265" s="13"/>
      <c r="FL265" s="13"/>
      <c r="FM265" s="13"/>
      <c r="FN265" s="13"/>
      <c r="FO265" s="13"/>
      <c r="FP265" s="13"/>
      <c r="FQ265" s="13"/>
      <c r="FR265" s="13"/>
      <c r="FS265" s="13"/>
      <c r="FT265" s="25" t="s">
        <v>1246</v>
      </c>
      <c r="FU265" s="25" t="s">
        <v>1246</v>
      </c>
      <c r="FV265" s="25">
        <v>0.93630000000000002</v>
      </c>
      <c r="FW265" s="25">
        <v>0.93630000000000002</v>
      </c>
      <c r="FX265" s="25">
        <v>0.93630000000000002</v>
      </c>
      <c r="FY265" s="25">
        <v>1</v>
      </c>
      <c r="FZ265" s="25">
        <v>1</v>
      </c>
      <c r="GA265" s="25">
        <v>1</v>
      </c>
      <c r="GB265" s="25">
        <v>1</v>
      </c>
      <c r="GC265" s="25">
        <v>1</v>
      </c>
      <c r="GD265" s="25">
        <v>1</v>
      </c>
      <c r="GE265" s="25">
        <v>1</v>
      </c>
      <c r="GF265" s="25">
        <v>1</v>
      </c>
      <c r="GG265" s="25">
        <v>1</v>
      </c>
      <c r="GH265" s="25">
        <v>1</v>
      </c>
      <c r="GI265" s="25">
        <v>1</v>
      </c>
      <c r="GJ265" s="25">
        <v>1</v>
      </c>
      <c r="GK265" s="25">
        <v>1</v>
      </c>
      <c r="GL265" s="25">
        <v>1</v>
      </c>
      <c r="GM265" s="25">
        <v>1</v>
      </c>
      <c r="GN265" s="25">
        <v>1</v>
      </c>
      <c r="GO265" s="25">
        <v>1</v>
      </c>
      <c r="GP265" s="25">
        <v>1</v>
      </c>
      <c r="GQ265" s="25">
        <v>1</v>
      </c>
      <c r="GR265" s="25">
        <v>1</v>
      </c>
      <c r="GS265" s="25">
        <v>1</v>
      </c>
      <c r="GT265" s="25">
        <v>1</v>
      </c>
      <c r="GU265" s="25">
        <v>1</v>
      </c>
      <c r="GV265" s="25" t="s">
        <v>452</v>
      </c>
      <c r="GW265" s="25" t="s">
        <v>452</v>
      </c>
      <c r="GX265" s="25" t="s">
        <v>452</v>
      </c>
      <c r="GY265" s="25" t="s">
        <v>452</v>
      </c>
      <c r="GZ265" s="25" t="s">
        <v>452</v>
      </c>
      <c r="HA265" s="25" t="s">
        <v>452</v>
      </c>
      <c r="HB265" s="25" t="s">
        <v>452</v>
      </c>
      <c r="HC265" s="25" t="s">
        <v>452</v>
      </c>
      <c r="HD265" s="25" t="s">
        <v>452</v>
      </c>
      <c r="HE265" s="25" t="s">
        <v>452</v>
      </c>
      <c r="HF265" s="25" t="s">
        <v>452</v>
      </c>
      <c r="HG265" s="25" t="s">
        <v>452</v>
      </c>
      <c r="HH265" s="25" t="s">
        <v>452</v>
      </c>
      <c r="HI265" s="25"/>
      <c r="HJ265" s="25"/>
      <c r="HK265" s="25"/>
      <c r="HL265" s="25"/>
      <c r="HM265" s="84"/>
      <c r="HN265" s="84"/>
      <c r="HO265" s="84"/>
      <c r="HP265" s="84"/>
      <c r="HQ265" s="84"/>
      <c r="HR265" s="84"/>
      <c r="HS265" s="84"/>
      <c r="HT265" s="84"/>
      <c r="HU265" s="13"/>
      <c r="HV265" s="13"/>
      <c r="HW265" s="32"/>
      <c r="HX265" s="55"/>
      <c r="HY265" s="55"/>
      <c r="HZ265" s="55"/>
      <c r="IA265" s="55"/>
      <c r="IB265" s="55"/>
      <c r="IC265" s="55"/>
      <c r="ID265" s="55"/>
      <c r="IE265" s="55"/>
      <c r="IF265" s="107">
        <v>16684.8</v>
      </c>
      <c r="IG265" s="107">
        <v>16670</v>
      </c>
      <c r="IH265" s="250">
        <f t="shared" si="119"/>
        <v>0</v>
      </c>
      <c r="II265" s="55"/>
      <c r="IJ265" s="55"/>
      <c r="IK265" s="55"/>
      <c r="IL265" s="55"/>
      <c r="IM265" s="55"/>
      <c r="IN265" s="55"/>
      <c r="IO265" s="55"/>
      <c r="IP265" s="55"/>
      <c r="IQ265" s="55"/>
      <c r="IR265" s="55"/>
      <c r="IS265" s="55"/>
      <c r="IT265" s="55"/>
      <c r="IU265" s="55"/>
      <c r="IV265" s="55"/>
      <c r="IW265" s="55"/>
      <c r="IX265" s="55"/>
      <c r="IY265" s="55"/>
      <c r="IZ265" s="55"/>
      <c r="JA265" s="55"/>
      <c r="JB265" s="55"/>
      <c r="JC265" s="55"/>
      <c r="JD265" s="55">
        <v>2017</v>
      </c>
    </row>
    <row r="266" spans="1:264" s="5" customFormat="1" ht="20.100000000000001" hidden="1" customHeight="1">
      <c r="A266" s="26" t="s">
        <v>56</v>
      </c>
      <c r="B266" s="26" t="s">
        <v>203</v>
      </c>
      <c r="C266" s="13" t="s">
        <v>349</v>
      </c>
      <c r="D266" s="13" t="s">
        <v>380</v>
      </c>
      <c r="E266" s="16" t="s">
        <v>350</v>
      </c>
      <c r="F266" s="13" t="s">
        <v>356</v>
      </c>
      <c r="G266" s="26" t="s">
        <v>351</v>
      </c>
      <c r="H266" s="13" t="s">
        <v>1516</v>
      </c>
      <c r="I266" s="313" t="s">
        <v>415</v>
      </c>
      <c r="J266" s="26">
        <v>3</v>
      </c>
      <c r="K266" s="49" t="s">
        <v>375</v>
      </c>
      <c r="L266" s="314" t="s">
        <v>231</v>
      </c>
      <c r="M266" s="392" t="s">
        <v>232</v>
      </c>
      <c r="N266" s="20" t="s">
        <v>1944</v>
      </c>
      <c r="O266" s="13" t="s">
        <v>206</v>
      </c>
      <c r="P266" s="13" t="s">
        <v>4</v>
      </c>
      <c r="Q266" s="22" t="s">
        <v>1118</v>
      </c>
      <c r="R266" s="314" t="s">
        <v>231</v>
      </c>
      <c r="S266" s="13" t="s">
        <v>686</v>
      </c>
      <c r="T266" s="13" t="s">
        <v>1387</v>
      </c>
      <c r="U266" s="13" t="s">
        <v>477</v>
      </c>
      <c r="V266" s="13" t="s">
        <v>687</v>
      </c>
      <c r="W266" s="13" t="s">
        <v>570</v>
      </c>
      <c r="X266" s="13" t="s">
        <v>570</v>
      </c>
      <c r="Y266" s="13" t="s">
        <v>688</v>
      </c>
      <c r="Z266" s="13" t="s">
        <v>503</v>
      </c>
      <c r="AA266" s="29">
        <v>19403.63</v>
      </c>
      <c r="AB266" s="29">
        <v>28000</v>
      </c>
      <c r="AC266" s="29">
        <v>19403.63</v>
      </c>
      <c r="AD266" s="29">
        <v>28000</v>
      </c>
      <c r="AE266" s="29">
        <v>0</v>
      </c>
      <c r="AF266" s="29">
        <f t="shared" si="121"/>
        <v>28000</v>
      </c>
      <c r="AG266" s="25">
        <v>0.12</v>
      </c>
      <c r="AH266" s="29">
        <f t="shared" si="116"/>
        <v>3360</v>
      </c>
      <c r="AI266" s="29">
        <f t="shared" si="117"/>
        <v>0</v>
      </c>
      <c r="AJ266" s="29">
        <f t="shared" si="118"/>
        <v>31360.000000000004</v>
      </c>
      <c r="AK266" s="29">
        <v>28000</v>
      </c>
      <c r="AL266" s="29">
        <f>AB266-AK266</f>
        <v>0</v>
      </c>
      <c r="AM266" s="126"/>
      <c r="AN266" s="29"/>
      <c r="AO266" s="29">
        <v>28000</v>
      </c>
      <c r="AP266" s="29"/>
      <c r="AQ266" s="29">
        <v>28000</v>
      </c>
      <c r="AR266" s="25">
        <v>0.14000000000000001</v>
      </c>
      <c r="AS266" s="25"/>
      <c r="AT266" s="29">
        <f>+AQ266*1.14</f>
        <v>31919.999999999996</v>
      </c>
      <c r="AU266" s="29"/>
      <c r="AV266" s="29"/>
      <c r="AW266" s="29"/>
      <c r="AX266" s="29"/>
      <c r="AY266" s="29"/>
      <c r="AZ266" s="29"/>
      <c r="BA266" s="29"/>
      <c r="BB266" s="29"/>
      <c r="BC266" s="29"/>
      <c r="BD266" s="29"/>
      <c r="BE266" s="29"/>
      <c r="BF266" s="29">
        <f t="shared" si="123"/>
        <v>0</v>
      </c>
      <c r="BG266" s="29">
        <f t="shared" si="122"/>
        <v>0</v>
      </c>
      <c r="BH266" s="37"/>
      <c r="BI266" s="23" t="s">
        <v>570</v>
      </c>
      <c r="BJ266" s="23" t="s">
        <v>570</v>
      </c>
      <c r="BK266" s="23"/>
      <c r="BL266" s="23"/>
      <c r="BM266" s="23"/>
      <c r="BN266" s="13"/>
      <c r="BO266" s="13"/>
      <c r="BP266" s="13"/>
      <c r="BQ266" s="13"/>
      <c r="BR266" s="13"/>
      <c r="BS266" s="13"/>
      <c r="BT266" s="13"/>
      <c r="BU266" s="13"/>
      <c r="BV266" s="13"/>
      <c r="BW266" s="13" t="s">
        <v>570</v>
      </c>
      <c r="BX266" s="23">
        <v>42384</v>
      </c>
      <c r="BY266" s="13"/>
      <c r="BZ266" s="13"/>
      <c r="CA266" s="23">
        <v>42395</v>
      </c>
      <c r="CB266" s="224" t="s">
        <v>570</v>
      </c>
      <c r="CC266" s="224" t="s">
        <v>570</v>
      </c>
      <c r="CD266" s="224" t="s">
        <v>570</v>
      </c>
      <c r="CE266" s="23"/>
      <c r="CF266" s="23"/>
      <c r="CG266" s="23"/>
      <c r="CH266" s="23"/>
      <c r="CI266" s="23"/>
      <c r="CJ266" s="23"/>
      <c r="CK266" s="23"/>
      <c r="CL266" s="23"/>
      <c r="CM266" s="23"/>
      <c r="CN266" s="23"/>
      <c r="CO266" s="23"/>
      <c r="CP266" s="23"/>
      <c r="CQ266" s="23"/>
      <c r="CR266" s="23"/>
      <c r="CS266" s="29" t="s">
        <v>570</v>
      </c>
      <c r="CT266" s="29" t="s">
        <v>570</v>
      </c>
      <c r="CU266" s="29" t="s">
        <v>570</v>
      </c>
      <c r="CV266" s="23"/>
      <c r="CW266" s="30"/>
      <c r="CX266" s="134" t="s">
        <v>1429</v>
      </c>
      <c r="CY266" s="99">
        <v>42796</v>
      </c>
      <c r="CZ266" s="54">
        <v>9100</v>
      </c>
      <c r="DA266" s="134" t="s">
        <v>1430</v>
      </c>
      <c r="DB266" s="99">
        <v>42878</v>
      </c>
      <c r="DC266" s="54">
        <v>9100</v>
      </c>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31">
        <f t="shared" si="120"/>
        <v>18200</v>
      </c>
      <c r="DZ266" s="13"/>
      <c r="EA266" s="13"/>
      <c r="EB266" s="13"/>
      <c r="EC266" s="13"/>
      <c r="ED266" s="13"/>
      <c r="EE266" s="13"/>
      <c r="EF266" s="13"/>
      <c r="EG266" s="13">
        <v>270</v>
      </c>
      <c r="EH266" s="13" t="s">
        <v>548</v>
      </c>
      <c r="EI266" s="23">
        <v>42654</v>
      </c>
      <c r="EJ266" s="23">
        <f t="shared" si="124"/>
        <v>42924</v>
      </c>
      <c r="EK266" s="13"/>
      <c r="EL266" s="13"/>
      <c r="EM266" s="13"/>
      <c r="EN266" s="13"/>
      <c r="EO266" s="13"/>
      <c r="EP266" s="13"/>
      <c r="EQ266" s="13"/>
      <c r="ER266" s="13"/>
      <c r="ES266" s="13"/>
      <c r="ET266" s="13"/>
      <c r="EU266" s="13"/>
      <c r="EV266" s="13"/>
      <c r="EW266" s="13"/>
      <c r="EX266" s="13"/>
      <c r="EY266" s="13"/>
      <c r="EZ266" s="13"/>
      <c r="FA266" s="13"/>
      <c r="FB266" s="13"/>
      <c r="FC266" s="13"/>
      <c r="FD266" s="13"/>
      <c r="FE266" s="13"/>
      <c r="FF266" s="13"/>
      <c r="FG266" s="13"/>
      <c r="FH266" s="13"/>
      <c r="FI266" s="13"/>
      <c r="FJ266" s="13"/>
      <c r="FK266" s="13"/>
      <c r="FL266" s="13"/>
      <c r="FM266" s="13"/>
      <c r="FN266" s="13"/>
      <c r="FO266" s="13"/>
      <c r="FP266" s="13"/>
      <c r="FQ266" s="13"/>
      <c r="FR266" s="13"/>
      <c r="FS266" s="13"/>
      <c r="FT266" s="13"/>
      <c r="FU266" s="25">
        <v>0</v>
      </c>
      <c r="FV266" s="25">
        <v>0</v>
      </c>
      <c r="FW266" s="25">
        <v>0.1</v>
      </c>
      <c r="FX266" s="25">
        <v>0.85</v>
      </c>
      <c r="FY266" s="25">
        <v>0.96</v>
      </c>
      <c r="FZ266" s="25">
        <v>0.97</v>
      </c>
      <c r="GA266" s="25">
        <v>0.98</v>
      </c>
      <c r="GB266" s="25">
        <v>0.98</v>
      </c>
      <c r="GC266" s="25">
        <v>1</v>
      </c>
      <c r="GD266" s="25">
        <v>1</v>
      </c>
      <c r="GE266" s="25">
        <v>1</v>
      </c>
      <c r="GF266" s="25">
        <v>1</v>
      </c>
      <c r="GG266" s="25">
        <v>1</v>
      </c>
      <c r="GH266" s="25">
        <v>1</v>
      </c>
      <c r="GI266" s="25">
        <v>1</v>
      </c>
      <c r="GJ266" s="25">
        <v>1</v>
      </c>
      <c r="GK266" s="25">
        <v>1</v>
      </c>
      <c r="GL266" s="25">
        <v>1</v>
      </c>
      <c r="GM266" s="25">
        <v>1</v>
      </c>
      <c r="GN266" s="25">
        <v>1</v>
      </c>
      <c r="GO266" s="25">
        <v>1</v>
      </c>
      <c r="GP266" s="25">
        <v>1</v>
      </c>
      <c r="GQ266" s="25">
        <v>1</v>
      </c>
      <c r="GR266" s="25">
        <v>1</v>
      </c>
      <c r="GS266" s="25">
        <v>1</v>
      </c>
      <c r="GT266" s="25">
        <v>1</v>
      </c>
      <c r="GU266" s="25">
        <v>1</v>
      </c>
      <c r="GV266" s="25" t="s">
        <v>1588</v>
      </c>
      <c r="GW266" s="25" t="s">
        <v>455</v>
      </c>
      <c r="GX266" s="25" t="s">
        <v>455</v>
      </c>
      <c r="GY266" s="25" t="s">
        <v>455</v>
      </c>
      <c r="GZ266" s="25" t="s">
        <v>455</v>
      </c>
      <c r="HA266" s="25" t="s">
        <v>455</v>
      </c>
      <c r="HB266" s="25" t="s">
        <v>455</v>
      </c>
      <c r="HC266" s="25" t="s">
        <v>455</v>
      </c>
      <c r="HD266" s="25" t="s">
        <v>455</v>
      </c>
      <c r="HE266" s="25" t="s">
        <v>455</v>
      </c>
      <c r="HF266" s="25" t="s">
        <v>455</v>
      </c>
      <c r="HG266" s="25" t="s">
        <v>455</v>
      </c>
      <c r="HH266" s="25" t="s">
        <v>455</v>
      </c>
      <c r="HI266" s="25"/>
      <c r="HJ266" s="25"/>
      <c r="HK266" s="25"/>
      <c r="HL266" s="25"/>
      <c r="HM266" s="84"/>
      <c r="HN266" s="84"/>
      <c r="HO266" s="84"/>
      <c r="HP266" s="84"/>
      <c r="HQ266" s="84"/>
      <c r="HR266" s="84"/>
      <c r="HS266" s="84"/>
      <c r="HT266" s="84"/>
      <c r="HU266" s="13"/>
      <c r="HV266" s="13"/>
      <c r="HW266" s="32"/>
      <c r="HX266" s="55"/>
      <c r="HY266" s="55"/>
      <c r="HZ266" s="55"/>
      <c r="IA266" s="55"/>
      <c r="IB266" s="55"/>
      <c r="IC266" s="55"/>
      <c r="ID266" s="55"/>
      <c r="IE266" s="55"/>
      <c r="IF266" s="107">
        <v>28000</v>
      </c>
      <c r="IG266" s="107">
        <v>28000</v>
      </c>
      <c r="IH266" s="250">
        <f t="shared" si="119"/>
        <v>0</v>
      </c>
      <c r="II266" s="55"/>
      <c r="IJ266" s="55"/>
      <c r="IK266" s="55"/>
      <c r="IL266" s="55"/>
      <c r="IM266" s="55"/>
      <c r="IN266" s="55"/>
      <c r="IO266" s="55"/>
      <c r="IP266" s="55"/>
      <c r="IQ266" s="55"/>
      <c r="IR266" s="55"/>
      <c r="IS266" s="55"/>
      <c r="IT266" s="55"/>
      <c r="IU266" s="55"/>
      <c r="IV266" s="55"/>
      <c r="IW266" s="55"/>
      <c r="IX266" s="55"/>
      <c r="IY266" s="55"/>
      <c r="IZ266" s="55"/>
      <c r="JA266" s="55"/>
      <c r="JB266" s="55"/>
      <c r="JC266" s="55"/>
      <c r="JD266" s="55">
        <v>2017</v>
      </c>
    </row>
    <row r="267" spans="1:264" s="5" customFormat="1" ht="20.100000000000001" hidden="1" customHeight="1">
      <c r="A267" s="26" t="s">
        <v>56</v>
      </c>
      <c r="B267" s="26" t="s">
        <v>203</v>
      </c>
      <c r="C267" s="13" t="s">
        <v>349</v>
      </c>
      <c r="D267" s="13" t="s">
        <v>380</v>
      </c>
      <c r="E267" s="16" t="s">
        <v>350</v>
      </c>
      <c r="F267" s="13" t="s">
        <v>356</v>
      </c>
      <c r="G267" s="26" t="s">
        <v>351</v>
      </c>
      <c r="H267" s="13" t="s">
        <v>1516</v>
      </c>
      <c r="I267" s="313" t="s">
        <v>416</v>
      </c>
      <c r="J267" s="26">
        <v>4</v>
      </c>
      <c r="K267" s="49" t="s">
        <v>375</v>
      </c>
      <c r="L267" s="314" t="s">
        <v>231</v>
      </c>
      <c r="M267" s="393"/>
      <c r="N267" s="20" t="s">
        <v>1945</v>
      </c>
      <c r="O267" s="13" t="s">
        <v>206</v>
      </c>
      <c r="P267" s="13" t="s">
        <v>4</v>
      </c>
      <c r="Q267" s="22" t="s">
        <v>1118</v>
      </c>
      <c r="R267" s="314" t="s">
        <v>231</v>
      </c>
      <c r="S267" s="13" t="s">
        <v>686</v>
      </c>
      <c r="T267" s="13" t="s">
        <v>1387</v>
      </c>
      <c r="U267" s="13" t="s">
        <v>477</v>
      </c>
      <c r="V267" s="13" t="s">
        <v>687</v>
      </c>
      <c r="W267" s="13" t="s">
        <v>570</v>
      </c>
      <c r="X267" s="13" t="s">
        <v>570</v>
      </c>
      <c r="Y267" s="13" t="s">
        <v>688</v>
      </c>
      <c r="Z267" s="13" t="s">
        <v>503</v>
      </c>
      <c r="AA267" s="29">
        <v>8596.3657836156253</v>
      </c>
      <c r="AB267" s="29">
        <v>0</v>
      </c>
      <c r="AC267" s="29">
        <v>8596.3657836156253</v>
      </c>
      <c r="AD267" s="29"/>
      <c r="AE267" s="29">
        <v>0</v>
      </c>
      <c r="AF267" s="29">
        <f t="shared" si="121"/>
        <v>0</v>
      </c>
      <c r="AG267" s="25">
        <v>0.12</v>
      </c>
      <c r="AH267" s="29">
        <f t="shared" si="116"/>
        <v>0</v>
      </c>
      <c r="AI267" s="29">
        <f t="shared" si="117"/>
        <v>0</v>
      </c>
      <c r="AJ267" s="29">
        <f t="shared" si="118"/>
        <v>0</v>
      </c>
      <c r="AK267" s="29"/>
      <c r="AL267" s="29"/>
      <c r="AM267" s="126"/>
      <c r="AN267" s="29"/>
      <c r="AO267" s="29"/>
      <c r="AP267" s="29"/>
      <c r="AQ267" s="29"/>
      <c r="AR267" s="29"/>
      <c r="AS267" s="29"/>
      <c r="AT267" s="29"/>
      <c r="AU267" s="29"/>
      <c r="AV267" s="29"/>
      <c r="AW267" s="29"/>
      <c r="AX267" s="29"/>
      <c r="AY267" s="29"/>
      <c r="AZ267" s="29"/>
      <c r="BA267" s="29"/>
      <c r="BB267" s="29"/>
      <c r="BC267" s="29"/>
      <c r="BD267" s="29"/>
      <c r="BE267" s="29"/>
      <c r="BF267" s="29">
        <f t="shared" si="123"/>
        <v>0</v>
      </c>
      <c r="BG267" s="29">
        <f t="shared" si="122"/>
        <v>0</v>
      </c>
      <c r="BH267" s="37"/>
      <c r="BI267" s="23" t="s">
        <v>570</v>
      </c>
      <c r="BJ267" s="23" t="s">
        <v>570</v>
      </c>
      <c r="BK267" s="23"/>
      <c r="BL267" s="23"/>
      <c r="BM267" s="23"/>
      <c r="BN267" s="13"/>
      <c r="BO267" s="13"/>
      <c r="BP267" s="13"/>
      <c r="BQ267" s="13"/>
      <c r="BR267" s="13"/>
      <c r="BS267" s="13"/>
      <c r="BT267" s="13"/>
      <c r="BU267" s="13"/>
      <c r="BV267" s="13"/>
      <c r="BW267" s="13" t="s">
        <v>570</v>
      </c>
      <c r="BX267" s="23">
        <v>42384</v>
      </c>
      <c r="BY267" s="13"/>
      <c r="BZ267" s="13"/>
      <c r="CA267" s="23">
        <v>42395</v>
      </c>
      <c r="CB267" s="224" t="s">
        <v>570</v>
      </c>
      <c r="CC267" s="224" t="s">
        <v>570</v>
      </c>
      <c r="CD267" s="224" t="s">
        <v>570</v>
      </c>
      <c r="CE267" s="23"/>
      <c r="CF267" s="23"/>
      <c r="CG267" s="23"/>
      <c r="CH267" s="23"/>
      <c r="CI267" s="23"/>
      <c r="CJ267" s="23"/>
      <c r="CK267" s="23"/>
      <c r="CL267" s="23"/>
      <c r="CM267" s="23"/>
      <c r="CN267" s="23"/>
      <c r="CO267" s="23"/>
      <c r="CP267" s="23"/>
      <c r="CQ267" s="23"/>
      <c r="CR267" s="23"/>
      <c r="CS267" s="29" t="s">
        <v>570</v>
      </c>
      <c r="CT267" s="29" t="s">
        <v>570</v>
      </c>
      <c r="CU267" s="29" t="s">
        <v>570</v>
      </c>
      <c r="CV267" s="23"/>
      <c r="CW267" s="30"/>
      <c r="CX267" s="13"/>
      <c r="CY267" s="155"/>
      <c r="CZ267" s="29"/>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31">
        <f t="shared" si="120"/>
        <v>0</v>
      </c>
      <c r="DZ267" s="13"/>
      <c r="EA267" s="13"/>
      <c r="EB267" s="13"/>
      <c r="EC267" s="13"/>
      <c r="ED267" s="13"/>
      <c r="EE267" s="13"/>
      <c r="EF267" s="13"/>
      <c r="EG267" s="13">
        <v>270</v>
      </c>
      <c r="EH267" s="13" t="s">
        <v>548</v>
      </c>
      <c r="EI267" s="23">
        <v>42654</v>
      </c>
      <c r="EJ267" s="23">
        <f t="shared" si="124"/>
        <v>42924</v>
      </c>
      <c r="EK267" s="13"/>
      <c r="EL267" s="13"/>
      <c r="EM267" s="13"/>
      <c r="EN267" s="13"/>
      <c r="EO267" s="13"/>
      <c r="EP267" s="13"/>
      <c r="EQ267" s="13"/>
      <c r="ER267" s="13"/>
      <c r="ES267" s="13"/>
      <c r="ET267" s="13"/>
      <c r="EU267" s="13"/>
      <c r="EV267" s="13"/>
      <c r="EW267" s="13"/>
      <c r="EX267" s="13"/>
      <c r="EY267" s="13"/>
      <c r="EZ267" s="13"/>
      <c r="FA267" s="13"/>
      <c r="FB267" s="13"/>
      <c r="FC267" s="13"/>
      <c r="FD267" s="13"/>
      <c r="FE267" s="13"/>
      <c r="FF267" s="13"/>
      <c r="FG267" s="13"/>
      <c r="FH267" s="13"/>
      <c r="FI267" s="13"/>
      <c r="FJ267" s="13"/>
      <c r="FK267" s="13"/>
      <c r="FL267" s="13"/>
      <c r="FM267" s="13"/>
      <c r="FN267" s="13"/>
      <c r="FO267" s="13"/>
      <c r="FP267" s="13"/>
      <c r="FQ267" s="13"/>
      <c r="FR267" s="13"/>
      <c r="FS267" s="13"/>
      <c r="FT267" s="13"/>
      <c r="FU267" s="25">
        <v>0</v>
      </c>
      <c r="FV267" s="25">
        <v>0</v>
      </c>
      <c r="FW267" s="25">
        <v>0.1</v>
      </c>
      <c r="FX267" s="25">
        <v>0.85</v>
      </c>
      <c r="FY267" s="25">
        <v>0.96</v>
      </c>
      <c r="FZ267" s="25">
        <v>0.97</v>
      </c>
      <c r="GA267" s="25">
        <v>0.98</v>
      </c>
      <c r="GB267" s="25">
        <v>0.98</v>
      </c>
      <c r="GC267" s="25">
        <v>1</v>
      </c>
      <c r="GD267" s="25">
        <v>1</v>
      </c>
      <c r="GE267" s="25">
        <v>1</v>
      </c>
      <c r="GF267" s="25">
        <v>1</v>
      </c>
      <c r="GG267" s="25">
        <v>1</v>
      </c>
      <c r="GH267" s="25">
        <v>1</v>
      </c>
      <c r="GI267" s="25">
        <v>1</v>
      </c>
      <c r="GJ267" s="25">
        <v>1</v>
      </c>
      <c r="GK267" s="25">
        <v>1</v>
      </c>
      <c r="GL267" s="25">
        <v>1</v>
      </c>
      <c r="GM267" s="25">
        <v>1</v>
      </c>
      <c r="GN267" s="25">
        <v>1</v>
      </c>
      <c r="GO267" s="25">
        <v>1</v>
      </c>
      <c r="GP267" s="25">
        <v>1</v>
      </c>
      <c r="GQ267" s="25">
        <v>1</v>
      </c>
      <c r="GR267" s="25">
        <v>1</v>
      </c>
      <c r="GS267" s="25">
        <v>1</v>
      </c>
      <c r="GT267" s="25">
        <v>1</v>
      </c>
      <c r="GU267" s="25">
        <v>1</v>
      </c>
      <c r="GV267" s="25" t="s">
        <v>1588</v>
      </c>
      <c r="GW267" s="25" t="s">
        <v>455</v>
      </c>
      <c r="GX267" s="25" t="s">
        <v>455</v>
      </c>
      <c r="GY267" s="25" t="s">
        <v>455</v>
      </c>
      <c r="GZ267" s="25" t="s">
        <v>455</v>
      </c>
      <c r="HA267" s="25" t="s">
        <v>455</v>
      </c>
      <c r="HB267" s="25" t="s">
        <v>455</v>
      </c>
      <c r="HC267" s="25" t="s">
        <v>455</v>
      </c>
      <c r="HD267" s="25" t="s">
        <v>455</v>
      </c>
      <c r="HE267" s="25" t="s">
        <v>455</v>
      </c>
      <c r="HF267" s="25" t="s">
        <v>455</v>
      </c>
      <c r="HG267" s="25" t="s">
        <v>455</v>
      </c>
      <c r="HH267" s="25" t="s">
        <v>455</v>
      </c>
      <c r="HI267" s="25"/>
      <c r="HJ267" s="25"/>
      <c r="HK267" s="25"/>
      <c r="HL267" s="25"/>
      <c r="HM267" s="84"/>
      <c r="HN267" s="84"/>
      <c r="HO267" s="84"/>
      <c r="HP267" s="84"/>
      <c r="HQ267" s="84"/>
      <c r="HR267" s="84"/>
      <c r="HS267" s="84"/>
      <c r="HT267" s="84"/>
      <c r="HU267" s="13"/>
      <c r="HV267" s="13"/>
      <c r="HW267" s="32"/>
      <c r="HX267" s="55"/>
      <c r="HY267" s="55"/>
      <c r="HZ267" s="55"/>
      <c r="IA267" s="55"/>
      <c r="IB267" s="55"/>
      <c r="IC267" s="55"/>
      <c r="ID267" s="55"/>
      <c r="IE267" s="55"/>
      <c r="IF267" s="107">
        <v>0</v>
      </c>
      <c r="IG267" s="107"/>
      <c r="IH267" s="250">
        <f t="shared" si="119"/>
        <v>0</v>
      </c>
      <c r="II267" s="55"/>
      <c r="IJ267" s="55"/>
      <c r="IK267" s="55"/>
      <c r="IL267" s="55"/>
      <c r="IM267" s="55"/>
      <c r="IN267" s="55"/>
      <c r="IO267" s="55"/>
      <c r="IP267" s="55"/>
      <c r="IQ267" s="55"/>
      <c r="IR267" s="55"/>
      <c r="IS267" s="55"/>
      <c r="IT267" s="55"/>
      <c r="IU267" s="55"/>
      <c r="IV267" s="55"/>
      <c r="IW267" s="55"/>
      <c r="IX267" s="55"/>
      <c r="IY267" s="55"/>
      <c r="IZ267" s="55"/>
      <c r="JA267" s="55"/>
      <c r="JB267" s="55"/>
      <c r="JC267" s="55"/>
      <c r="JD267" s="55">
        <v>2017</v>
      </c>
    </row>
    <row r="268" spans="1:264" s="5" customFormat="1" ht="20.100000000000001" hidden="1" customHeight="1">
      <c r="A268" s="26" t="s">
        <v>56</v>
      </c>
      <c r="B268" s="26" t="s">
        <v>203</v>
      </c>
      <c r="C268" s="13" t="s">
        <v>349</v>
      </c>
      <c r="D268" s="13" t="s">
        <v>380</v>
      </c>
      <c r="E268" s="16" t="s">
        <v>350</v>
      </c>
      <c r="F268" s="13" t="s">
        <v>356</v>
      </c>
      <c r="G268" s="26" t="s">
        <v>351</v>
      </c>
      <c r="H268" s="13" t="s">
        <v>1516</v>
      </c>
      <c r="I268" s="313" t="s">
        <v>415</v>
      </c>
      <c r="J268" s="26">
        <v>3</v>
      </c>
      <c r="K268" s="49" t="s">
        <v>375</v>
      </c>
      <c r="L268" s="38" t="s">
        <v>405</v>
      </c>
      <c r="M268" s="14" t="s">
        <v>233</v>
      </c>
      <c r="N268" s="20"/>
      <c r="O268" s="13" t="s">
        <v>206</v>
      </c>
      <c r="P268" s="13" t="s">
        <v>4</v>
      </c>
      <c r="Q268" s="22" t="s">
        <v>1118</v>
      </c>
      <c r="R268" s="38" t="s">
        <v>405</v>
      </c>
      <c r="S268" s="13" t="s">
        <v>677</v>
      </c>
      <c r="T268" s="13" t="s">
        <v>1387</v>
      </c>
      <c r="U268" s="13" t="s">
        <v>477</v>
      </c>
      <c r="V268" s="13" t="s">
        <v>678</v>
      </c>
      <c r="W268" s="13" t="s">
        <v>570</v>
      </c>
      <c r="X268" s="13" t="s">
        <v>570</v>
      </c>
      <c r="Y268" s="13" t="s">
        <v>503</v>
      </c>
      <c r="Z268" s="13" t="s">
        <v>503</v>
      </c>
      <c r="AA268" s="29"/>
      <c r="AB268" s="29">
        <v>18000</v>
      </c>
      <c r="AC268" s="29">
        <v>0</v>
      </c>
      <c r="AD268" s="29">
        <v>18000</v>
      </c>
      <c r="AE268" s="29">
        <v>0</v>
      </c>
      <c r="AF268" s="29">
        <f t="shared" si="121"/>
        <v>18000</v>
      </c>
      <c r="AG268" s="25">
        <v>0.12</v>
      </c>
      <c r="AH268" s="29">
        <f t="shared" si="116"/>
        <v>2160</v>
      </c>
      <c r="AI268" s="29">
        <f t="shared" si="117"/>
        <v>0</v>
      </c>
      <c r="AJ268" s="29">
        <f t="shared" si="118"/>
        <v>20160.000000000004</v>
      </c>
      <c r="AK268" s="29">
        <v>18000</v>
      </c>
      <c r="AL268" s="29">
        <f>AB268-AK268</f>
        <v>0</v>
      </c>
      <c r="AM268" s="126"/>
      <c r="AN268" s="29"/>
      <c r="AO268" s="29">
        <v>18000</v>
      </c>
      <c r="AP268" s="29"/>
      <c r="AQ268" s="29">
        <v>18000</v>
      </c>
      <c r="AR268" s="25">
        <v>0.14000000000000001</v>
      </c>
      <c r="AS268" s="25"/>
      <c r="AT268" s="29"/>
      <c r="AU268" s="29"/>
      <c r="AV268" s="29"/>
      <c r="AW268" s="29"/>
      <c r="AX268" s="29"/>
      <c r="AY268" s="29"/>
      <c r="AZ268" s="29"/>
      <c r="BA268" s="29"/>
      <c r="BB268" s="29"/>
      <c r="BC268" s="29"/>
      <c r="BD268" s="29"/>
      <c r="BE268" s="29"/>
      <c r="BF268" s="29">
        <f t="shared" si="123"/>
        <v>0</v>
      </c>
      <c r="BG268" s="29">
        <f t="shared" si="122"/>
        <v>0</v>
      </c>
      <c r="BH268" s="37"/>
      <c r="BI268" s="23" t="s">
        <v>570</v>
      </c>
      <c r="BJ268" s="23" t="s">
        <v>570</v>
      </c>
      <c r="BK268" s="23"/>
      <c r="BL268" s="23"/>
      <c r="BM268" s="23"/>
      <c r="BN268" s="13"/>
      <c r="BO268" s="13"/>
      <c r="BP268" s="13"/>
      <c r="BQ268" s="13"/>
      <c r="BR268" s="13"/>
      <c r="BS268" s="13"/>
      <c r="BT268" s="13"/>
      <c r="BU268" s="13"/>
      <c r="BV268" s="13"/>
      <c r="BW268" s="13" t="s">
        <v>570</v>
      </c>
      <c r="BX268" s="23">
        <v>42643</v>
      </c>
      <c r="BY268" s="13"/>
      <c r="BZ268" s="13"/>
      <c r="CA268" s="23">
        <v>42656</v>
      </c>
      <c r="CB268" s="224" t="s">
        <v>570</v>
      </c>
      <c r="CC268" s="224" t="s">
        <v>570</v>
      </c>
      <c r="CD268" s="224" t="s">
        <v>570</v>
      </c>
      <c r="CE268" s="23"/>
      <c r="CF268" s="23"/>
      <c r="CG268" s="23"/>
      <c r="CH268" s="23"/>
      <c r="CI268" s="23"/>
      <c r="CJ268" s="23"/>
      <c r="CK268" s="23"/>
      <c r="CL268" s="23"/>
      <c r="CM268" s="23"/>
      <c r="CN268" s="23"/>
      <c r="CO268" s="23"/>
      <c r="CP268" s="23"/>
      <c r="CQ268" s="23"/>
      <c r="CR268" s="23"/>
      <c r="CS268" s="29" t="s">
        <v>570</v>
      </c>
      <c r="CT268" s="29" t="s">
        <v>570</v>
      </c>
      <c r="CU268" s="29" t="s">
        <v>570</v>
      </c>
      <c r="CV268" s="23"/>
      <c r="CW268" s="30"/>
      <c r="CX268" s="134" t="s">
        <v>1431</v>
      </c>
      <c r="CY268" s="155">
        <v>42731</v>
      </c>
      <c r="CZ268" s="29">
        <v>4050</v>
      </c>
      <c r="DA268" s="161" t="s">
        <v>1432</v>
      </c>
      <c r="DB268" s="99">
        <v>42849</v>
      </c>
      <c r="DC268" s="54">
        <v>12150</v>
      </c>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31">
        <f t="shared" si="120"/>
        <v>16200</v>
      </c>
      <c r="DZ268" s="13"/>
      <c r="EA268" s="13"/>
      <c r="EB268" s="13"/>
      <c r="EC268" s="13"/>
      <c r="ED268" s="13"/>
      <c r="EE268" s="13"/>
      <c r="EF268" s="13"/>
      <c r="EG268" s="13">
        <v>270</v>
      </c>
      <c r="EH268" s="13" t="s">
        <v>548</v>
      </c>
      <c r="EI268" s="23">
        <v>42661</v>
      </c>
      <c r="EJ268" s="23">
        <f t="shared" si="124"/>
        <v>42931</v>
      </c>
      <c r="EK268" s="13"/>
      <c r="EL268" s="13"/>
      <c r="EM268" s="13"/>
      <c r="EN268" s="13"/>
      <c r="EO268" s="13"/>
      <c r="EP268" s="13"/>
      <c r="EQ268" s="13"/>
      <c r="ER268" s="13"/>
      <c r="ES268" s="13"/>
      <c r="ET268" s="13"/>
      <c r="EU268" s="13"/>
      <c r="EV268" s="13"/>
      <c r="EW268" s="13"/>
      <c r="EX268" s="13"/>
      <c r="EY268" s="13"/>
      <c r="EZ268" s="13"/>
      <c r="FA268" s="13"/>
      <c r="FB268" s="13"/>
      <c r="FC268" s="13"/>
      <c r="FD268" s="13"/>
      <c r="FE268" s="13"/>
      <c r="FF268" s="13"/>
      <c r="FG268" s="13"/>
      <c r="FH268" s="13"/>
      <c r="FI268" s="13"/>
      <c r="FJ268" s="13"/>
      <c r="FK268" s="13"/>
      <c r="FL268" s="13"/>
      <c r="FM268" s="13"/>
      <c r="FN268" s="13"/>
      <c r="FO268" s="13"/>
      <c r="FP268" s="13"/>
      <c r="FQ268" s="13"/>
      <c r="FR268" s="13"/>
      <c r="FS268" s="13"/>
      <c r="FT268" s="25" t="s">
        <v>1247</v>
      </c>
      <c r="FU268" s="25">
        <v>0.3</v>
      </c>
      <c r="FV268" s="25">
        <v>0.67449999999999999</v>
      </c>
      <c r="FW268" s="25">
        <v>0.75</v>
      </c>
      <c r="FX268" s="25">
        <v>0.85</v>
      </c>
      <c r="FY268" s="25">
        <v>1</v>
      </c>
      <c r="FZ268" s="25">
        <v>1</v>
      </c>
      <c r="GA268" s="25">
        <v>1</v>
      </c>
      <c r="GB268" s="25">
        <v>1</v>
      </c>
      <c r="GC268" s="25">
        <v>1</v>
      </c>
      <c r="GD268" s="25">
        <v>1</v>
      </c>
      <c r="GE268" s="25">
        <v>1</v>
      </c>
      <c r="GF268" s="25">
        <v>1</v>
      </c>
      <c r="GG268" s="25">
        <v>1</v>
      </c>
      <c r="GH268" s="25">
        <v>1</v>
      </c>
      <c r="GI268" s="25">
        <v>1</v>
      </c>
      <c r="GJ268" s="25">
        <v>1</v>
      </c>
      <c r="GK268" s="25">
        <v>1</v>
      </c>
      <c r="GL268" s="25">
        <v>1</v>
      </c>
      <c r="GM268" s="25">
        <v>1</v>
      </c>
      <c r="GN268" s="25">
        <v>1</v>
      </c>
      <c r="GO268" s="25">
        <v>1</v>
      </c>
      <c r="GP268" s="25">
        <v>1</v>
      </c>
      <c r="GQ268" s="25">
        <v>1</v>
      </c>
      <c r="GR268" s="25">
        <v>1</v>
      </c>
      <c r="GS268" s="25">
        <v>1</v>
      </c>
      <c r="GT268" s="25">
        <v>1</v>
      </c>
      <c r="GU268" s="25">
        <v>1</v>
      </c>
      <c r="GV268" s="25" t="s">
        <v>452</v>
      </c>
      <c r="GW268" s="25" t="s">
        <v>452</v>
      </c>
      <c r="GX268" s="25" t="s">
        <v>452</v>
      </c>
      <c r="GY268" s="25" t="s">
        <v>452</v>
      </c>
      <c r="GZ268" s="25" t="s">
        <v>452</v>
      </c>
      <c r="HA268" s="25" t="s">
        <v>452</v>
      </c>
      <c r="HB268" s="25" t="s">
        <v>452</v>
      </c>
      <c r="HC268" s="25" t="s">
        <v>452</v>
      </c>
      <c r="HD268" s="25" t="s">
        <v>452</v>
      </c>
      <c r="HE268" s="25" t="s">
        <v>452</v>
      </c>
      <c r="HF268" s="25" t="s">
        <v>452</v>
      </c>
      <c r="HG268" s="25" t="s">
        <v>452</v>
      </c>
      <c r="HH268" s="25" t="s">
        <v>452</v>
      </c>
      <c r="HI268" s="25"/>
      <c r="HJ268" s="25"/>
      <c r="HK268" s="25"/>
      <c r="HL268" s="25"/>
      <c r="HM268" s="84"/>
      <c r="HN268" s="84"/>
      <c r="HO268" s="84"/>
      <c r="HP268" s="84"/>
      <c r="HQ268" s="84"/>
      <c r="HR268" s="84"/>
      <c r="HS268" s="84"/>
      <c r="HT268" s="84"/>
      <c r="HU268" s="13"/>
      <c r="HV268" s="13"/>
      <c r="HW268" s="32"/>
      <c r="HX268" s="55"/>
      <c r="HY268" s="55"/>
      <c r="HZ268" s="55"/>
      <c r="IA268" s="55"/>
      <c r="IB268" s="55"/>
      <c r="IC268" s="55"/>
      <c r="ID268" s="55"/>
      <c r="IE268" s="55"/>
      <c r="IF268" s="107">
        <v>18000</v>
      </c>
      <c r="IG268" s="107">
        <v>18000</v>
      </c>
      <c r="IH268" s="250">
        <f t="shared" si="119"/>
        <v>0</v>
      </c>
      <c r="II268" s="55"/>
      <c r="IJ268" s="55"/>
      <c r="IK268" s="55"/>
      <c r="IL268" s="55"/>
      <c r="IM268" s="55"/>
      <c r="IN268" s="55"/>
      <c r="IO268" s="55"/>
      <c r="IP268" s="55"/>
      <c r="IQ268" s="55"/>
      <c r="IR268" s="55"/>
      <c r="IS268" s="55"/>
      <c r="IT268" s="55"/>
      <c r="IU268" s="55"/>
      <c r="IV268" s="55"/>
      <c r="IW268" s="55"/>
      <c r="IX268" s="55"/>
      <c r="IY268" s="55"/>
      <c r="IZ268" s="55"/>
      <c r="JA268" s="55"/>
      <c r="JB268" s="55"/>
      <c r="JC268" s="55"/>
      <c r="JD268" s="55">
        <v>2017</v>
      </c>
    </row>
    <row r="269" spans="1:264" s="5" customFormat="1" ht="24.95" hidden="1" customHeight="1">
      <c r="A269" s="26" t="s">
        <v>56</v>
      </c>
      <c r="B269" s="26" t="s">
        <v>203</v>
      </c>
      <c r="C269" s="13" t="s">
        <v>349</v>
      </c>
      <c r="D269" s="13" t="s">
        <v>380</v>
      </c>
      <c r="E269" s="16" t="s">
        <v>350</v>
      </c>
      <c r="F269" s="13" t="s">
        <v>356</v>
      </c>
      <c r="G269" s="26" t="s">
        <v>351</v>
      </c>
      <c r="H269" s="13" t="s">
        <v>1516</v>
      </c>
      <c r="I269" s="313" t="s">
        <v>63</v>
      </c>
      <c r="J269" s="26">
        <v>7</v>
      </c>
      <c r="K269" s="49" t="s">
        <v>375</v>
      </c>
      <c r="L269" s="38" t="s">
        <v>408</v>
      </c>
      <c r="M269" s="15" t="s">
        <v>234</v>
      </c>
      <c r="N269" s="20"/>
      <c r="O269" s="13" t="s">
        <v>206</v>
      </c>
      <c r="P269" s="13" t="s">
        <v>4</v>
      </c>
      <c r="Q269" s="22" t="s">
        <v>1118</v>
      </c>
      <c r="R269" s="38" t="s">
        <v>408</v>
      </c>
      <c r="S269" s="13" t="s">
        <v>679</v>
      </c>
      <c r="T269" s="13" t="s">
        <v>1387</v>
      </c>
      <c r="U269" s="13" t="s">
        <v>477</v>
      </c>
      <c r="V269" s="13" t="s">
        <v>680</v>
      </c>
      <c r="W269" s="13" t="s">
        <v>570</v>
      </c>
      <c r="X269" s="13" t="s">
        <v>570</v>
      </c>
      <c r="Y269" s="13" t="s">
        <v>503</v>
      </c>
      <c r="Z269" s="13" t="s">
        <v>503</v>
      </c>
      <c r="AA269" s="29"/>
      <c r="AB269" s="29">
        <v>12000</v>
      </c>
      <c r="AC269" s="29">
        <v>0</v>
      </c>
      <c r="AD269" s="29">
        <v>12000</v>
      </c>
      <c r="AE269" s="29">
        <v>0</v>
      </c>
      <c r="AF269" s="29">
        <f t="shared" si="121"/>
        <v>12000</v>
      </c>
      <c r="AG269" s="25">
        <v>0.12</v>
      </c>
      <c r="AH269" s="29">
        <f t="shared" si="116"/>
        <v>1440</v>
      </c>
      <c r="AI269" s="29">
        <f t="shared" si="117"/>
        <v>0</v>
      </c>
      <c r="AJ269" s="29">
        <f t="shared" si="118"/>
        <v>13440.000000000002</v>
      </c>
      <c r="AK269" s="29">
        <v>11975</v>
      </c>
      <c r="AL269" s="29">
        <f>AB269-AK269</f>
        <v>25</v>
      </c>
      <c r="AM269" s="29"/>
      <c r="AN269" s="29"/>
      <c r="AO269" s="29">
        <v>10000</v>
      </c>
      <c r="AP269" s="29"/>
      <c r="AQ269" s="29">
        <v>11975</v>
      </c>
      <c r="AR269" s="25">
        <v>0.14000000000000001</v>
      </c>
      <c r="AS269" s="25"/>
      <c r="AT269" s="29">
        <f>+AQ269*1.14</f>
        <v>13651.499999999998</v>
      </c>
      <c r="AU269" s="29"/>
      <c r="AV269" s="29"/>
      <c r="AW269" s="29"/>
      <c r="AX269" s="29"/>
      <c r="AY269" s="29"/>
      <c r="AZ269" s="29"/>
      <c r="BA269" s="29"/>
      <c r="BB269" s="29"/>
      <c r="BC269" s="29"/>
      <c r="BD269" s="29"/>
      <c r="BE269" s="29"/>
      <c r="BF269" s="29">
        <f t="shared" si="123"/>
        <v>25</v>
      </c>
      <c r="BG269" s="29">
        <f t="shared" si="122"/>
        <v>25</v>
      </c>
      <c r="BH269" s="37"/>
      <c r="BI269" s="23" t="s">
        <v>570</v>
      </c>
      <c r="BJ269" s="23" t="s">
        <v>570</v>
      </c>
      <c r="BK269" s="23"/>
      <c r="BL269" s="23"/>
      <c r="BM269" s="23"/>
      <c r="BN269" s="13"/>
      <c r="BO269" s="13"/>
      <c r="BP269" s="13"/>
      <c r="BQ269" s="13"/>
      <c r="BR269" s="13"/>
      <c r="BS269" s="13"/>
      <c r="BT269" s="13"/>
      <c r="BU269" s="13"/>
      <c r="BV269" s="13"/>
      <c r="BW269" s="13" t="s">
        <v>570</v>
      </c>
      <c r="BX269" s="23">
        <v>42640</v>
      </c>
      <c r="BY269" s="13"/>
      <c r="BZ269" s="13" t="s">
        <v>503</v>
      </c>
      <c r="CA269" s="23">
        <v>42655</v>
      </c>
      <c r="CB269" s="224" t="s">
        <v>570</v>
      </c>
      <c r="CC269" s="224" t="s">
        <v>570</v>
      </c>
      <c r="CD269" s="224" t="s">
        <v>570</v>
      </c>
      <c r="CE269" s="23"/>
      <c r="CF269" s="23"/>
      <c r="CG269" s="23"/>
      <c r="CH269" s="23"/>
      <c r="CI269" s="23"/>
      <c r="CJ269" s="23"/>
      <c r="CK269" s="23"/>
      <c r="CL269" s="23"/>
      <c r="CM269" s="23"/>
      <c r="CN269" s="23"/>
      <c r="CO269" s="23"/>
      <c r="CP269" s="23"/>
      <c r="CQ269" s="23"/>
      <c r="CR269" s="23"/>
      <c r="CS269" s="29" t="s">
        <v>570</v>
      </c>
      <c r="CT269" s="29" t="s">
        <v>570</v>
      </c>
      <c r="CU269" s="29" t="s">
        <v>570</v>
      </c>
      <c r="CV269" s="23"/>
      <c r="CW269" s="30"/>
      <c r="CX269" s="13"/>
      <c r="CY269" s="155"/>
      <c r="CZ269" s="29"/>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31">
        <f t="shared" si="120"/>
        <v>0</v>
      </c>
      <c r="DZ269" s="13"/>
      <c r="EA269" s="13"/>
      <c r="EB269" s="13"/>
      <c r="EC269" s="13"/>
      <c r="ED269" s="13"/>
      <c r="EE269" s="13"/>
      <c r="EF269" s="13"/>
      <c r="EG269" s="13">
        <v>270</v>
      </c>
      <c r="EH269" s="13" t="s">
        <v>548</v>
      </c>
      <c r="EI269" s="13" t="s">
        <v>503</v>
      </c>
      <c r="EJ269" s="13" t="s">
        <v>503</v>
      </c>
      <c r="EK269" s="13"/>
      <c r="EL269" s="13"/>
      <c r="EM269" s="13"/>
      <c r="EN269" s="13"/>
      <c r="EO269" s="13"/>
      <c r="EP269" s="13"/>
      <c r="EQ269" s="13"/>
      <c r="ER269" s="13"/>
      <c r="ES269" s="13"/>
      <c r="ET269" s="13"/>
      <c r="EU269" s="13"/>
      <c r="EV269" s="13"/>
      <c r="EW269" s="13"/>
      <c r="EX269" s="13"/>
      <c r="EY269" s="13"/>
      <c r="EZ269" s="13"/>
      <c r="FA269" s="13"/>
      <c r="FB269" s="13"/>
      <c r="FC269" s="13"/>
      <c r="FD269" s="13"/>
      <c r="FE269" s="13"/>
      <c r="FF269" s="13"/>
      <c r="FG269" s="13"/>
      <c r="FH269" s="13"/>
      <c r="FI269" s="13"/>
      <c r="FJ269" s="13"/>
      <c r="FK269" s="13"/>
      <c r="FL269" s="13"/>
      <c r="FM269" s="13"/>
      <c r="FN269" s="13"/>
      <c r="FO269" s="13"/>
      <c r="FP269" s="13"/>
      <c r="FQ269" s="13"/>
      <c r="FR269" s="13"/>
      <c r="FS269" s="13"/>
      <c r="FT269" s="13"/>
      <c r="FU269" s="25">
        <v>0</v>
      </c>
      <c r="FV269" s="25">
        <v>0</v>
      </c>
      <c r="FW269" s="25">
        <v>0</v>
      </c>
      <c r="FX269" s="25">
        <v>0</v>
      </c>
      <c r="FY269" s="25">
        <v>0</v>
      </c>
      <c r="FZ269" s="25">
        <v>0</v>
      </c>
      <c r="GA269" s="25">
        <v>0</v>
      </c>
      <c r="GB269" s="25">
        <v>0</v>
      </c>
      <c r="GC269" s="25">
        <v>0</v>
      </c>
      <c r="GD269" s="25">
        <v>0.27</v>
      </c>
      <c r="GE269" s="25">
        <v>0.27</v>
      </c>
      <c r="GF269" s="25">
        <v>0.39</v>
      </c>
      <c r="GG269" s="25">
        <v>0.39</v>
      </c>
      <c r="GH269" s="25">
        <v>1</v>
      </c>
      <c r="GI269" s="25">
        <v>1</v>
      </c>
      <c r="GJ269" s="25">
        <v>1</v>
      </c>
      <c r="GK269" s="25">
        <v>1</v>
      </c>
      <c r="GL269" s="25">
        <v>1</v>
      </c>
      <c r="GM269" s="25">
        <v>1</v>
      </c>
      <c r="GN269" s="25">
        <v>1</v>
      </c>
      <c r="GO269" s="25">
        <v>1</v>
      </c>
      <c r="GP269" s="25">
        <v>1</v>
      </c>
      <c r="GQ269" s="25">
        <v>1</v>
      </c>
      <c r="GR269" s="25">
        <v>1</v>
      </c>
      <c r="GS269" s="25">
        <v>1</v>
      </c>
      <c r="GT269" s="25">
        <v>1</v>
      </c>
      <c r="GU269" s="25">
        <v>1</v>
      </c>
      <c r="GV269" s="25" t="s">
        <v>1588</v>
      </c>
      <c r="GW269" s="25" t="s">
        <v>1588</v>
      </c>
      <c r="GX269" s="25" t="s">
        <v>1588</v>
      </c>
      <c r="GY269" s="25" t="s">
        <v>1588</v>
      </c>
      <c r="GZ269" s="25" t="s">
        <v>1588</v>
      </c>
      <c r="HA269" s="25" t="s">
        <v>1588</v>
      </c>
      <c r="HB269" s="25" t="s">
        <v>1588</v>
      </c>
      <c r="HC269" s="25" t="s">
        <v>455</v>
      </c>
      <c r="HD269" s="25" t="s">
        <v>455</v>
      </c>
      <c r="HE269" s="25" t="s">
        <v>455</v>
      </c>
      <c r="HF269" s="25" t="s">
        <v>455</v>
      </c>
      <c r="HG269" s="25" t="s">
        <v>455</v>
      </c>
      <c r="HH269" s="25" t="s">
        <v>455</v>
      </c>
      <c r="HI269" s="25" t="s">
        <v>1637</v>
      </c>
      <c r="HJ269" s="25"/>
      <c r="HK269" s="25"/>
      <c r="HL269" s="25" t="s">
        <v>1703</v>
      </c>
      <c r="HM269" s="84" t="s">
        <v>1734</v>
      </c>
      <c r="HN269" s="84" t="s">
        <v>1791</v>
      </c>
      <c r="HO269" s="84" t="s">
        <v>1886</v>
      </c>
      <c r="HP269" s="84"/>
      <c r="HQ269" s="84"/>
      <c r="HR269" s="84"/>
      <c r="HS269" s="84"/>
      <c r="HT269" s="84"/>
      <c r="HU269" s="13" t="s">
        <v>715</v>
      </c>
      <c r="HV269" s="13"/>
      <c r="HW269" s="32"/>
      <c r="HX269" s="55"/>
      <c r="HY269" s="55"/>
      <c r="HZ269" s="55"/>
      <c r="IA269" s="55"/>
      <c r="IB269" s="55"/>
      <c r="IC269" s="55"/>
      <c r="ID269" s="55"/>
      <c r="IE269" s="55"/>
      <c r="IF269" s="107">
        <v>12000</v>
      </c>
      <c r="IG269" s="107"/>
      <c r="IH269" s="250">
        <f t="shared" si="119"/>
        <v>11975</v>
      </c>
      <c r="II269" s="55"/>
      <c r="IJ269" s="55"/>
      <c r="IK269" s="55"/>
      <c r="IL269" s="55"/>
      <c r="IM269" s="55"/>
      <c r="IN269" s="55"/>
      <c r="IO269" s="55"/>
      <c r="IP269" s="55"/>
      <c r="IQ269" s="55"/>
      <c r="IR269" s="55"/>
      <c r="IS269" s="55"/>
      <c r="IT269" s="55"/>
      <c r="IU269" s="55"/>
      <c r="IV269" s="55"/>
      <c r="IW269" s="55"/>
      <c r="IX269" s="55"/>
      <c r="IY269" s="55"/>
      <c r="IZ269" s="55"/>
      <c r="JA269" s="55"/>
      <c r="JB269" s="55"/>
      <c r="JC269" s="55"/>
      <c r="JD269" s="55">
        <v>2019</v>
      </c>
    </row>
    <row r="270" spans="1:264" s="5" customFormat="1" ht="20.100000000000001" hidden="1" customHeight="1">
      <c r="A270" s="26" t="s">
        <v>56</v>
      </c>
      <c r="B270" s="26" t="s">
        <v>203</v>
      </c>
      <c r="C270" s="13" t="s">
        <v>349</v>
      </c>
      <c r="D270" s="13" t="s">
        <v>380</v>
      </c>
      <c r="E270" s="16" t="s">
        <v>360</v>
      </c>
      <c r="F270" s="13" t="s">
        <v>356</v>
      </c>
      <c r="G270" s="26" t="s">
        <v>354</v>
      </c>
      <c r="H270" s="13" t="s">
        <v>1516</v>
      </c>
      <c r="I270" s="313" t="s">
        <v>419</v>
      </c>
      <c r="J270" s="26">
        <v>8</v>
      </c>
      <c r="K270" s="49" t="s">
        <v>375</v>
      </c>
      <c r="L270" s="38" t="s">
        <v>409</v>
      </c>
      <c r="M270" s="392" t="s">
        <v>235</v>
      </c>
      <c r="N270" s="20" t="s">
        <v>1948</v>
      </c>
      <c r="O270" s="13" t="s">
        <v>206</v>
      </c>
      <c r="P270" s="13" t="s">
        <v>4</v>
      </c>
      <c r="Q270" s="22" t="s">
        <v>1118</v>
      </c>
      <c r="R270" s="38" t="s">
        <v>409</v>
      </c>
      <c r="S270" s="13" t="s">
        <v>691</v>
      </c>
      <c r="T270" s="13" t="s">
        <v>1387</v>
      </c>
      <c r="U270" s="13" t="s">
        <v>477</v>
      </c>
      <c r="V270" s="13" t="s">
        <v>692</v>
      </c>
      <c r="W270" s="13" t="s">
        <v>570</v>
      </c>
      <c r="X270" s="13" t="s">
        <v>570</v>
      </c>
      <c r="Y270" s="13" t="s">
        <v>693</v>
      </c>
      <c r="Z270" s="13" t="s">
        <v>503</v>
      </c>
      <c r="AA270" s="29">
        <v>3664.6377817225198</v>
      </c>
      <c r="AB270" s="29">
        <v>10000</v>
      </c>
      <c r="AC270" s="29">
        <v>3664.6377817225198</v>
      </c>
      <c r="AD270" s="29">
        <v>10000</v>
      </c>
      <c r="AE270" s="29">
        <v>0</v>
      </c>
      <c r="AF270" s="29">
        <f t="shared" si="121"/>
        <v>10000</v>
      </c>
      <c r="AG270" s="25">
        <v>0.12</v>
      </c>
      <c r="AH270" s="29">
        <f t="shared" si="116"/>
        <v>1200</v>
      </c>
      <c r="AI270" s="29">
        <f t="shared" si="117"/>
        <v>0</v>
      </c>
      <c r="AJ270" s="29">
        <f t="shared" si="118"/>
        <v>11200.000000000002</v>
      </c>
      <c r="AK270" s="29">
        <v>10000</v>
      </c>
      <c r="AL270" s="29">
        <f>AB270-AK270</f>
        <v>0</v>
      </c>
      <c r="AM270" s="126"/>
      <c r="AN270" s="29"/>
      <c r="AO270" s="29">
        <v>10000</v>
      </c>
      <c r="AP270" s="29"/>
      <c r="AQ270" s="29">
        <v>10000</v>
      </c>
      <c r="AR270" s="25">
        <v>0.14000000000000001</v>
      </c>
      <c r="AS270" s="25"/>
      <c r="AT270" s="29">
        <f>+AQ270*1.14</f>
        <v>11399.999999999998</v>
      </c>
      <c r="AU270" s="29"/>
      <c r="AV270" s="29"/>
      <c r="AW270" s="29"/>
      <c r="AX270" s="29"/>
      <c r="AY270" s="29"/>
      <c r="AZ270" s="29"/>
      <c r="BA270" s="29"/>
      <c r="BB270" s="29"/>
      <c r="BC270" s="29"/>
      <c r="BD270" s="29"/>
      <c r="BE270" s="29"/>
      <c r="BF270" s="29">
        <f t="shared" si="123"/>
        <v>0</v>
      </c>
      <c r="BG270" s="29">
        <f t="shared" si="122"/>
        <v>0</v>
      </c>
      <c r="BH270" s="37"/>
      <c r="BI270" s="23" t="s">
        <v>570</v>
      </c>
      <c r="BJ270" s="23" t="s">
        <v>570</v>
      </c>
      <c r="BK270" s="23"/>
      <c r="BL270" s="23"/>
      <c r="BM270" s="23"/>
      <c r="BN270" s="13"/>
      <c r="BO270" s="13"/>
      <c r="BP270" s="13"/>
      <c r="BQ270" s="13"/>
      <c r="BR270" s="13"/>
      <c r="BS270" s="13"/>
      <c r="BT270" s="13"/>
      <c r="BU270" s="13"/>
      <c r="BV270" s="13"/>
      <c r="BW270" s="13" t="s">
        <v>570</v>
      </c>
      <c r="BX270" s="23">
        <v>42639</v>
      </c>
      <c r="BY270" s="13" t="s">
        <v>570</v>
      </c>
      <c r="BZ270" s="13" t="s">
        <v>503</v>
      </c>
      <c r="CA270" s="23">
        <v>42646</v>
      </c>
      <c r="CB270" s="224" t="s">
        <v>570</v>
      </c>
      <c r="CC270" s="224" t="s">
        <v>570</v>
      </c>
      <c r="CD270" s="224" t="s">
        <v>570</v>
      </c>
      <c r="CE270" s="23"/>
      <c r="CF270" s="23"/>
      <c r="CG270" s="23"/>
      <c r="CH270" s="23"/>
      <c r="CI270" s="23"/>
      <c r="CJ270" s="23"/>
      <c r="CK270" s="23"/>
      <c r="CL270" s="23"/>
      <c r="CM270" s="23"/>
      <c r="CN270" s="23"/>
      <c r="CO270" s="23"/>
      <c r="CP270" s="23"/>
      <c r="CQ270" s="23"/>
      <c r="CR270" s="23"/>
      <c r="CS270" s="29" t="s">
        <v>570</v>
      </c>
      <c r="CT270" s="29" t="s">
        <v>570</v>
      </c>
      <c r="CU270" s="29" t="s">
        <v>570</v>
      </c>
      <c r="CV270" s="23" t="s">
        <v>570</v>
      </c>
      <c r="CW270" s="30">
        <v>0</v>
      </c>
      <c r="CX270" s="13"/>
      <c r="CY270" s="155"/>
      <c r="CZ270" s="29"/>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31">
        <f t="shared" si="120"/>
        <v>0</v>
      </c>
      <c r="DZ270" s="13"/>
      <c r="EA270" s="13"/>
      <c r="EB270" s="13"/>
      <c r="EC270" s="13"/>
      <c r="ED270" s="13"/>
      <c r="EE270" s="13"/>
      <c r="EF270" s="13"/>
      <c r="EG270" s="13">
        <v>240</v>
      </c>
      <c r="EH270" s="13" t="s">
        <v>548</v>
      </c>
      <c r="EI270" s="23">
        <v>42720</v>
      </c>
      <c r="EJ270" s="23">
        <f>EI270+EG270</f>
        <v>42960</v>
      </c>
      <c r="EK270" s="13"/>
      <c r="EL270" s="13"/>
      <c r="EM270" s="13"/>
      <c r="EN270" s="13"/>
      <c r="EO270" s="13"/>
      <c r="EP270" s="13"/>
      <c r="EQ270" s="13"/>
      <c r="ER270" s="13"/>
      <c r="ES270" s="13"/>
      <c r="ET270" s="13"/>
      <c r="EU270" s="13"/>
      <c r="EV270" s="13"/>
      <c r="EW270" s="13"/>
      <c r="EX270" s="13"/>
      <c r="EY270" s="13"/>
      <c r="EZ270" s="13"/>
      <c r="FA270" s="13"/>
      <c r="FB270" s="13"/>
      <c r="FC270" s="13"/>
      <c r="FD270" s="13"/>
      <c r="FE270" s="13"/>
      <c r="FF270" s="13"/>
      <c r="FG270" s="13"/>
      <c r="FH270" s="13"/>
      <c r="FI270" s="13"/>
      <c r="FJ270" s="13"/>
      <c r="FK270" s="13"/>
      <c r="FL270" s="13"/>
      <c r="FM270" s="13"/>
      <c r="FN270" s="13"/>
      <c r="FO270" s="13"/>
      <c r="FP270" s="13"/>
      <c r="FQ270" s="13"/>
      <c r="FR270" s="13"/>
      <c r="FS270" s="13"/>
      <c r="FT270" s="13"/>
      <c r="FU270" s="25" t="s">
        <v>1248</v>
      </c>
      <c r="FV270" s="25">
        <v>0.11</v>
      </c>
      <c r="FW270" s="25">
        <v>0.2</v>
      </c>
      <c r="FX270" s="25">
        <v>0.45</v>
      </c>
      <c r="FY270" s="25">
        <v>0.45</v>
      </c>
      <c r="FZ270" s="25">
        <v>0.97</v>
      </c>
      <c r="GA270" s="25">
        <v>1</v>
      </c>
      <c r="GB270" s="25">
        <v>1</v>
      </c>
      <c r="GC270" s="25">
        <v>1</v>
      </c>
      <c r="GD270" s="25">
        <v>1</v>
      </c>
      <c r="GE270" s="25">
        <v>1</v>
      </c>
      <c r="GF270" s="25">
        <v>1</v>
      </c>
      <c r="GG270" s="25">
        <v>1</v>
      </c>
      <c r="GH270" s="25">
        <v>1</v>
      </c>
      <c r="GI270" s="25">
        <v>1</v>
      </c>
      <c r="GJ270" s="25">
        <v>1</v>
      </c>
      <c r="GK270" s="25">
        <v>1</v>
      </c>
      <c r="GL270" s="25">
        <v>1</v>
      </c>
      <c r="GM270" s="25">
        <v>1</v>
      </c>
      <c r="GN270" s="25">
        <v>1</v>
      </c>
      <c r="GO270" s="25">
        <v>1</v>
      </c>
      <c r="GP270" s="25">
        <v>1</v>
      </c>
      <c r="GQ270" s="25">
        <v>1</v>
      </c>
      <c r="GR270" s="25">
        <v>1</v>
      </c>
      <c r="GS270" s="25">
        <v>1</v>
      </c>
      <c r="GT270" s="25">
        <v>1</v>
      </c>
      <c r="GU270" s="25">
        <v>1</v>
      </c>
      <c r="GV270" s="25" t="s">
        <v>452</v>
      </c>
      <c r="GW270" s="25" t="s">
        <v>452</v>
      </c>
      <c r="GX270" s="25" t="s">
        <v>452</v>
      </c>
      <c r="GY270" s="25" t="s">
        <v>452</v>
      </c>
      <c r="GZ270" s="25" t="s">
        <v>452</v>
      </c>
      <c r="HA270" s="25" t="s">
        <v>452</v>
      </c>
      <c r="HB270" s="25" t="s">
        <v>452</v>
      </c>
      <c r="HC270" s="25" t="s">
        <v>452</v>
      </c>
      <c r="HD270" s="25" t="s">
        <v>452</v>
      </c>
      <c r="HE270" s="25" t="s">
        <v>452</v>
      </c>
      <c r="HF270" s="25" t="s">
        <v>452</v>
      </c>
      <c r="HG270" s="25" t="s">
        <v>452</v>
      </c>
      <c r="HH270" s="25" t="s">
        <v>452</v>
      </c>
      <c r="HI270" s="25"/>
      <c r="HJ270" s="25"/>
      <c r="HK270" s="25"/>
      <c r="HL270" s="25"/>
      <c r="HM270" s="84"/>
      <c r="HN270" s="84"/>
      <c r="HO270" s="84"/>
      <c r="HP270" s="84"/>
      <c r="HQ270" s="84"/>
      <c r="HR270" s="84"/>
      <c r="HS270" s="84"/>
      <c r="HT270" s="84"/>
      <c r="HU270" s="13"/>
      <c r="HV270" s="13"/>
      <c r="HW270" s="32"/>
      <c r="HX270" s="55"/>
      <c r="HY270" s="55"/>
      <c r="HZ270" s="55"/>
      <c r="IA270" s="55"/>
      <c r="IB270" s="55"/>
      <c r="IC270" s="55"/>
      <c r="ID270" s="55"/>
      <c r="IE270" s="55"/>
      <c r="IF270" s="107">
        <v>10000</v>
      </c>
      <c r="IG270" s="107">
        <v>10000</v>
      </c>
      <c r="IH270" s="250">
        <f t="shared" si="119"/>
        <v>0</v>
      </c>
      <c r="II270" s="55"/>
      <c r="IJ270" s="55"/>
      <c r="IK270" s="55"/>
      <c r="IL270" s="55"/>
      <c r="IM270" s="55"/>
      <c r="IN270" s="55"/>
      <c r="IO270" s="55"/>
      <c r="IP270" s="55"/>
      <c r="IQ270" s="55"/>
      <c r="IR270" s="55"/>
      <c r="IS270" s="55"/>
      <c r="IT270" s="55"/>
      <c r="IU270" s="55"/>
      <c r="IV270" s="55"/>
      <c r="IW270" s="55"/>
      <c r="IX270" s="55"/>
      <c r="IY270" s="55"/>
      <c r="IZ270" s="55"/>
      <c r="JA270" s="55"/>
      <c r="JB270" s="55"/>
      <c r="JC270" s="55"/>
      <c r="JD270" s="55">
        <v>2017</v>
      </c>
    </row>
    <row r="271" spans="1:264" s="5" customFormat="1" ht="20.100000000000001" hidden="1" customHeight="1">
      <c r="A271" s="26" t="s">
        <v>56</v>
      </c>
      <c r="B271" s="26" t="s">
        <v>203</v>
      </c>
      <c r="C271" s="13" t="s">
        <v>349</v>
      </c>
      <c r="D271" s="13" t="s">
        <v>380</v>
      </c>
      <c r="E271" s="16" t="s">
        <v>360</v>
      </c>
      <c r="F271" s="13" t="s">
        <v>356</v>
      </c>
      <c r="G271" s="26" t="s">
        <v>354</v>
      </c>
      <c r="H271" s="13" t="s">
        <v>1516</v>
      </c>
      <c r="I271" s="313" t="s">
        <v>420</v>
      </c>
      <c r="J271" s="26">
        <v>9</v>
      </c>
      <c r="K271" s="49" t="s">
        <v>375</v>
      </c>
      <c r="L271" s="38" t="s">
        <v>409</v>
      </c>
      <c r="M271" s="397"/>
      <c r="N271" s="20" t="s">
        <v>1949</v>
      </c>
      <c r="O271" s="13" t="s">
        <v>206</v>
      </c>
      <c r="P271" s="13" t="s">
        <v>4</v>
      </c>
      <c r="Q271" s="22" t="s">
        <v>1118</v>
      </c>
      <c r="R271" s="38" t="s">
        <v>409</v>
      </c>
      <c r="S271" s="13" t="s">
        <v>691</v>
      </c>
      <c r="T271" s="13" t="s">
        <v>1387</v>
      </c>
      <c r="U271" s="13" t="s">
        <v>477</v>
      </c>
      <c r="V271" s="13" t="s">
        <v>692</v>
      </c>
      <c r="W271" s="13" t="s">
        <v>570</v>
      </c>
      <c r="X271" s="13" t="s">
        <v>570</v>
      </c>
      <c r="Y271" s="13" t="s">
        <v>693</v>
      </c>
      <c r="Z271" s="13" t="s">
        <v>503</v>
      </c>
      <c r="AA271" s="29">
        <v>3195.0976660524993</v>
      </c>
      <c r="AB271" s="29">
        <v>0</v>
      </c>
      <c r="AC271" s="29">
        <v>3195.0976660524993</v>
      </c>
      <c r="AD271" s="29"/>
      <c r="AE271" s="29">
        <v>0</v>
      </c>
      <c r="AF271" s="29">
        <f t="shared" si="121"/>
        <v>0</v>
      </c>
      <c r="AG271" s="25">
        <v>0.12</v>
      </c>
      <c r="AH271" s="29">
        <f t="shared" si="116"/>
        <v>0</v>
      </c>
      <c r="AI271" s="29">
        <f t="shared" si="117"/>
        <v>0</v>
      </c>
      <c r="AJ271" s="29">
        <f t="shared" si="118"/>
        <v>0</v>
      </c>
      <c r="AK271" s="29"/>
      <c r="AL271" s="29"/>
      <c r="AM271" s="126"/>
      <c r="AN271" s="29"/>
      <c r="AO271" s="29"/>
      <c r="AP271" s="29"/>
      <c r="AQ271" s="29"/>
      <c r="AR271" s="29"/>
      <c r="AS271" s="29"/>
      <c r="AT271" s="29"/>
      <c r="AU271" s="29"/>
      <c r="AV271" s="29"/>
      <c r="AW271" s="29"/>
      <c r="AX271" s="29"/>
      <c r="AY271" s="29"/>
      <c r="AZ271" s="29"/>
      <c r="BA271" s="29"/>
      <c r="BB271" s="29"/>
      <c r="BC271" s="29"/>
      <c r="BD271" s="29"/>
      <c r="BE271" s="29"/>
      <c r="BF271" s="29">
        <f t="shared" si="123"/>
        <v>0</v>
      </c>
      <c r="BG271" s="29">
        <f t="shared" si="122"/>
        <v>0</v>
      </c>
      <c r="BH271" s="37"/>
      <c r="BI271" s="23" t="s">
        <v>570</v>
      </c>
      <c r="BJ271" s="23" t="s">
        <v>570</v>
      </c>
      <c r="BK271" s="23"/>
      <c r="BL271" s="23"/>
      <c r="BM271" s="23"/>
      <c r="BN271" s="13"/>
      <c r="BO271" s="13"/>
      <c r="BP271" s="13"/>
      <c r="BQ271" s="13"/>
      <c r="BR271" s="13"/>
      <c r="BS271" s="13"/>
      <c r="BT271" s="13"/>
      <c r="BU271" s="13"/>
      <c r="BV271" s="13"/>
      <c r="BW271" s="13" t="s">
        <v>570</v>
      </c>
      <c r="BX271" s="23">
        <v>42639</v>
      </c>
      <c r="BY271" s="13" t="s">
        <v>570</v>
      </c>
      <c r="BZ271" s="13" t="s">
        <v>503</v>
      </c>
      <c r="CA271" s="23">
        <v>42646</v>
      </c>
      <c r="CB271" s="224" t="s">
        <v>570</v>
      </c>
      <c r="CC271" s="224" t="s">
        <v>570</v>
      </c>
      <c r="CD271" s="224" t="s">
        <v>570</v>
      </c>
      <c r="CE271" s="23"/>
      <c r="CF271" s="23"/>
      <c r="CG271" s="23"/>
      <c r="CH271" s="23"/>
      <c r="CI271" s="23"/>
      <c r="CJ271" s="23"/>
      <c r="CK271" s="23"/>
      <c r="CL271" s="23"/>
      <c r="CM271" s="23"/>
      <c r="CN271" s="23"/>
      <c r="CO271" s="23"/>
      <c r="CP271" s="23"/>
      <c r="CQ271" s="23"/>
      <c r="CR271" s="23"/>
      <c r="CS271" s="29" t="s">
        <v>570</v>
      </c>
      <c r="CT271" s="29" t="s">
        <v>570</v>
      </c>
      <c r="CU271" s="29" t="s">
        <v>570</v>
      </c>
      <c r="CV271" s="23" t="s">
        <v>570</v>
      </c>
      <c r="CW271" s="30">
        <v>0</v>
      </c>
      <c r="CX271" s="13"/>
      <c r="CY271" s="155"/>
      <c r="CZ271" s="29"/>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31">
        <f t="shared" si="120"/>
        <v>0</v>
      </c>
      <c r="DZ271" s="13"/>
      <c r="EA271" s="13"/>
      <c r="EB271" s="13"/>
      <c r="EC271" s="13"/>
      <c r="ED271" s="13"/>
      <c r="EE271" s="13"/>
      <c r="EF271" s="13"/>
      <c r="EG271" s="13">
        <v>240</v>
      </c>
      <c r="EH271" s="13" t="s">
        <v>548</v>
      </c>
      <c r="EI271" s="23">
        <v>42720</v>
      </c>
      <c r="EJ271" s="23">
        <f>EI271+EG271</f>
        <v>42960</v>
      </c>
      <c r="EK271" s="13"/>
      <c r="EL271" s="13"/>
      <c r="EM271" s="13"/>
      <c r="EN271" s="13"/>
      <c r="EO271" s="13"/>
      <c r="EP271" s="13"/>
      <c r="EQ271" s="13"/>
      <c r="ER271" s="13"/>
      <c r="ES271" s="13"/>
      <c r="ET271" s="13"/>
      <c r="EU271" s="13"/>
      <c r="EV271" s="13"/>
      <c r="EW271" s="13"/>
      <c r="EX271" s="13"/>
      <c r="EY271" s="13"/>
      <c r="EZ271" s="13"/>
      <c r="FA271" s="13"/>
      <c r="FB271" s="13"/>
      <c r="FC271" s="13"/>
      <c r="FD271" s="13"/>
      <c r="FE271" s="13"/>
      <c r="FF271" s="13"/>
      <c r="FG271" s="13"/>
      <c r="FH271" s="13"/>
      <c r="FI271" s="13"/>
      <c r="FJ271" s="13"/>
      <c r="FK271" s="13"/>
      <c r="FL271" s="13"/>
      <c r="FM271" s="13"/>
      <c r="FN271" s="13"/>
      <c r="FO271" s="13"/>
      <c r="FP271" s="13"/>
      <c r="FQ271" s="13"/>
      <c r="FR271" s="13"/>
      <c r="FS271" s="13"/>
      <c r="FT271" s="13"/>
      <c r="FU271" s="25" t="s">
        <v>1248</v>
      </c>
      <c r="FV271" s="25">
        <v>0.11</v>
      </c>
      <c r="FW271" s="25">
        <v>0.2</v>
      </c>
      <c r="FX271" s="25">
        <v>0.45</v>
      </c>
      <c r="FY271" s="25">
        <v>0.45</v>
      </c>
      <c r="FZ271" s="25">
        <v>0.97</v>
      </c>
      <c r="GA271" s="25">
        <v>1</v>
      </c>
      <c r="GB271" s="25">
        <v>1</v>
      </c>
      <c r="GC271" s="25">
        <v>1</v>
      </c>
      <c r="GD271" s="25">
        <v>1</v>
      </c>
      <c r="GE271" s="25">
        <v>1</v>
      </c>
      <c r="GF271" s="25">
        <v>1</v>
      </c>
      <c r="GG271" s="25">
        <v>1</v>
      </c>
      <c r="GH271" s="25">
        <v>1</v>
      </c>
      <c r="GI271" s="25">
        <v>1</v>
      </c>
      <c r="GJ271" s="25">
        <v>1</v>
      </c>
      <c r="GK271" s="25">
        <v>1</v>
      </c>
      <c r="GL271" s="25">
        <v>1</v>
      </c>
      <c r="GM271" s="25">
        <v>1</v>
      </c>
      <c r="GN271" s="25">
        <v>1</v>
      </c>
      <c r="GO271" s="25">
        <v>1</v>
      </c>
      <c r="GP271" s="25">
        <v>1</v>
      </c>
      <c r="GQ271" s="25">
        <v>1</v>
      </c>
      <c r="GR271" s="25">
        <v>1</v>
      </c>
      <c r="GS271" s="25">
        <v>1</v>
      </c>
      <c r="GT271" s="25">
        <v>1</v>
      </c>
      <c r="GU271" s="25">
        <v>1</v>
      </c>
      <c r="GV271" s="25" t="s">
        <v>452</v>
      </c>
      <c r="GW271" s="25" t="s">
        <v>452</v>
      </c>
      <c r="GX271" s="25" t="s">
        <v>452</v>
      </c>
      <c r="GY271" s="25" t="s">
        <v>452</v>
      </c>
      <c r="GZ271" s="25" t="s">
        <v>452</v>
      </c>
      <c r="HA271" s="25" t="s">
        <v>452</v>
      </c>
      <c r="HB271" s="25" t="s">
        <v>452</v>
      </c>
      <c r="HC271" s="25" t="s">
        <v>452</v>
      </c>
      <c r="HD271" s="25" t="s">
        <v>452</v>
      </c>
      <c r="HE271" s="25" t="s">
        <v>452</v>
      </c>
      <c r="HF271" s="25" t="s">
        <v>452</v>
      </c>
      <c r="HG271" s="25" t="s">
        <v>452</v>
      </c>
      <c r="HH271" s="25" t="s">
        <v>452</v>
      </c>
      <c r="HI271" s="25"/>
      <c r="HJ271" s="25"/>
      <c r="HK271" s="25"/>
      <c r="HL271" s="25"/>
      <c r="HM271" s="84"/>
      <c r="HN271" s="84"/>
      <c r="HO271" s="84"/>
      <c r="HP271" s="84"/>
      <c r="HQ271" s="84"/>
      <c r="HR271" s="84"/>
      <c r="HS271" s="84"/>
      <c r="HT271" s="84"/>
      <c r="HU271" s="13"/>
      <c r="HV271" s="13"/>
      <c r="HW271" s="32"/>
      <c r="HX271" s="55"/>
      <c r="HY271" s="55"/>
      <c r="HZ271" s="55"/>
      <c r="IA271" s="55"/>
      <c r="IB271" s="55"/>
      <c r="IC271" s="55"/>
      <c r="ID271" s="55"/>
      <c r="IE271" s="55"/>
      <c r="IF271" s="107">
        <v>0</v>
      </c>
      <c r="IG271" s="107"/>
      <c r="IH271" s="250">
        <f t="shared" si="119"/>
        <v>0</v>
      </c>
      <c r="II271" s="55"/>
      <c r="IJ271" s="55"/>
      <c r="IK271" s="55"/>
      <c r="IL271" s="55"/>
      <c r="IM271" s="55"/>
      <c r="IN271" s="55"/>
      <c r="IO271" s="55"/>
      <c r="IP271" s="55"/>
      <c r="IQ271" s="55"/>
      <c r="IR271" s="55"/>
      <c r="IS271" s="55"/>
      <c r="IT271" s="55"/>
      <c r="IU271" s="55"/>
      <c r="IV271" s="55"/>
      <c r="IW271" s="55"/>
      <c r="IX271" s="55"/>
      <c r="IY271" s="55"/>
      <c r="IZ271" s="55"/>
      <c r="JA271" s="55"/>
      <c r="JB271" s="55"/>
      <c r="JC271" s="55"/>
      <c r="JD271" s="55">
        <v>2017</v>
      </c>
    </row>
    <row r="272" spans="1:264" s="5" customFormat="1" ht="20.100000000000001" hidden="1" customHeight="1">
      <c r="A272" s="26" t="s">
        <v>56</v>
      </c>
      <c r="B272" s="26" t="s">
        <v>203</v>
      </c>
      <c r="C272" s="13" t="s">
        <v>349</v>
      </c>
      <c r="D272" s="13" t="s">
        <v>380</v>
      </c>
      <c r="E272" s="16" t="s">
        <v>360</v>
      </c>
      <c r="F272" s="13" t="s">
        <v>356</v>
      </c>
      <c r="G272" s="26" t="s">
        <v>354</v>
      </c>
      <c r="H272" s="13" t="s">
        <v>1516</v>
      </c>
      <c r="I272" s="313" t="s">
        <v>421</v>
      </c>
      <c r="J272" s="26">
        <v>10</v>
      </c>
      <c r="K272" s="49" t="s">
        <v>375</v>
      </c>
      <c r="L272" s="38" t="s">
        <v>409</v>
      </c>
      <c r="M272" s="393"/>
      <c r="N272" s="20" t="s">
        <v>1950</v>
      </c>
      <c r="O272" s="13" t="s">
        <v>206</v>
      </c>
      <c r="P272" s="13" t="s">
        <v>4</v>
      </c>
      <c r="Q272" s="22" t="s">
        <v>1118</v>
      </c>
      <c r="R272" s="38" t="s">
        <v>409</v>
      </c>
      <c r="S272" s="13" t="s">
        <v>691</v>
      </c>
      <c r="T272" s="13" t="s">
        <v>1387</v>
      </c>
      <c r="U272" s="13" t="s">
        <v>477</v>
      </c>
      <c r="V272" s="13" t="s">
        <v>692</v>
      </c>
      <c r="W272" s="13" t="s">
        <v>570</v>
      </c>
      <c r="X272" s="13" t="s">
        <v>570</v>
      </c>
      <c r="Y272" s="13" t="s">
        <v>693</v>
      </c>
      <c r="Z272" s="13" t="s">
        <v>503</v>
      </c>
      <c r="AA272" s="29">
        <v>3140.2643838061967</v>
      </c>
      <c r="AB272" s="29">
        <v>0</v>
      </c>
      <c r="AC272" s="29">
        <v>3140.2643838061967</v>
      </c>
      <c r="AD272" s="29"/>
      <c r="AE272" s="29">
        <v>0</v>
      </c>
      <c r="AF272" s="29">
        <f t="shared" si="121"/>
        <v>0</v>
      </c>
      <c r="AG272" s="25">
        <v>0.12</v>
      </c>
      <c r="AH272" s="29">
        <f t="shared" si="116"/>
        <v>0</v>
      </c>
      <c r="AI272" s="29">
        <f t="shared" si="117"/>
        <v>0</v>
      </c>
      <c r="AJ272" s="29">
        <f t="shared" si="118"/>
        <v>0</v>
      </c>
      <c r="AK272" s="29"/>
      <c r="AL272" s="29"/>
      <c r="AM272" s="126"/>
      <c r="AN272" s="29"/>
      <c r="AO272" s="29"/>
      <c r="AP272" s="29"/>
      <c r="AQ272" s="29"/>
      <c r="AR272" s="29"/>
      <c r="AS272" s="29"/>
      <c r="AT272" s="29"/>
      <c r="AU272" s="29"/>
      <c r="AV272" s="29"/>
      <c r="AW272" s="29"/>
      <c r="AX272" s="29"/>
      <c r="AY272" s="29"/>
      <c r="AZ272" s="29"/>
      <c r="BA272" s="29"/>
      <c r="BB272" s="29"/>
      <c r="BC272" s="29"/>
      <c r="BD272" s="29"/>
      <c r="BE272" s="29"/>
      <c r="BF272" s="29">
        <f t="shared" si="123"/>
        <v>0</v>
      </c>
      <c r="BG272" s="29">
        <f t="shared" si="122"/>
        <v>0</v>
      </c>
      <c r="BH272" s="37"/>
      <c r="BI272" s="23" t="s">
        <v>570</v>
      </c>
      <c r="BJ272" s="23" t="s">
        <v>570</v>
      </c>
      <c r="BK272" s="23"/>
      <c r="BL272" s="23"/>
      <c r="BM272" s="23"/>
      <c r="BN272" s="13"/>
      <c r="BO272" s="13"/>
      <c r="BP272" s="13"/>
      <c r="BQ272" s="13"/>
      <c r="BR272" s="13"/>
      <c r="BS272" s="13"/>
      <c r="BT272" s="13"/>
      <c r="BU272" s="13"/>
      <c r="BV272" s="13"/>
      <c r="BW272" s="13" t="s">
        <v>570</v>
      </c>
      <c r="BX272" s="23">
        <v>42639</v>
      </c>
      <c r="BY272" s="13" t="s">
        <v>570</v>
      </c>
      <c r="BZ272" s="13" t="s">
        <v>503</v>
      </c>
      <c r="CA272" s="23">
        <v>42646</v>
      </c>
      <c r="CB272" s="224" t="s">
        <v>570</v>
      </c>
      <c r="CC272" s="224" t="s">
        <v>570</v>
      </c>
      <c r="CD272" s="224" t="s">
        <v>570</v>
      </c>
      <c r="CE272" s="23"/>
      <c r="CF272" s="23"/>
      <c r="CG272" s="23"/>
      <c r="CH272" s="23"/>
      <c r="CI272" s="23"/>
      <c r="CJ272" s="23"/>
      <c r="CK272" s="23"/>
      <c r="CL272" s="23"/>
      <c r="CM272" s="23"/>
      <c r="CN272" s="23"/>
      <c r="CO272" s="23"/>
      <c r="CP272" s="23"/>
      <c r="CQ272" s="23"/>
      <c r="CR272" s="23"/>
      <c r="CS272" s="29" t="s">
        <v>570</v>
      </c>
      <c r="CT272" s="29" t="s">
        <v>570</v>
      </c>
      <c r="CU272" s="29" t="s">
        <v>570</v>
      </c>
      <c r="CV272" s="23" t="s">
        <v>570</v>
      </c>
      <c r="CW272" s="30">
        <v>0</v>
      </c>
      <c r="CX272" s="13"/>
      <c r="CY272" s="155"/>
      <c r="CZ272" s="29"/>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31">
        <f t="shared" si="120"/>
        <v>0</v>
      </c>
      <c r="DZ272" s="13"/>
      <c r="EA272" s="13"/>
      <c r="EB272" s="13"/>
      <c r="EC272" s="13"/>
      <c r="ED272" s="13"/>
      <c r="EE272" s="13"/>
      <c r="EF272" s="13"/>
      <c r="EG272" s="13">
        <v>240</v>
      </c>
      <c r="EH272" s="13" t="s">
        <v>548</v>
      </c>
      <c r="EI272" s="23">
        <v>42720</v>
      </c>
      <c r="EJ272" s="23">
        <f>EI272+EG272</f>
        <v>42960</v>
      </c>
      <c r="EK272" s="13"/>
      <c r="EL272" s="13"/>
      <c r="EM272" s="13"/>
      <c r="EN272" s="13"/>
      <c r="EO272" s="13"/>
      <c r="EP272" s="13"/>
      <c r="EQ272" s="13"/>
      <c r="ER272" s="13"/>
      <c r="ES272" s="13"/>
      <c r="ET272" s="13"/>
      <c r="EU272" s="13"/>
      <c r="EV272" s="13"/>
      <c r="EW272" s="13"/>
      <c r="EX272" s="13"/>
      <c r="EY272" s="13"/>
      <c r="EZ272" s="13"/>
      <c r="FA272" s="13"/>
      <c r="FB272" s="13"/>
      <c r="FC272" s="13"/>
      <c r="FD272" s="13"/>
      <c r="FE272" s="13"/>
      <c r="FF272" s="13"/>
      <c r="FG272" s="13"/>
      <c r="FH272" s="13"/>
      <c r="FI272" s="13"/>
      <c r="FJ272" s="13"/>
      <c r="FK272" s="13"/>
      <c r="FL272" s="13"/>
      <c r="FM272" s="13"/>
      <c r="FN272" s="13"/>
      <c r="FO272" s="13"/>
      <c r="FP272" s="13"/>
      <c r="FQ272" s="13"/>
      <c r="FR272" s="13"/>
      <c r="FS272" s="13"/>
      <c r="FT272" s="13"/>
      <c r="FU272" s="25" t="s">
        <v>1248</v>
      </c>
      <c r="FV272" s="25">
        <v>0.11</v>
      </c>
      <c r="FW272" s="25">
        <v>0.2</v>
      </c>
      <c r="FX272" s="25">
        <v>0.45</v>
      </c>
      <c r="FY272" s="25">
        <v>0.45</v>
      </c>
      <c r="FZ272" s="25">
        <v>0.97</v>
      </c>
      <c r="GA272" s="25">
        <v>1</v>
      </c>
      <c r="GB272" s="25">
        <v>1</v>
      </c>
      <c r="GC272" s="25">
        <v>1</v>
      </c>
      <c r="GD272" s="25">
        <v>1</v>
      </c>
      <c r="GE272" s="25">
        <v>1</v>
      </c>
      <c r="GF272" s="25">
        <v>1</v>
      </c>
      <c r="GG272" s="25">
        <v>1</v>
      </c>
      <c r="GH272" s="25">
        <v>1</v>
      </c>
      <c r="GI272" s="25">
        <v>1</v>
      </c>
      <c r="GJ272" s="25">
        <v>1</v>
      </c>
      <c r="GK272" s="25">
        <v>1</v>
      </c>
      <c r="GL272" s="25">
        <v>1</v>
      </c>
      <c r="GM272" s="25">
        <v>1</v>
      </c>
      <c r="GN272" s="25">
        <v>1</v>
      </c>
      <c r="GO272" s="25">
        <v>1</v>
      </c>
      <c r="GP272" s="25">
        <v>1</v>
      </c>
      <c r="GQ272" s="25">
        <v>1</v>
      </c>
      <c r="GR272" s="25">
        <v>1</v>
      </c>
      <c r="GS272" s="25">
        <v>1</v>
      </c>
      <c r="GT272" s="25">
        <v>1</v>
      </c>
      <c r="GU272" s="25">
        <v>1</v>
      </c>
      <c r="GV272" s="25" t="s">
        <v>452</v>
      </c>
      <c r="GW272" s="25" t="s">
        <v>452</v>
      </c>
      <c r="GX272" s="25" t="s">
        <v>452</v>
      </c>
      <c r="GY272" s="25" t="s">
        <v>452</v>
      </c>
      <c r="GZ272" s="25" t="s">
        <v>452</v>
      </c>
      <c r="HA272" s="25" t="s">
        <v>452</v>
      </c>
      <c r="HB272" s="25" t="s">
        <v>452</v>
      </c>
      <c r="HC272" s="25" t="s">
        <v>452</v>
      </c>
      <c r="HD272" s="25" t="s">
        <v>452</v>
      </c>
      <c r="HE272" s="25" t="s">
        <v>452</v>
      </c>
      <c r="HF272" s="25" t="s">
        <v>452</v>
      </c>
      <c r="HG272" s="25" t="s">
        <v>452</v>
      </c>
      <c r="HH272" s="25" t="s">
        <v>452</v>
      </c>
      <c r="HI272" s="25"/>
      <c r="HJ272" s="25"/>
      <c r="HK272" s="25"/>
      <c r="HL272" s="25"/>
      <c r="HM272" s="84"/>
      <c r="HN272" s="84"/>
      <c r="HO272" s="84"/>
      <c r="HP272" s="84"/>
      <c r="HQ272" s="84"/>
      <c r="HR272" s="84"/>
      <c r="HS272" s="84"/>
      <c r="HT272" s="84"/>
      <c r="HU272" s="13"/>
      <c r="HV272" s="13"/>
      <c r="HW272" s="32"/>
      <c r="HX272" s="55"/>
      <c r="HY272" s="55"/>
      <c r="HZ272" s="55"/>
      <c r="IA272" s="55"/>
      <c r="IB272" s="55"/>
      <c r="IC272" s="55"/>
      <c r="ID272" s="55"/>
      <c r="IE272" s="55"/>
      <c r="IF272" s="107">
        <v>0</v>
      </c>
      <c r="IG272" s="107"/>
      <c r="IH272" s="250">
        <f t="shared" si="119"/>
        <v>0</v>
      </c>
      <c r="II272" s="55"/>
      <c r="IJ272" s="55"/>
      <c r="IK272" s="55"/>
      <c r="IL272" s="55"/>
      <c r="IM272" s="55"/>
      <c r="IN272" s="55"/>
      <c r="IO272" s="55"/>
      <c r="IP272" s="55"/>
      <c r="IQ272" s="55"/>
      <c r="IR272" s="55"/>
      <c r="IS272" s="55"/>
      <c r="IT272" s="55"/>
      <c r="IU272" s="55"/>
      <c r="IV272" s="55"/>
      <c r="IW272" s="55"/>
      <c r="IX272" s="55"/>
      <c r="IY272" s="55"/>
      <c r="IZ272" s="55"/>
      <c r="JA272" s="55"/>
      <c r="JB272" s="55"/>
      <c r="JC272" s="55"/>
      <c r="JD272" s="55">
        <v>2017</v>
      </c>
    </row>
    <row r="273" spans="1:265" s="5" customFormat="1" ht="20.100000000000001" hidden="1" customHeight="1">
      <c r="A273" s="26" t="s">
        <v>56</v>
      </c>
      <c r="B273" s="26" t="s">
        <v>203</v>
      </c>
      <c r="C273" s="13" t="s">
        <v>349</v>
      </c>
      <c r="D273" s="13" t="s">
        <v>380</v>
      </c>
      <c r="E273" s="16" t="s">
        <v>360</v>
      </c>
      <c r="F273" s="13" t="s">
        <v>356</v>
      </c>
      <c r="G273" s="26" t="s">
        <v>354</v>
      </c>
      <c r="H273" s="13" t="s">
        <v>1516</v>
      </c>
      <c r="I273" s="313" t="s">
        <v>65</v>
      </c>
      <c r="J273" s="26">
        <v>11</v>
      </c>
      <c r="K273" s="49" t="s">
        <v>375</v>
      </c>
      <c r="L273" s="38" t="s">
        <v>410</v>
      </c>
      <c r="M273" s="14" t="s">
        <v>236</v>
      </c>
      <c r="N273" s="20"/>
      <c r="O273" s="13" t="s">
        <v>206</v>
      </c>
      <c r="P273" s="13" t="s">
        <v>4</v>
      </c>
      <c r="Q273" s="22" t="s">
        <v>1118</v>
      </c>
      <c r="R273" s="38" t="s">
        <v>410</v>
      </c>
      <c r="S273" s="13" t="s">
        <v>673</v>
      </c>
      <c r="T273" s="13" t="s">
        <v>1387</v>
      </c>
      <c r="U273" s="13" t="s">
        <v>477</v>
      </c>
      <c r="V273" s="13" t="s">
        <v>694</v>
      </c>
      <c r="W273" s="13" t="s">
        <v>570</v>
      </c>
      <c r="X273" s="13" t="s">
        <v>570</v>
      </c>
      <c r="Y273" s="13" t="s">
        <v>688</v>
      </c>
      <c r="Z273" s="13" t="s">
        <v>503</v>
      </c>
      <c r="AA273" s="29"/>
      <c r="AB273" s="29">
        <v>10000</v>
      </c>
      <c r="AC273" s="29">
        <v>0</v>
      </c>
      <c r="AD273" s="29">
        <v>10000</v>
      </c>
      <c r="AE273" s="29">
        <v>0</v>
      </c>
      <c r="AF273" s="29">
        <f t="shared" si="121"/>
        <v>10000</v>
      </c>
      <c r="AG273" s="25">
        <v>0.12</v>
      </c>
      <c r="AH273" s="29">
        <f t="shared" si="116"/>
        <v>1200</v>
      </c>
      <c r="AI273" s="29">
        <f t="shared" si="117"/>
        <v>0</v>
      </c>
      <c r="AJ273" s="29">
        <f t="shared" si="118"/>
        <v>11200.000000000002</v>
      </c>
      <c r="AK273" s="29">
        <v>10000</v>
      </c>
      <c r="AL273" s="29">
        <f>AB273-AK273</f>
        <v>0</v>
      </c>
      <c r="AM273" s="126"/>
      <c r="AN273" s="29"/>
      <c r="AO273" s="29">
        <v>10000</v>
      </c>
      <c r="AP273" s="29"/>
      <c r="AQ273" s="29">
        <v>10000</v>
      </c>
      <c r="AR273" s="25">
        <v>0.14000000000000001</v>
      </c>
      <c r="AS273" s="25"/>
      <c r="AT273" s="29">
        <f>+AQ273*1.14</f>
        <v>11399.999999999998</v>
      </c>
      <c r="AU273" s="29"/>
      <c r="AV273" s="29"/>
      <c r="AW273" s="29"/>
      <c r="AX273" s="29"/>
      <c r="AY273" s="29"/>
      <c r="AZ273" s="29"/>
      <c r="BA273" s="29"/>
      <c r="BB273" s="29"/>
      <c r="BC273" s="29"/>
      <c r="BD273" s="29"/>
      <c r="BE273" s="29"/>
      <c r="BF273" s="29">
        <f t="shared" si="123"/>
        <v>0</v>
      </c>
      <c r="BG273" s="29">
        <f t="shared" si="122"/>
        <v>0</v>
      </c>
      <c r="BH273" s="37"/>
      <c r="BI273" s="23" t="s">
        <v>570</v>
      </c>
      <c r="BJ273" s="23" t="s">
        <v>570</v>
      </c>
      <c r="BK273" s="23"/>
      <c r="BL273" s="23"/>
      <c r="BM273" s="23"/>
      <c r="BN273" s="13"/>
      <c r="BO273" s="13"/>
      <c r="BP273" s="13"/>
      <c r="BQ273" s="13"/>
      <c r="BR273" s="13"/>
      <c r="BS273" s="13"/>
      <c r="BT273" s="13"/>
      <c r="BU273" s="13"/>
      <c r="BV273" s="13"/>
      <c r="BW273" s="13" t="s">
        <v>570</v>
      </c>
      <c r="BX273" s="23">
        <v>42649</v>
      </c>
      <c r="BY273" s="13" t="s">
        <v>570</v>
      </c>
      <c r="BZ273" s="13" t="s">
        <v>503</v>
      </c>
      <c r="CA273" s="23">
        <v>42656</v>
      </c>
      <c r="CB273" s="224" t="s">
        <v>570</v>
      </c>
      <c r="CC273" s="224" t="s">
        <v>570</v>
      </c>
      <c r="CD273" s="224" t="s">
        <v>570</v>
      </c>
      <c r="CE273" s="23"/>
      <c r="CF273" s="23"/>
      <c r="CG273" s="23"/>
      <c r="CH273" s="23"/>
      <c r="CI273" s="23"/>
      <c r="CJ273" s="23"/>
      <c r="CK273" s="23"/>
      <c r="CL273" s="23"/>
      <c r="CM273" s="23"/>
      <c r="CN273" s="23"/>
      <c r="CO273" s="23"/>
      <c r="CP273" s="23"/>
      <c r="CQ273" s="23"/>
      <c r="CR273" s="23"/>
      <c r="CS273" s="29" t="s">
        <v>570</v>
      </c>
      <c r="CT273" s="29" t="s">
        <v>570</v>
      </c>
      <c r="CU273" s="29" t="s">
        <v>570</v>
      </c>
      <c r="CV273" s="23" t="s">
        <v>570</v>
      </c>
      <c r="CW273" s="30">
        <v>0</v>
      </c>
      <c r="CX273" s="13"/>
      <c r="CY273" s="155"/>
      <c r="CZ273" s="29"/>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31">
        <f t="shared" si="120"/>
        <v>0</v>
      </c>
      <c r="DZ273" s="13"/>
      <c r="EA273" s="13"/>
      <c r="EB273" s="13"/>
      <c r="EC273" s="13"/>
      <c r="ED273" s="13"/>
      <c r="EE273" s="13"/>
      <c r="EF273" s="13"/>
      <c r="EG273" s="13">
        <v>270</v>
      </c>
      <c r="EH273" s="13" t="s">
        <v>548</v>
      </c>
      <c r="EI273" s="23">
        <v>42720</v>
      </c>
      <c r="EJ273" s="23">
        <f>EI273+EG273</f>
        <v>42990</v>
      </c>
      <c r="EK273" s="13"/>
      <c r="EL273" s="13"/>
      <c r="EM273" s="13"/>
      <c r="EN273" s="13"/>
      <c r="EO273" s="13"/>
      <c r="EP273" s="13"/>
      <c r="EQ273" s="13"/>
      <c r="ER273" s="13"/>
      <c r="ES273" s="13"/>
      <c r="ET273" s="13"/>
      <c r="EU273" s="13"/>
      <c r="EV273" s="13"/>
      <c r="EW273" s="13"/>
      <c r="EX273" s="13"/>
      <c r="EY273" s="13"/>
      <c r="EZ273" s="13"/>
      <c r="FA273" s="13"/>
      <c r="FB273" s="13"/>
      <c r="FC273" s="13"/>
      <c r="FD273" s="13"/>
      <c r="FE273" s="13"/>
      <c r="FF273" s="13"/>
      <c r="FG273" s="13"/>
      <c r="FH273" s="13"/>
      <c r="FI273" s="13"/>
      <c r="FJ273" s="13"/>
      <c r="FK273" s="13"/>
      <c r="FL273" s="13"/>
      <c r="FM273" s="13"/>
      <c r="FN273" s="13"/>
      <c r="FO273" s="13"/>
      <c r="FP273" s="13"/>
      <c r="FQ273" s="13"/>
      <c r="FR273" s="13"/>
      <c r="FS273" s="13"/>
      <c r="FT273" s="13"/>
      <c r="FU273" s="25">
        <v>0</v>
      </c>
      <c r="FV273" s="25">
        <v>0.05</v>
      </c>
      <c r="FW273" s="25">
        <v>0.09</v>
      </c>
      <c r="FX273" s="25">
        <v>0.7</v>
      </c>
      <c r="FY273" s="25">
        <v>0.7</v>
      </c>
      <c r="FZ273" s="25">
        <v>0.97</v>
      </c>
      <c r="GA273" s="25">
        <v>0.98</v>
      </c>
      <c r="GB273" s="25">
        <v>0.98</v>
      </c>
      <c r="GC273" s="25">
        <v>1</v>
      </c>
      <c r="GD273" s="25">
        <v>1</v>
      </c>
      <c r="GE273" s="25">
        <v>1</v>
      </c>
      <c r="GF273" s="25">
        <v>1</v>
      </c>
      <c r="GG273" s="25">
        <v>1</v>
      </c>
      <c r="GH273" s="25">
        <v>1</v>
      </c>
      <c r="GI273" s="25">
        <v>1</v>
      </c>
      <c r="GJ273" s="25">
        <v>1</v>
      </c>
      <c r="GK273" s="25">
        <v>1</v>
      </c>
      <c r="GL273" s="25">
        <v>1</v>
      </c>
      <c r="GM273" s="25">
        <v>1</v>
      </c>
      <c r="GN273" s="25">
        <v>1</v>
      </c>
      <c r="GO273" s="25">
        <v>1</v>
      </c>
      <c r="GP273" s="25">
        <v>1</v>
      </c>
      <c r="GQ273" s="25">
        <v>1</v>
      </c>
      <c r="GR273" s="25">
        <v>1</v>
      </c>
      <c r="GS273" s="25">
        <v>1</v>
      </c>
      <c r="GT273" s="25">
        <v>1</v>
      </c>
      <c r="GU273" s="25">
        <v>1</v>
      </c>
      <c r="GV273" s="25" t="s">
        <v>1588</v>
      </c>
      <c r="GW273" s="25" t="s">
        <v>1588</v>
      </c>
      <c r="GX273" s="25" t="s">
        <v>1588</v>
      </c>
      <c r="GY273" s="25" t="s">
        <v>1588</v>
      </c>
      <c r="GZ273" s="25" t="s">
        <v>1588</v>
      </c>
      <c r="HA273" s="25" t="s">
        <v>455</v>
      </c>
      <c r="HB273" s="25" t="s">
        <v>455</v>
      </c>
      <c r="HC273" s="25" t="s">
        <v>455</v>
      </c>
      <c r="HD273" s="25" t="s">
        <v>455</v>
      </c>
      <c r="HE273" s="25" t="s">
        <v>455</v>
      </c>
      <c r="HF273" s="25" t="s">
        <v>455</v>
      </c>
      <c r="HG273" s="25" t="s">
        <v>455</v>
      </c>
      <c r="HH273" s="25" t="s">
        <v>455</v>
      </c>
      <c r="HI273" s="25"/>
      <c r="HJ273" s="25"/>
      <c r="HK273" s="25"/>
      <c r="HL273" s="25" t="s">
        <v>1704</v>
      </c>
      <c r="HM273" s="84" t="s">
        <v>1704</v>
      </c>
      <c r="HN273" s="84"/>
      <c r="HO273" s="84"/>
      <c r="HP273" s="84"/>
      <c r="HQ273" s="84"/>
      <c r="HR273" s="84"/>
      <c r="HS273" s="84"/>
      <c r="HT273" s="84"/>
      <c r="HU273" s="13"/>
      <c r="HV273" s="13"/>
      <c r="HW273" s="32"/>
      <c r="HX273" s="55"/>
      <c r="HY273" s="55"/>
      <c r="HZ273" s="55"/>
      <c r="IA273" s="55"/>
      <c r="IB273" s="55"/>
      <c r="IC273" s="55"/>
      <c r="ID273" s="55"/>
      <c r="IE273" s="55"/>
      <c r="IF273" s="107">
        <v>10000</v>
      </c>
      <c r="IG273" s="107">
        <v>10000</v>
      </c>
      <c r="IH273" s="250">
        <f t="shared" si="119"/>
        <v>0</v>
      </c>
      <c r="II273" s="55"/>
      <c r="IJ273" s="55"/>
      <c r="IK273" s="55"/>
      <c r="IL273" s="55"/>
      <c r="IM273" s="55"/>
      <c r="IN273" s="55"/>
      <c r="IO273" s="55"/>
      <c r="IP273" s="55"/>
      <c r="IQ273" s="55"/>
      <c r="IR273" s="55"/>
      <c r="IS273" s="55"/>
      <c r="IT273" s="55"/>
      <c r="IU273" s="55"/>
      <c r="IV273" s="55"/>
      <c r="IW273" s="55"/>
      <c r="IX273" s="55"/>
      <c r="IY273" s="55"/>
      <c r="IZ273" s="55"/>
      <c r="JA273" s="55"/>
      <c r="JB273" s="55"/>
      <c r="JC273" s="55"/>
      <c r="JD273" s="55">
        <v>2017</v>
      </c>
    </row>
    <row r="274" spans="1:265" s="5" customFormat="1" ht="24.95" hidden="1" customHeight="1">
      <c r="A274" s="26" t="s">
        <v>56</v>
      </c>
      <c r="B274" s="26" t="s">
        <v>203</v>
      </c>
      <c r="C274" s="13" t="s">
        <v>349</v>
      </c>
      <c r="D274" s="13" t="s">
        <v>380</v>
      </c>
      <c r="E274" s="13" t="s">
        <v>360</v>
      </c>
      <c r="F274" s="13" t="s">
        <v>356</v>
      </c>
      <c r="G274" s="26" t="s">
        <v>354</v>
      </c>
      <c r="H274" s="13" t="s">
        <v>1516</v>
      </c>
      <c r="I274" s="313" t="s">
        <v>66</v>
      </c>
      <c r="J274" s="26">
        <v>12</v>
      </c>
      <c r="K274" s="49" t="s">
        <v>375</v>
      </c>
      <c r="L274" s="38" t="s">
        <v>411</v>
      </c>
      <c r="M274" s="15" t="s">
        <v>237</v>
      </c>
      <c r="N274" s="20"/>
      <c r="O274" s="13" t="s">
        <v>206</v>
      </c>
      <c r="P274" s="13" t="s">
        <v>4</v>
      </c>
      <c r="Q274" s="22" t="s">
        <v>364</v>
      </c>
      <c r="R274" s="38" t="s">
        <v>411</v>
      </c>
      <c r="S274" s="13" t="s">
        <v>695</v>
      </c>
      <c r="T274" s="13" t="s">
        <v>1387</v>
      </c>
      <c r="U274" s="13" t="s">
        <v>477</v>
      </c>
      <c r="V274" s="13" t="s">
        <v>696</v>
      </c>
      <c r="W274" s="13" t="s">
        <v>570</v>
      </c>
      <c r="X274" s="13" t="s">
        <v>570</v>
      </c>
      <c r="Y274" s="13" t="s">
        <v>697</v>
      </c>
      <c r="Z274" s="13" t="s">
        <v>503</v>
      </c>
      <c r="AA274" s="29"/>
      <c r="AB274" s="29">
        <v>13000</v>
      </c>
      <c r="AC274" s="29">
        <v>0</v>
      </c>
      <c r="AD274" s="29">
        <v>13000</v>
      </c>
      <c r="AE274" s="29">
        <v>0</v>
      </c>
      <c r="AF274" s="29">
        <f t="shared" si="121"/>
        <v>13000</v>
      </c>
      <c r="AG274" s="25">
        <v>0.12</v>
      </c>
      <c r="AH274" s="29">
        <f t="shared" si="116"/>
        <v>1560</v>
      </c>
      <c r="AI274" s="29">
        <f t="shared" si="117"/>
        <v>0</v>
      </c>
      <c r="AJ274" s="29">
        <f t="shared" si="118"/>
        <v>14560.000000000002</v>
      </c>
      <c r="AK274" s="29"/>
      <c r="AL274" s="29"/>
      <c r="AM274" s="126"/>
      <c r="AN274" s="29"/>
      <c r="AO274" s="29">
        <v>13000</v>
      </c>
      <c r="AP274" s="29"/>
      <c r="AQ274" s="29">
        <v>13000</v>
      </c>
      <c r="AR274" s="25">
        <v>0.14000000000000001</v>
      </c>
      <c r="AS274" s="25"/>
      <c r="AT274" s="29">
        <f>+AQ274*1.14</f>
        <v>14819.999999999998</v>
      </c>
      <c r="AU274" s="29"/>
      <c r="AV274" s="29"/>
      <c r="AW274" s="29"/>
      <c r="AX274" s="29"/>
      <c r="AY274" s="29"/>
      <c r="AZ274" s="29"/>
      <c r="BA274" s="29"/>
      <c r="BB274" s="29"/>
      <c r="BC274" s="29"/>
      <c r="BD274" s="29"/>
      <c r="BE274" s="29"/>
      <c r="BF274" s="29">
        <f t="shared" si="123"/>
        <v>0</v>
      </c>
      <c r="BG274" s="29">
        <f t="shared" si="122"/>
        <v>0</v>
      </c>
      <c r="BH274" s="37"/>
      <c r="BI274" s="23" t="s">
        <v>570</v>
      </c>
      <c r="BJ274" s="23" t="s">
        <v>570</v>
      </c>
      <c r="BK274" s="23"/>
      <c r="BL274" s="23"/>
      <c r="BM274" s="23"/>
      <c r="BN274" s="13"/>
      <c r="BO274" s="13"/>
      <c r="BP274" s="13"/>
      <c r="BQ274" s="13"/>
      <c r="BR274" s="13"/>
      <c r="BS274" s="13"/>
      <c r="BT274" s="13"/>
      <c r="BU274" s="13"/>
      <c r="BV274" s="13"/>
      <c r="BW274" s="13" t="s">
        <v>570</v>
      </c>
      <c r="BX274" s="23">
        <v>42656</v>
      </c>
      <c r="BY274" s="13" t="s">
        <v>570</v>
      </c>
      <c r="BZ274" s="13" t="s">
        <v>503</v>
      </c>
      <c r="CA274" s="23">
        <v>42668</v>
      </c>
      <c r="CB274" s="224" t="s">
        <v>570</v>
      </c>
      <c r="CC274" s="224" t="s">
        <v>570</v>
      </c>
      <c r="CD274" s="224" t="s">
        <v>570</v>
      </c>
      <c r="CE274" s="23"/>
      <c r="CF274" s="23"/>
      <c r="CG274" s="23"/>
      <c r="CH274" s="23"/>
      <c r="CI274" s="23"/>
      <c r="CJ274" s="23"/>
      <c r="CK274" s="23"/>
      <c r="CL274" s="23"/>
      <c r="CM274" s="23"/>
      <c r="CN274" s="23"/>
      <c r="CO274" s="23"/>
      <c r="CP274" s="23"/>
      <c r="CQ274" s="23"/>
      <c r="CR274" s="23"/>
      <c r="CS274" s="29" t="s">
        <v>570</v>
      </c>
      <c r="CT274" s="29" t="s">
        <v>570</v>
      </c>
      <c r="CU274" s="29" t="s">
        <v>570</v>
      </c>
      <c r="CV274" s="23" t="s">
        <v>570</v>
      </c>
      <c r="CW274" s="30">
        <v>0</v>
      </c>
      <c r="CX274" s="13"/>
      <c r="CY274" s="155"/>
      <c r="CZ274" s="29"/>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31">
        <f t="shared" si="120"/>
        <v>0</v>
      </c>
      <c r="DZ274" s="13"/>
      <c r="EA274" s="13"/>
      <c r="EB274" s="13"/>
      <c r="EC274" s="13"/>
      <c r="ED274" s="13"/>
      <c r="EE274" s="13"/>
      <c r="EF274" s="13"/>
      <c r="EG274" s="13">
        <v>270</v>
      </c>
      <c r="EH274" s="13" t="s">
        <v>548</v>
      </c>
      <c r="EI274" s="13" t="s">
        <v>503</v>
      </c>
      <c r="EJ274" s="13" t="s">
        <v>503</v>
      </c>
      <c r="EK274" s="13"/>
      <c r="EL274" s="13"/>
      <c r="EM274" s="13"/>
      <c r="EN274" s="13"/>
      <c r="EO274" s="13"/>
      <c r="EP274" s="13"/>
      <c r="EQ274" s="13"/>
      <c r="ER274" s="13"/>
      <c r="ES274" s="13"/>
      <c r="ET274" s="13"/>
      <c r="EU274" s="13"/>
      <c r="EV274" s="13"/>
      <c r="EW274" s="13"/>
      <c r="EX274" s="13"/>
      <c r="EY274" s="13"/>
      <c r="EZ274" s="13"/>
      <c r="FA274" s="13"/>
      <c r="FB274" s="13"/>
      <c r="FC274" s="13"/>
      <c r="FD274" s="13"/>
      <c r="FE274" s="13"/>
      <c r="FF274" s="13"/>
      <c r="FG274" s="13"/>
      <c r="FH274" s="13"/>
      <c r="FI274" s="13"/>
      <c r="FJ274" s="13"/>
      <c r="FK274" s="13"/>
      <c r="FL274" s="13"/>
      <c r="FM274" s="13"/>
      <c r="FN274" s="13"/>
      <c r="FO274" s="13"/>
      <c r="FP274" s="13"/>
      <c r="FQ274" s="13"/>
      <c r="FR274" s="13"/>
      <c r="FS274" s="13"/>
      <c r="FT274" s="13"/>
      <c r="FU274" s="25">
        <v>0</v>
      </c>
      <c r="FV274" s="25">
        <v>0</v>
      </c>
      <c r="FW274" s="25">
        <v>0</v>
      </c>
      <c r="FX274" s="25">
        <v>0</v>
      </c>
      <c r="FY274" s="25">
        <v>0</v>
      </c>
      <c r="FZ274" s="25">
        <v>0</v>
      </c>
      <c r="GA274" s="25">
        <v>0</v>
      </c>
      <c r="GB274" s="25">
        <v>0</v>
      </c>
      <c r="GC274" s="25">
        <v>0</v>
      </c>
      <c r="GD274" s="25">
        <v>0.05</v>
      </c>
      <c r="GE274" s="25">
        <v>0.05</v>
      </c>
      <c r="GF274" s="25">
        <v>0.05</v>
      </c>
      <c r="GG274" s="25">
        <v>0.05</v>
      </c>
      <c r="GH274" s="25">
        <v>0.2</v>
      </c>
      <c r="GI274" s="25">
        <v>0.2</v>
      </c>
      <c r="GJ274" s="25">
        <v>0.2</v>
      </c>
      <c r="GK274" s="25">
        <v>0.2</v>
      </c>
      <c r="GL274" s="25">
        <v>0.2</v>
      </c>
      <c r="GM274" s="25">
        <v>0.2</v>
      </c>
      <c r="GN274" s="25">
        <v>0.44</v>
      </c>
      <c r="GO274" s="25">
        <v>0.44</v>
      </c>
      <c r="GP274" s="25">
        <v>0.7</v>
      </c>
      <c r="GQ274" s="25">
        <v>0.7</v>
      </c>
      <c r="GR274" s="25">
        <v>0.7</v>
      </c>
      <c r="GS274" s="25">
        <v>0.7</v>
      </c>
      <c r="GT274" s="25">
        <v>1</v>
      </c>
      <c r="GU274" s="25">
        <v>1</v>
      </c>
      <c r="GV274" s="25" t="s">
        <v>1588</v>
      </c>
      <c r="GW274" s="25" t="s">
        <v>1588</v>
      </c>
      <c r="GX274" s="25" t="s">
        <v>1588</v>
      </c>
      <c r="GY274" s="25" t="s">
        <v>1588</v>
      </c>
      <c r="GZ274" s="25" t="s">
        <v>1588</v>
      </c>
      <c r="HA274" s="25" t="s">
        <v>1588</v>
      </c>
      <c r="HB274" s="25" t="s">
        <v>1588</v>
      </c>
      <c r="HC274" s="25" t="s">
        <v>1588</v>
      </c>
      <c r="HD274" s="25" t="s">
        <v>1588</v>
      </c>
      <c r="HE274" s="25" t="s">
        <v>1588</v>
      </c>
      <c r="HF274" s="25" t="s">
        <v>1588</v>
      </c>
      <c r="HG274" s="25" t="s">
        <v>1588</v>
      </c>
      <c r="HH274" s="25" t="s">
        <v>1588</v>
      </c>
      <c r="HI274" s="25" t="s">
        <v>1636</v>
      </c>
      <c r="HJ274" s="25"/>
      <c r="HK274" s="25"/>
      <c r="HL274" s="25" t="s">
        <v>1683</v>
      </c>
      <c r="HM274" s="84" t="s">
        <v>1683</v>
      </c>
      <c r="HN274" s="84" t="s">
        <v>1790</v>
      </c>
      <c r="HO274" s="25" t="s">
        <v>1885</v>
      </c>
      <c r="HP274" s="25"/>
      <c r="HQ274" s="25"/>
      <c r="HR274" s="25"/>
      <c r="HS274" s="25" t="s">
        <v>2075</v>
      </c>
      <c r="HT274" s="25" t="s">
        <v>2075</v>
      </c>
      <c r="HU274" s="13" t="s">
        <v>715</v>
      </c>
      <c r="HV274" s="13"/>
      <c r="HW274" s="32"/>
      <c r="HX274" s="55"/>
      <c r="HY274" s="55"/>
      <c r="HZ274" s="55"/>
      <c r="IA274" s="55"/>
      <c r="IB274" s="55"/>
      <c r="IC274" s="55"/>
      <c r="ID274" s="55"/>
      <c r="IE274" s="55"/>
      <c r="IF274" s="107">
        <v>13000</v>
      </c>
      <c r="IG274" s="107"/>
      <c r="IH274" s="250">
        <f t="shared" si="119"/>
        <v>0</v>
      </c>
      <c r="II274" s="55"/>
      <c r="IJ274" s="55"/>
      <c r="IK274" s="55"/>
      <c r="IL274" s="55"/>
      <c r="IM274" s="55"/>
      <c r="IN274" s="55"/>
      <c r="IO274" s="55"/>
      <c r="IP274" s="55"/>
      <c r="IQ274" s="55"/>
      <c r="IR274" s="55"/>
      <c r="IS274" s="55"/>
      <c r="IT274" s="55"/>
      <c r="IU274" s="55"/>
      <c r="IV274" s="55"/>
      <c r="IW274" s="55"/>
      <c r="IX274" s="55"/>
      <c r="IY274" s="55"/>
      <c r="IZ274" s="55"/>
      <c r="JA274" s="55"/>
      <c r="JB274" s="55"/>
      <c r="JC274" s="55"/>
      <c r="JD274" s="55">
        <v>2019</v>
      </c>
      <c r="JE274" s="5" t="s">
        <v>2010</v>
      </c>
    </row>
    <row r="275" spans="1:265" s="5" customFormat="1" ht="20.100000000000001" hidden="1" customHeight="1">
      <c r="A275" s="26" t="s">
        <v>70</v>
      </c>
      <c r="B275" s="26" t="s">
        <v>203</v>
      </c>
      <c r="C275" s="13" t="s">
        <v>349</v>
      </c>
      <c r="D275" s="13" t="s">
        <v>380</v>
      </c>
      <c r="E275" s="16" t="s">
        <v>350</v>
      </c>
      <c r="F275" s="13" t="s">
        <v>356</v>
      </c>
      <c r="G275" s="26" t="s">
        <v>351</v>
      </c>
      <c r="H275" s="13" t="s">
        <v>1517</v>
      </c>
      <c r="I275" s="15" t="s">
        <v>855</v>
      </c>
      <c r="J275" s="26">
        <v>1</v>
      </c>
      <c r="K275" s="49" t="s">
        <v>375</v>
      </c>
      <c r="L275" s="314" t="s">
        <v>238</v>
      </c>
      <c r="M275" s="14" t="s">
        <v>239</v>
      </c>
      <c r="N275" s="43" t="s">
        <v>1965</v>
      </c>
      <c r="O275" s="13" t="s">
        <v>206</v>
      </c>
      <c r="P275" s="13" t="s">
        <v>4</v>
      </c>
      <c r="Q275" s="22" t="s">
        <v>1118</v>
      </c>
      <c r="R275" s="314" t="s">
        <v>238</v>
      </c>
      <c r="S275" s="13" t="s">
        <v>745</v>
      </c>
      <c r="T275" s="13" t="s">
        <v>1387</v>
      </c>
      <c r="U275" s="13" t="s">
        <v>477</v>
      </c>
      <c r="V275" s="13" t="s">
        <v>746</v>
      </c>
      <c r="W275" s="13" t="s">
        <v>570</v>
      </c>
      <c r="X275" s="13" t="s">
        <v>570</v>
      </c>
      <c r="Y275" s="13" t="s">
        <v>945</v>
      </c>
      <c r="Z275" s="13" t="s">
        <v>946</v>
      </c>
      <c r="AA275" s="29"/>
      <c r="AB275" s="29">
        <v>16255.26</v>
      </c>
      <c r="AC275" s="29">
        <v>0</v>
      </c>
      <c r="AD275" s="29">
        <v>16255.26</v>
      </c>
      <c r="AE275" s="29">
        <v>0</v>
      </c>
      <c r="AF275" s="29">
        <f t="shared" si="121"/>
        <v>16255.26</v>
      </c>
      <c r="AG275" s="25">
        <v>0.12</v>
      </c>
      <c r="AH275" s="29">
        <f t="shared" si="116"/>
        <v>1950.6312</v>
      </c>
      <c r="AI275" s="29">
        <f t="shared" si="117"/>
        <v>0</v>
      </c>
      <c r="AJ275" s="29">
        <f t="shared" si="118"/>
        <v>18205.891200000002</v>
      </c>
      <c r="AK275" s="29">
        <v>15871.64</v>
      </c>
      <c r="AL275" s="29">
        <f t="shared" ref="AL275:AL284" si="125">AB275-AK275</f>
        <v>383.6200000000008</v>
      </c>
      <c r="AM275" s="126"/>
      <c r="AN275" s="29"/>
      <c r="AO275" s="29">
        <v>16255.258928571426</v>
      </c>
      <c r="AP275" s="29"/>
      <c r="AQ275" s="29">
        <v>16255.258928571426</v>
      </c>
      <c r="AR275" s="29"/>
      <c r="AS275" s="29"/>
      <c r="AT275" s="29"/>
      <c r="AU275" s="29"/>
      <c r="AV275" s="29"/>
      <c r="AW275" s="29"/>
      <c r="AX275" s="29"/>
      <c r="AY275" s="29"/>
      <c r="AZ275" s="29"/>
      <c r="BA275" s="29"/>
      <c r="BB275" s="29"/>
      <c r="BC275" s="29"/>
      <c r="BD275" s="29"/>
      <c r="BE275" s="29"/>
      <c r="BF275" s="29">
        <f t="shared" si="123"/>
        <v>1.0714285745052621E-3</v>
      </c>
      <c r="BG275" s="29">
        <f t="shared" si="122"/>
        <v>1.0714285745052621E-3</v>
      </c>
      <c r="BH275" s="29"/>
      <c r="BI275" s="23" t="s">
        <v>570</v>
      </c>
      <c r="BJ275" s="23" t="s">
        <v>570</v>
      </c>
      <c r="BK275" s="23"/>
      <c r="BL275" s="23"/>
      <c r="BM275" s="23"/>
      <c r="BN275" s="13"/>
      <c r="BO275" s="13"/>
      <c r="BP275" s="13"/>
      <c r="BQ275" s="13"/>
      <c r="BR275" s="13"/>
      <c r="BS275" s="13"/>
      <c r="BT275" s="13"/>
      <c r="BU275" s="13"/>
      <c r="BV275" s="13"/>
      <c r="BW275" s="13" t="s">
        <v>570</v>
      </c>
      <c r="BX275" s="23">
        <v>42361</v>
      </c>
      <c r="BY275" s="13" t="s">
        <v>570</v>
      </c>
      <c r="BZ275" s="23">
        <v>42384</v>
      </c>
      <c r="CA275" s="23">
        <v>42397</v>
      </c>
      <c r="CB275" s="224" t="s">
        <v>570</v>
      </c>
      <c r="CC275" s="224" t="s">
        <v>570</v>
      </c>
      <c r="CD275" s="224" t="s">
        <v>570</v>
      </c>
      <c r="CE275" s="23"/>
      <c r="CF275" s="23"/>
      <c r="CG275" s="23"/>
      <c r="CH275" s="23"/>
      <c r="CI275" s="23"/>
      <c r="CJ275" s="23"/>
      <c r="CK275" s="23"/>
      <c r="CL275" s="23"/>
      <c r="CM275" s="23"/>
      <c r="CN275" s="23"/>
      <c r="CO275" s="23"/>
      <c r="CP275" s="23"/>
      <c r="CQ275" s="23"/>
      <c r="CR275" s="23"/>
      <c r="CS275" s="29" t="s">
        <v>570</v>
      </c>
      <c r="CT275" s="29" t="s">
        <v>570</v>
      </c>
      <c r="CU275" s="29" t="s">
        <v>570</v>
      </c>
      <c r="CV275" s="23"/>
      <c r="CW275" s="30"/>
      <c r="CX275" s="13"/>
      <c r="CY275" s="155">
        <v>42713</v>
      </c>
      <c r="CZ275" s="29">
        <v>7665.98</v>
      </c>
      <c r="DA275" s="13"/>
      <c r="DB275" s="155">
        <v>42731</v>
      </c>
      <c r="DC275" s="29">
        <v>8205.66</v>
      </c>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92">
        <f t="shared" si="120"/>
        <v>15871.64</v>
      </c>
      <c r="DZ275" s="93">
        <v>8589.2800000000007</v>
      </c>
      <c r="EA275" s="13"/>
      <c r="EB275" s="13"/>
      <c r="EC275" s="13"/>
      <c r="ED275" s="13"/>
      <c r="EE275" s="30">
        <f>DY275+DZ275+EA275+EB275+EC275+ED275</f>
        <v>24460.92</v>
      </c>
      <c r="EF275" s="30">
        <f>AQ275-EE275</f>
        <v>-8205.6610714285725</v>
      </c>
      <c r="EG275" s="13">
        <v>120</v>
      </c>
      <c r="EH275" s="13" t="s">
        <v>548</v>
      </c>
      <c r="EI275" s="13" t="s">
        <v>503</v>
      </c>
      <c r="EJ275" s="13" t="s">
        <v>503</v>
      </c>
      <c r="EK275" s="13"/>
      <c r="EL275" s="13"/>
      <c r="EM275" s="13"/>
      <c r="EN275" s="13"/>
      <c r="EO275" s="13"/>
      <c r="EP275" s="13"/>
      <c r="EQ275" s="13"/>
      <c r="ER275" s="13"/>
      <c r="ES275" s="13"/>
      <c r="ET275" s="13"/>
      <c r="EU275" s="13"/>
      <c r="EV275" s="13"/>
      <c r="EW275" s="13"/>
      <c r="EX275" s="13"/>
      <c r="EY275" s="13"/>
      <c r="EZ275" s="13"/>
      <c r="FA275" s="13"/>
      <c r="FB275" s="13"/>
      <c r="FC275" s="13"/>
      <c r="FD275" s="13"/>
      <c r="FE275" s="13"/>
      <c r="FF275" s="13" t="s">
        <v>503</v>
      </c>
      <c r="FG275" s="13"/>
      <c r="FH275" s="25"/>
      <c r="FI275" s="25"/>
      <c r="FJ275" s="25"/>
      <c r="FK275" s="25"/>
      <c r="FL275" s="25"/>
      <c r="FM275" s="25"/>
      <c r="FN275" s="25"/>
      <c r="FO275" s="25"/>
      <c r="FP275" s="25"/>
      <c r="FQ275" s="25"/>
      <c r="FR275" s="25"/>
      <c r="FS275" s="25">
        <v>1</v>
      </c>
      <c r="FT275" s="25">
        <v>1</v>
      </c>
      <c r="FU275" s="25">
        <v>0.95</v>
      </c>
      <c r="FV275" s="25">
        <v>0.95</v>
      </c>
      <c r="FW275" s="25">
        <v>0.95</v>
      </c>
      <c r="FX275" s="25">
        <v>0.95</v>
      </c>
      <c r="FY275" s="25">
        <v>1</v>
      </c>
      <c r="FZ275" s="25">
        <v>1</v>
      </c>
      <c r="GA275" s="25">
        <v>1</v>
      </c>
      <c r="GB275" s="25">
        <v>1</v>
      </c>
      <c r="GC275" s="25">
        <v>1</v>
      </c>
      <c r="GD275" s="25">
        <v>1</v>
      </c>
      <c r="GE275" s="25">
        <v>1</v>
      </c>
      <c r="GF275" s="25">
        <v>1</v>
      </c>
      <c r="GG275" s="25">
        <v>1</v>
      </c>
      <c r="GH275" s="25">
        <v>1</v>
      </c>
      <c r="GI275" s="25">
        <v>1</v>
      </c>
      <c r="GJ275" s="25">
        <v>1</v>
      </c>
      <c r="GK275" s="25">
        <v>1</v>
      </c>
      <c r="GL275" s="25">
        <v>1</v>
      </c>
      <c r="GM275" s="25">
        <v>1</v>
      </c>
      <c r="GN275" s="25">
        <v>1</v>
      </c>
      <c r="GO275" s="25">
        <v>1</v>
      </c>
      <c r="GP275" s="25">
        <v>1</v>
      </c>
      <c r="GQ275" s="25">
        <v>1</v>
      </c>
      <c r="GR275" s="25">
        <v>1</v>
      </c>
      <c r="GS275" s="25">
        <v>1</v>
      </c>
      <c r="GT275" s="25">
        <v>1</v>
      </c>
      <c r="GU275" s="25">
        <v>1</v>
      </c>
      <c r="GV275" s="25" t="s">
        <v>455</v>
      </c>
      <c r="GW275" s="25" t="s">
        <v>455</v>
      </c>
      <c r="GX275" s="25" t="s">
        <v>455</v>
      </c>
      <c r="GY275" s="25" t="s">
        <v>455</v>
      </c>
      <c r="GZ275" s="25" t="s">
        <v>455</v>
      </c>
      <c r="HA275" s="25" t="s">
        <v>455</v>
      </c>
      <c r="HB275" s="25" t="s">
        <v>455</v>
      </c>
      <c r="HC275" s="25" t="s">
        <v>455</v>
      </c>
      <c r="HD275" s="25" t="s">
        <v>455</v>
      </c>
      <c r="HE275" s="25" t="s">
        <v>455</v>
      </c>
      <c r="HF275" s="25" t="s">
        <v>455</v>
      </c>
      <c r="HG275" s="25" t="s">
        <v>455</v>
      </c>
      <c r="HH275" s="25" t="s">
        <v>455</v>
      </c>
      <c r="HI275" s="25"/>
      <c r="HJ275" s="25"/>
      <c r="HK275" s="25"/>
      <c r="HL275" s="25"/>
      <c r="HM275" s="84"/>
      <c r="HN275" s="84"/>
      <c r="HO275" s="84"/>
      <c r="HP275" s="84"/>
      <c r="HQ275" s="84"/>
      <c r="HR275" s="84"/>
      <c r="HS275" s="84"/>
      <c r="HT275" s="84"/>
      <c r="HU275" s="13"/>
      <c r="HV275" s="13"/>
      <c r="HW275" s="32"/>
      <c r="HX275" s="55"/>
      <c r="HY275" s="55"/>
      <c r="HZ275" s="55"/>
      <c r="IA275" s="55"/>
      <c r="IB275" s="55"/>
      <c r="IC275" s="55"/>
      <c r="ID275" s="55"/>
      <c r="IE275" s="55"/>
      <c r="IF275" s="107">
        <v>16255.26</v>
      </c>
      <c r="IG275" s="107">
        <v>15871.64</v>
      </c>
      <c r="IH275" s="250">
        <f t="shared" si="119"/>
        <v>0</v>
      </c>
      <c r="II275" s="55"/>
      <c r="IJ275" s="55"/>
      <c r="IK275" s="55"/>
      <c r="IL275" s="55"/>
      <c r="IM275" s="55"/>
      <c r="IN275" s="55"/>
      <c r="IO275" s="55"/>
      <c r="IP275" s="55"/>
      <c r="IQ275" s="55"/>
      <c r="IR275" s="55"/>
      <c r="IS275" s="55"/>
      <c r="IT275" s="55"/>
      <c r="IU275" s="55"/>
      <c r="IV275" s="55"/>
      <c r="IW275" s="55"/>
      <c r="IX275" s="55"/>
      <c r="IY275" s="55"/>
      <c r="IZ275" s="55"/>
      <c r="JA275" s="55"/>
      <c r="JB275" s="55"/>
      <c r="JC275" s="55"/>
      <c r="JD275" s="55">
        <v>2017</v>
      </c>
    </row>
    <row r="276" spans="1:265" s="5" customFormat="1" ht="24.95" hidden="1" customHeight="1">
      <c r="A276" s="26" t="s">
        <v>70</v>
      </c>
      <c r="B276" s="26" t="s">
        <v>203</v>
      </c>
      <c r="C276" s="13" t="s">
        <v>352</v>
      </c>
      <c r="D276" s="13" t="s">
        <v>381</v>
      </c>
      <c r="E276" s="16" t="s">
        <v>378</v>
      </c>
      <c r="F276" s="13" t="s">
        <v>356</v>
      </c>
      <c r="G276" s="26" t="s">
        <v>354</v>
      </c>
      <c r="H276" s="13" t="s">
        <v>1517</v>
      </c>
      <c r="I276" s="15" t="s">
        <v>864</v>
      </c>
      <c r="J276" s="26">
        <v>11</v>
      </c>
      <c r="K276" s="49" t="s">
        <v>375</v>
      </c>
      <c r="L276" s="314" t="s">
        <v>240</v>
      </c>
      <c r="M276" s="15" t="s">
        <v>241</v>
      </c>
      <c r="N276" s="43"/>
      <c r="O276" s="13" t="s">
        <v>206</v>
      </c>
      <c r="P276" s="13" t="s">
        <v>4</v>
      </c>
      <c r="Q276" s="22" t="s">
        <v>1118</v>
      </c>
      <c r="R276" s="314" t="s">
        <v>240</v>
      </c>
      <c r="S276" s="13" t="s">
        <v>402</v>
      </c>
      <c r="T276" s="13" t="s">
        <v>1387</v>
      </c>
      <c r="U276" s="13" t="s">
        <v>477</v>
      </c>
      <c r="V276" s="24">
        <v>1204287666001</v>
      </c>
      <c r="W276" s="13" t="s">
        <v>570</v>
      </c>
      <c r="X276" s="13" t="s">
        <v>570</v>
      </c>
      <c r="Y276" s="13" t="s">
        <v>945</v>
      </c>
      <c r="Z276" s="13" t="s">
        <v>946</v>
      </c>
      <c r="AA276" s="29"/>
      <c r="AB276" s="29">
        <v>18452</v>
      </c>
      <c r="AC276" s="29">
        <v>0</v>
      </c>
      <c r="AD276" s="29">
        <v>18452</v>
      </c>
      <c r="AE276" s="29">
        <v>0</v>
      </c>
      <c r="AF276" s="29">
        <f t="shared" si="121"/>
        <v>18452</v>
      </c>
      <c r="AG276" s="25">
        <v>0.12</v>
      </c>
      <c r="AH276" s="29">
        <f t="shared" si="116"/>
        <v>2214.2399999999998</v>
      </c>
      <c r="AI276" s="29">
        <f t="shared" si="117"/>
        <v>0</v>
      </c>
      <c r="AJ276" s="29">
        <f t="shared" si="118"/>
        <v>20666.240000000002</v>
      </c>
      <c r="AK276" s="29">
        <v>18452</v>
      </c>
      <c r="AL276" s="29">
        <f t="shared" si="125"/>
        <v>0</v>
      </c>
      <c r="AM276" s="126"/>
      <c r="AN276" s="29"/>
      <c r="AO276" s="29">
        <v>18452</v>
      </c>
      <c r="AP276" s="29"/>
      <c r="AQ276" s="29">
        <v>18452</v>
      </c>
      <c r="AR276" s="29"/>
      <c r="AS276" s="29"/>
      <c r="AT276" s="29"/>
      <c r="AU276" s="29"/>
      <c r="AV276" s="29"/>
      <c r="AW276" s="29"/>
      <c r="AX276" s="29"/>
      <c r="AY276" s="29"/>
      <c r="AZ276" s="29"/>
      <c r="BA276" s="29"/>
      <c r="BB276" s="29"/>
      <c r="BC276" s="29"/>
      <c r="BD276" s="29"/>
      <c r="BE276" s="29"/>
      <c r="BF276" s="29">
        <f t="shared" si="123"/>
        <v>0</v>
      </c>
      <c r="BG276" s="29">
        <f t="shared" si="122"/>
        <v>0</v>
      </c>
      <c r="BH276" s="29"/>
      <c r="BI276" s="23" t="s">
        <v>570</v>
      </c>
      <c r="BJ276" s="23" t="s">
        <v>570</v>
      </c>
      <c r="BK276" s="23"/>
      <c r="BL276" s="23"/>
      <c r="BM276" s="23"/>
      <c r="BN276" s="13"/>
      <c r="BO276" s="13"/>
      <c r="BP276" s="13"/>
      <c r="BQ276" s="13"/>
      <c r="BR276" s="13"/>
      <c r="BS276" s="13"/>
      <c r="BT276" s="13"/>
      <c r="BU276" s="13"/>
      <c r="BV276" s="13"/>
      <c r="BW276" s="13" t="s">
        <v>570</v>
      </c>
      <c r="BX276" s="23">
        <v>42361</v>
      </c>
      <c r="BY276" s="13" t="s">
        <v>570</v>
      </c>
      <c r="BZ276" s="23">
        <v>42384</v>
      </c>
      <c r="CA276" s="23">
        <v>42387</v>
      </c>
      <c r="CB276" s="224" t="s">
        <v>570</v>
      </c>
      <c r="CC276" s="224" t="s">
        <v>570</v>
      </c>
      <c r="CD276" s="224" t="s">
        <v>570</v>
      </c>
      <c r="CE276" s="13"/>
      <c r="CF276" s="13"/>
      <c r="CG276" s="13"/>
      <c r="CH276" s="13"/>
      <c r="CI276" s="13"/>
      <c r="CJ276" s="13"/>
      <c r="CK276" s="13"/>
      <c r="CL276" s="13"/>
      <c r="CM276" s="13"/>
      <c r="CN276" s="13"/>
      <c r="CO276" s="13"/>
      <c r="CP276" s="13"/>
      <c r="CQ276" s="13"/>
      <c r="CR276" s="13"/>
      <c r="CS276" s="29" t="s">
        <v>570</v>
      </c>
      <c r="CT276" s="29" t="s">
        <v>570</v>
      </c>
      <c r="CU276" s="29" t="s">
        <v>570</v>
      </c>
      <c r="CV276" s="23"/>
      <c r="CW276" s="30"/>
      <c r="CX276" s="13"/>
      <c r="CY276" s="155">
        <v>42732</v>
      </c>
      <c r="CZ276" s="93">
        <v>18452</v>
      </c>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92">
        <f t="shared" si="120"/>
        <v>18452</v>
      </c>
      <c r="DZ276" s="13"/>
      <c r="EA276" s="13"/>
      <c r="EB276" s="13"/>
      <c r="EC276" s="13"/>
      <c r="ED276" s="13"/>
      <c r="EE276" s="13"/>
      <c r="EF276" s="13"/>
      <c r="EG276" s="13">
        <v>120</v>
      </c>
      <c r="EH276" s="13" t="s">
        <v>548</v>
      </c>
      <c r="EI276" s="13" t="s">
        <v>503</v>
      </c>
      <c r="EJ276" s="13" t="s">
        <v>503</v>
      </c>
      <c r="EK276" s="13"/>
      <c r="EL276" s="13"/>
      <c r="EM276" s="13"/>
      <c r="EN276" s="13"/>
      <c r="EO276" s="13"/>
      <c r="EP276" s="13"/>
      <c r="EQ276" s="13"/>
      <c r="ER276" s="13"/>
      <c r="ES276" s="13"/>
      <c r="ET276" s="13"/>
      <c r="EU276" s="13"/>
      <c r="EV276" s="13"/>
      <c r="EW276" s="13"/>
      <c r="EX276" s="13"/>
      <c r="EY276" s="13"/>
      <c r="EZ276" s="13"/>
      <c r="FA276" s="13"/>
      <c r="FB276" s="13"/>
      <c r="FC276" s="13"/>
      <c r="FD276" s="13"/>
      <c r="FE276" s="13"/>
      <c r="FF276" s="13" t="s">
        <v>503</v>
      </c>
      <c r="FG276" s="13"/>
      <c r="FH276" s="25"/>
      <c r="FI276" s="25"/>
      <c r="FJ276" s="25"/>
      <c r="FK276" s="25"/>
      <c r="FL276" s="25"/>
      <c r="FM276" s="25"/>
      <c r="FN276" s="25"/>
      <c r="FO276" s="25"/>
      <c r="FP276" s="25"/>
      <c r="FQ276" s="25"/>
      <c r="FR276" s="25"/>
      <c r="FS276" s="25">
        <v>1</v>
      </c>
      <c r="FT276" s="25">
        <v>1</v>
      </c>
      <c r="FU276" s="25">
        <v>1</v>
      </c>
      <c r="FV276" s="25">
        <v>1</v>
      </c>
      <c r="FW276" s="25">
        <v>1</v>
      </c>
      <c r="FX276" s="25">
        <v>1</v>
      </c>
      <c r="FY276" s="25">
        <v>1</v>
      </c>
      <c r="FZ276" s="25">
        <v>1</v>
      </c>
      <c r="GA276" s="25">
        <v>1</v>
      </c>
      <c r="GB276" s="25">
        <v>1</v>
      </c>
      <c r="GC276" s="25">
        <v>1</v>
      </c>
      <c r="GD276" s="25">
        <v>1</v>
      </c>
      <c r="GE276" s="25">
        <v>1</v>
      </c>
      <c r="GF276" s="25">
        <v>1</v>
      </c>
      <c r="GG276" s="25">
        <v>1</v>
      </c>
      <c r="GH276" s="25">
        <v>1</v>
      </c>
      <c r="GI276" s="25">
        <v>1</v>
      </c>
      <c r="GJ276" s="25">
        <v>1</v>
      </c>
      <c r="GK276" s="25">
        <v>1</v>
      </c>
      <c r="GL276" s="25">
        <v>1</v>
      </c>
      <c r="GM276" s="25">
        <v>1</v>
      </c>
      <c r="GN276" s="25">
        <v>1</v>
      </c>
      <c r="GO276" s="25">
        <v>1</v>
      </c>
      <c r="GP276" s="25">
        <v>1</v>
      </c>
      <c r="GQ276" s="25">
        <v>1</v>
      </c>
      <c r="GR276" s="25">
        <v>1</v>
      </c>
      <c r="GS276" s="25">
        <v>1</v>
      </c>
      <c r="GT276" s="25">
        <v>1</v>
      </c>
      <c r="GU276" s="25">
        <v>1</v>
      </c>
      <c r="GV276" s="25" t="s">
        <v>455</v>
      </c>
      <c r="GW276" s="25" t="s">
        <v>455</v>
      </c>
      <c r="GX276" s="25" t="s">
        <v>455</v>
      </c>
      <c r="GY276" s="25" t="s">
        <v>455</v>
      </c>
      <c r="GZ276" s="25" t="s">
        <v>455</v>
      </c>
      <c r="HA276" s="25" t="s">
        <v>455</v>
      </c>
      <c r="HB276" s="25" t="s">
        <v>455</v>
      </c>
      <c r="HC276" s="25" t="s">
        <v>455</v>
      </c>
      <c r="HD276" s="25" t="s">
        <v>455</v>
      </c>
      <c r="HE276" s="25" t="s">
        <v>455</v>
      </c>
      <c r="HF276" s="25" t="s">
        <v>455</v>
      </c>
      <c r="HG276" s="25" t="s">
        <v>455</v>
      </c>
      <c r="HH276" s="25" t="s">
        <v>455</v>
      </c>
      <c r="HI276" s="25"/>
      <c r="HJ276" s="25"/>
      <c r="HK276" s="25"/>
      <c r="HL276" s="25"/>
      <c r="HM276" s="84"/>
      <c r="HN276" s="84"/>
      <c r="HO276" s="84"/>
      <c r="HP276" s="84"/>
      <c r="HQ276" s="84"/>
      <c r="HR276" s="84"/>
      <c r="HS276" s="84"/>
      <c r="HT276" s="84"/>
      <c r="HU276" s="13"/>
      <c r="HV276" s="13"/>
      <c r="HW276" s="32"/>
      <c r="HX276" s="55"/>
      <c r="HY276" s="55"/>
      <c r="HZ276" s="55"/>
      <c r="IA276" s="55"/>
      <c r="IB276" s="55"/>
      <c r="IC276" s="55"/>
      <c r="ID276" s="55"/>
      <c r="IE276" s="55"/>
      <c r="IF276" s="107">
        <v>18452</v>
      </c>
      <c r="IG276" s="107">
        <v>18452</v>
      </c>
      <c r="IH276" s="250">
        <f t="shared" si="119"/>
        <v>0</v>
      </c>
      <c r="II276" s="55"/>
      <c r="IJ276" s="55"/>
      <c r="IK276" s="55"/>
      <c r="IL276" s="55"/>
      <c r="IM276" s="55"/>
      <c r="IN276" s="55"/>
      <c r="IO276" s="55"/>
      <c r="IP276" s="55"/>
      <c r="IQ276" s="55"/>
      <c r="IR276" s="55"/>
      <c r="IS276" s="55"/>
      <c r="IT276" s="55"/>
      <c r="IU276" s="55"/>
      <c r="IV276" s="55"/>
      <c r="IW276" s="55"/>
      <c r="IX276" s="55"/>
      <c r="IY276" s="55"/>
      <c r="IZ276" s="55"/>
      <c r="JA276" s="55"/>
      <c r="JB276" s="55"/>
      <c r="JC276" s="55"/>
      <c r="JD276" s="55">
        <v>2016</v>
      </c>
    </row>
    <row r="277" spans="1:265" s="5" customFormat="1" ht="24.95" hidden="1" customHeight="1">
      <c r="A277" s="26" t="s">
        <v>95</v>
      </c>
      <c r="B277" s="26" t="s">
        <v>203</v>
      </c>
      <c r="C277" s="13" t="s">
        <v>349</v>
      </c>
      <c r="D277" s="13" t="s">
        <v>380</v>
      </c>
      <c r="E277" s="16" t="s">
        <v>350</v>
      </c>
      <c r="F277" s="13" t="s">
        <v>356</v>
      </c>
      <c r="G277" s="26" t="s">
        <v>351</v>
      </c>
      <c r="H277" s="13" t="s">
        <v>1516</v>
      </c>
      <c r="I277" s="62" t="s">
        <v>422</v>
      </c>
      <c r="J277" s="40">
        <v>1</v>
      </c>
      <c r="K277" s="49" t="s">
        <v>375</v>
      </c>
      <c r="L277" s="314" t="s">
        <v>245</v>
      </c>
      <c r="M277" s="15" t="s">
        <v>246</v>
      </c>
      <c r="N277" s="43"/>
      <c r="O277" s="13" t="s">
        <v>206</v>
      </c>
      <c r="P277" s="13" t="s">
        <v>4</v>
      </c>
      <c r="Q277" s="22" t="s">
        <v>1118</v>
      </c>
      <c r="R277" s="314" t="s">
        <v>245</v>
      </c>
      <c r="S277" s="13" t="s">
        <v>887</v>
      </c>
      <c r="T277" s="13" t="s">
        <v>1387</v>
      </c>
      <c r="U277" s="13" t="s">
        <v>477</v>
      </c>
      <c r="V277" s="24">
        <v>1102372412001</v>
      </c>
      <c r="W277" s="13" t="s">
        <v>570</v>
      </c>
      <c r="X277" s="13" t="s">
        <v>570</v>
      </c>
      <c r="Y277" s="13" t="s">
        <v>885</v>
      </c>
      <c r="Z277" s="13" t="s">
        <v>503</v>
      </c>
      <c r="AA277" s="29"/>
      <c r="AB277" s="29">
        <v>45650</v>
      </c>
      <c r="AC277" s="29">
        <v>0</v>
      </c>
      <c r="AD277" s="29">
        <v>45650</v>
      </c>
      <c r="AE277" s="29">
        <v>0</v>
      </c>
      <c r="AF277" s="29">
        <f t="shared" si="121"/>
        <v>45650</v>
      </c>
      <c r="AG277" s="25">
        <v>0.12</v>
      </c>
      <c r="AH277" s="29">
        <f t="shared" si="116"/>
        <v>5478</v>
      </c>
      <c r="AI277" s="29">
        <f t="shared" si="117"/>
        <v>0</v>
      </c>
      <c r="AJ277" s="29">
        <f t="shared" si="118"/>
        <v>51128.000000000007</v>
      </c>
      <c r="AK277" s="29">
        <v>45649.950000000004</v>
      </c>
      <c r="AL277" s="29">
        <f t="shared" si="125"/>
        <v>4.9999999995634425E-2</v>
      </c>
      <c r="AM277" s="29"/>
      <c r="AN277" s="29"/>
      <c r="AO277" s="29">
        <v>45650</v>
      </c>
      <c r="AP277" s="29"/>
      <c r="AQ277" s="29">
        <v>45650</v>
      </c>
      <c r="AR277" s="25">
        <v>0.14000000000000001</v>
      </c>
      <c r="AS277" s="41">
        <f t="shared" ref="AS277:AS284" si="126">AQ277*0.14</f>
        <v>6391.0000000000009</v>
      </c>
      <c r="AT277" s="41">
        <f t="shared" ref="AT277:AT284" si="127">AQ277*1.14</f>
        <v>52040.999999999993</v>
      </c>
      <c r="AU277" s="29"/>
      <c r="AV277" s="29"/>
      <c r="AW277" s="29"/>
      <c r="AX277" s="29"/>
      <c r="AY277" s="29"/>
      <c r="AZ277" s="29"/>
      <c r="BA277" s="29"/>
      <c r="BB277" s="29"/>
      <c r="BC277" s="29"/>
      <c r="BD277" s="29"/>
      <c r="BE277" s="29"/>
      <c r="BF277" s="29">
        <f t="shared" si="123"/>
        <v>0</v>
      </c>
      <c r="BG277" s="29">
        <f t="shared" si="122"/>
        <v>0</v>
      </c>
      <c r="BH277" s="93" t="s">
        <v>886</v>
      </c>
      <c r="BI277" s="23" t="s">
        <v>570</v>
      </c>
      <c r="BJ277" s="23" t="s">
        <v>570</v>
      </c>
      <c r="BK277" s="23"/>
      <c r="BL277" s="23"/>
      <c r="BM277" s="23"/>
      <c r="BN277" s="23">
        <v>42571</v>
      </c>
      <c r="BO277" s="13" t="s">
        <v>570</v>
      </c>
      <c r="BP277" s="13" t="s">
        <v>570</v>
      </c>
      <c r="BQ277" s="23">
        <v>42601</v>
      </c>
      <c r="BR277" s="13" t="s">
        <v>570</v>
      </c>
      <c r="BS277" s="13" t="s">
        <v>570</v>
      </c>
      <c r="BT277" s="13" t="s">
        <v>570</v>
      </c>
      <c r="BU277" s="13" t="s">
        <v>570</v>
      </c>
      <c r="BV277" s="13" t="s">
        <v>570</v>
      </c>
      <c r="BW277" s="13" t="s">
        <v>570</v>
      </c>
      <c r="BX277" s="23">
        <v>42599</v>
      </c>
      <c r="BY277" s="13" t="s">
        <v>570</v>
      </c>
      <c r="BZ277" s="13" t="s">
        <v>570</v>
      </c>
      <c r="CA277" s="23">
        <v>42669</v>
      </c>
      <c r="CB277" s="224" t="s">
        <v>570</v>
      </c>
      <c r="CC277" s="224" t="s">
        <v>570</v>
      </c>
      <c r="CD277" s="224" t="s">
        <v>570</v>
      </c>
      <c r="CE277" s="13"/>
      <c r="CF277" s="13"/>
      <c r="CG277" s="13"/>
      <c r="CH277" s="13"/>
      <c r="CI277" s="13"/>
      <c r="CJ277" s="13"/>
      <c r="CK277" s="13"/>
      <c r="CL277" s="13"/>
      <c r="CM277" s="13"/>
      <c r="CN277" s="13"/>
      <c r="CO277" s="13"/>
      <c r="CP277" s="13"/>
      <c r="CQ277" s="13"/>
      <c r="CR277" s="13"/>
      <c r="CS277" s="29" t="s">
        <v>570</v>
      </c>
      <c r="CT277" s="29" t="s">
        <v>570</v>
      </c>
      <c r="CU277" s="29" t="s">
        <v>570</v>
      </c>
      <c r="CV277" s="23">
        <v>42706</v>
      </c>
      <c r="CW277" s="30">
        <v>11412.5</v>
      </c>
      <c r="CX277" s="190" t="s">
        <v>1263</v>
      </c>
      <c r="CY277" s="23">
        <v>42769</v>
      </c>
      <c r="CZ277" s="30">
        <f>1755.77-877.88</f>
        <v>877.89</v>
      </c>
      <c r="DA277" s="160" t="s">
        <v>1264</v>
      </c>
      <c r="DB277" s="23">
        <v>42769</v>
      </c>
      <c r="DC277" s="30">
        <f>1755.77-877.88</f>
        <v>877.89</v>
      </c>
      <c r="DD277" s="160" t="s">
        <v>1439</v>
      </c>
      <c r="DE277" s="155">
        <v>42815</v>
      </c>
      <c r="DF277" s="191">
        <v>877.88</v>
      </c>
      <c r="DG277" s="160" t="s">
        <v>1440</v>
      </c>
      <c r="DH277" s="155">
        <v>42815</v>
      </c>
      <c r="DI277" s="191">
        <v>877.88</v>
      </c>
      <c r="DJ277" s="160" t="s">
        <v>1441</v>
      </c>
      <c r="DK277" s="155">
        <v>42815</v>
      </c>
      <c r="DL277" s="191">
        <v>1755.77</v>
      </c>
      <c r="DM277" s="160" t="s">
        <v>1442</v>
      </c>
      <c r="DN277" s="155">
        <v>42815</v>
      </c>
      <c r="DO277" s="191">
        <v>1755.77</v>
      </c>
      <c r="DP277" s="190" t="s">
        <v>1443</v>
      </c>
      <c r="DQ277" s="155">
        <v>42836</v>
      </c>
      <c r="DR277" s="191">
        <v>1755.77</v>
      </c>
      <c r="DS277" s="190" t="s">
        <v>1444</v>
      </c>
      <c r="DT277" s="155">
        <v>42865</v>
      </c>
      <c r="DU277" s="191">
        <v>1755.77</v>
      </c>
      <c r="DV277" s="190"/>
      <c r="DW277" s="155"/>
      <c r="DX277" s="191"/>
      <c r="DY277" s="92">
        <f t="shared" si="120"/>
        <v>21947.119999999999</v>
      </c>
      <c r="DZ277" s="13"/>
      <c r="EA277" s="13"/>
      <c r="EB277" s="13"/>
      <c r="EC277" s="13"/>
      <c r="ED277" s="13"/>
      <c r="EE277" s="13"/>
      <c r="EF277" s="13"/>
      <c r="EG277" s="13">
        <v>390</v>
      </c>
      <c r="EH277" s="13" t="s">
        <v>901</v>
      </c>
      <c r="EI277" s="23">
        <f t="shared" ref="EI277" si="128">CV277+1</f>
        <v>42707</v>
      </c>
      <c r="EJ277" s="23">
        <f t="shared" ref="EJ277:EJ284" si="129">EI277+EG277</f>
        <v>43097</v>
      </c>
      <c r="EK277" s="13"/>
      <c r="EL277" s="13"/>
      <c r="EM277" s="13"/>
      <c r="EN277" s="13"/>
      <c r="EO277" s="13"/>
      <c r="EP277" s="13"/>
      <c r="EQ277" s="13"/>
      <c r="ER277" s="13"/>
      <c r="ES277" s="13"/>
      <c r="ET277" s="13"/>
      <c r="EU277" s="13"/>
      <c r="EV277" s="13"/>
      <c r="EW277" s="13"/>
      <c r="EX277" s="13"/>
      <c r="EY277" s="13"/>
      <c r="EZ277" s="13"/>
      <c r="FA277" s="13"/>
      <c r="FB277" s="13"/>
      <c r="FC277" s="13"/>
      <c r="FD277" s="13"/>
      <c r="FE277" s="13"/>
      <c r="FF277" s="13"/>
      <c r="FG277" s="13"/>
      <c r="FH277" s="13"/>
      <c r="FI277" s="13"/>
      <c r="FJ277" s="13"/>
      <c r="FK277" s="13"/>
      <c r="FL277" s="13"/>
      <c r="FM277" s="13"/>
      <c r="FN277" s="13"/>
      <c r="FO277" s="13"/>
      <c r="FP277" s="13"/>
      <c r="FQ277" s="13"/>
      <c r="FR277" s="13"/>
      <c r="FS277" s="13"/>
      <c r="FT277" s="25">
        <v>2.3E-2</v>
      </c>
      <c r="FU277" s="25">
        <v>5.8799999999999998E-2</v>
      </c>
      <c r="FV277" s="25">
        <v>5.8799999999999998E-2</v>
      </c>
      <c r="FW277" s="25">
        <v>0.36</v>
      </c>
      <c r="FX277" s="25">
        <v>0.36</v>
      </c>
      <c r="FY277" s="25">
        <v>0.44</v>
      </c>
      <c r="FZ277" s="25">
        <v>0.5</v>
      </c>
      <c r="GA277" s="25">
        <v>0.5</v>
      </c>
      <c r="GB277" s="25">
        <v>0.5</v>
      </c>
      <c r="GC277" s="25">
        <v>0.83</v>
      </c>
      <c r="GD277" s="25">
        <v>0.87</v>
      </c>
      <c r="GE277" s="25">
        <v>0.87</v>
      </c>
      <c r="GF277" s="25">
        <v>0.87</v>
      </c>
      <c r="GG277" s="25">
        <v>0.87</v>
      </c>
      <c r="GH277" s="25">
        <v>0.9</v>
      </c>
      <c r="GI277" s="25">
        <v>0.9</v>
      </c>
      <c r="GJ277" s="25">
        <v>0.9</v>
      </c>
      <c r="GK277" s="25">
        <v>0.9</v>
      </c>
      <c r="GL277" s="25">
        <v>0.9</v>
      </c>
      <c r="GM277" s="25">
        <v>0.9</v>
      </c>
      <c r="GN277" s="25">
        <v>0.9</v>
      </c>
      <c r="GO277" s="25">
        <v>0.95</v>
      </c>
      <c r="GP277" s="25">
        <v>1</v>
      </c>
      <c r="GQ277" s="25">
        <v>1</v>
      </c>
      <c r="GR277" s="25">
        <v>1</v>
      </c>
      <c r="GS277" s="25">
        <v>1</v>
      </c>
      <c r="GT277" s="25">
        <v>1</v>
      </c>
      <c r="GU277" s="25">
        <v>1</v>
      </c>
      <c r="GV277" s="25" t="s">
        <v>1588</v>
      </c>
      <c r="GW277" s="25" t="s">
        <v>1588</v>
      </c>
      <c r="GX277" s="25" t="s">
        <v>1588</v>
      </c>
      <c r="GY277" s="25" t="s">
        <v>1588</v>
      </c>
      <c r="GZ277" s="25" t="s">
        <v>1588</v>
      </c>
      <c r="HA277" s="25" t="s">
        <v>1588</v>
      </c>
      <c r="HB277" s="25" t="s">
        <v>455</v>
      </c>
      <c r="HC277" s="25" t="s">
        <v>455</v>
      </c>
      <c r="HD277" s="25" t="s">
        <v>455</v>
      </c>
      <c r="HE277" s="25" t="s">
        <v>455</v>
      </c>
      <c r="HF277" s="25" t="s">
        <v>455</v>
      </c>
      <c r="HG277" s="25" t="s">
        <v>455</v>
      </c>
      <c r="HH277" s="25" t="s">
        <v>455</v>
      </c>
      <c r="HI277" s="25" t="s">
        <v>1892</v>
      </c>
      <c r="HJ277" s="25"/>
      <c r="HK277" s="25"/>
      <c r="HL277" s="25" t="s">
        <v>1709</v>
      </c>
      <c r="HM277" s="84" t="s">
        <v>1746</v>
      </c>
      <c r="HN277" s="84" t="s">
        <v>1788</v>
      </c>
      <c r="HO277" s="84" t="s">
        <v>1749</v>
      </c>
      <c r="HP277" s="84"/>
      <c r="HQ277" s="84"/>
      <c r="HR277" s="84"/>
      <c r="HS277" s="84"/>
      <c r="HT277" s="84"/>
      <c r="HU277" s="13"/>
      <c r="HV277" s="13"/>
      <c r="HW277" s="32"/>
      <c r="HX277" s="55"/>
      <c r="HY277" s="55"/>
      <c r="HZ277" s="55"/>
      <c r="IA277" s="55"/>
      <c r="IB277" s="55"/>
      <c r="IC277" s="55"/>
      <c r="ID277" s="55"/>
      <c r="IE277" s="55"/>
      <c r="IF277" s="107">
        <v>45650</v>
      </c>
      <c r="IG277" s="107"/>
      <c r="IH277" s="250">
        <f t="shared" si="119"/>
        <v>45649.950000000004</v>
      </c>
      <c r="II277" s="55"/>
      <c r="IJ277" s="55"/>
      <c r="IK277" s="55"/>
      <c r="IL277" s="55"/>
      <c r="IM277" s="55"/>
      <c r="IN277" s="55"/>
      <c r="IO277" s="55"/>
      <c r="IP277" s="55"/>
      <c r="IQ277" s="55"/>
      <c r="IR277" s="55"/>
      <c r="IS277" s="55"/>
      <c r="IT277" s="55"/>
      <c r="IU277" s="55"/>
      <c r="IV277" s="55"/>
      <c r="IW277" s="55"/>
      <c r="IX277" s="55"/>
      <c r="IY277" s="55"/>
      <c r="IZ277" s="55"/>
      <c r="JA277" s="55"/>
      <c r="JB277" s="55"/>
      <c r="JC277" s="55"/>
      <c r="JD277" s="55">
        <v>2019</v>
      </c>
      <c r="JE277" s="5" t="s">
        <v>2008</v>
      </c>
    </row>
    <row r="278" spans="1:265" s="5" customFormat="1" ht="24.95" hidden="1" customHeight="1">
      <c r="A278" s="26" t="s">
        <v>95</v>
      </c>
      <c r="B278" s="26" t="s">
        <v>203</v>
      </c>
      <c r="C278" s="13" t="s">
        <v>349</v>
      </c>
      <c r="D278" s="13" t="s">
        <v>380</v>
      </c>
      <c r="E278" s="16" t="s">
        <v>350</v>
      </c>
      <c r="F278" s="13" t="s">
        <v>356</v>
      </c>
      <c r="G278" s="26" t="s">
        <v>351</v>
      </c>
      <c r="H278" s="13" t="s">
        <v>1516</v>
      </c>
      <c r="I278" s="62" t="s">
        <v>422</v>
      </c>
      <c r="J278" s="40">
        <v>1</v>
      </c>
      <c r="K278" s="49" t="s">
        <v>375</v>
      </c>
      <c r="L278" s="314" t="s">
        <v>247</v>
      </c>
      <c r="M278" s="15" t="s">
        <v>248</v>
      </c>
      <c r="N278" s="43"/>
      <c r="O278" s="13" t="s">
        <v>206</v>
      </c>
      <c r="P278" s="13" t="s">
        <v>4</v>
      </c>
      <c r="Q278" s="22" t="s">
        <v>364</v>
      </c>
      <c r="R278" s="314" t="s">
        <v>247</v>
      </c>
      <c r="S278" s="13" t="s">
        <v>884</v>
      </c>
      <c r="T278" s="13" t="s">
        <v>1387</v>
      </c>
      <c r="U278" s="13" t="s">
        <v>477</v>
      </c>
      <c r="V278" s="13" t="s">
        <v>883</v>
      </c>
      <c r="W278" s="13" t="s">
        <v>570</v>
      </c>
      <c r="X278" s="13" t="s">
        <v>570</v>
      </c>
      <c r="Y278" s="13" t="s">
        <v>885</v>
      </c>
      <c r="Z278" s="13" t="s">
        <v>503</v>
      </c>
      <c r="AA278" s="29"/>
      <c r="AB278" s="29">
        <v>44462</v>
      </c>
      <c r="AC278" s="29">
        <v>0</v>
      </c>
      <c r="AD278" s="29">
        <v>44462</v>
      </c>
      <c r="AE278" s="29">
        <v>0</v>
      </c>
      <c r="AF278" s="29">
        <f t="shared" si="121"/>
        <v>44462</v>
      </c>
      <c r="AG278" s="25">
        <v>0.12</v>
      </c>
      <c r="AH278" s="29">
        <f t="shared" si="116"/>
        <v>5335.44</v>
      </c>
      <c r="AI278" s="29">
        <f t="shared" si="117"/>
        <v>0</v>
      </c>
      <c r="AJ278" s="29">
        <f t="shared" si="118"/>
        <v>49797.440000000002</v>
      </c>
      <c r="AK278" s="29">
        <v>44461.880000000005</v>
      </c>
      <c r="AL278" s="29">
        <f t="shared" si="125"/>
        <v>0.11999999999534339</v>
      </c>
      <c r="AM278" s="29"/>
      <c r="AN278" s="29"/>
      <c r="AO278" s="29">
        <v>44462</v>
      </c>
      <c r="AP278" s="29"/>
      <c r="AQ278" s="29">
        <v>44462</v>
      </c>
      <c r="AR278" s="25">
        <v>0.14000000000000001</v>
      </c>
      <c r="AS278" s="41">
        <f t="shared" si="126"/>
        <v>6224.68</v>
      </c>
      <c r="AT278" s="41">
        <f t="shared" si="127"/>
        <v>50686.679999999993</v>
      </c>
      <c r="AU278" s="29"/>
      <c r="AV278" s="29"/>
      <c r="AW278" s="29"/>
      <c r="AX278" s="29"/>
      <c r="AY278" s="29"/>
      <c r="AZ278" s="29"/>
      <c r="BA278" s="29"/>
      <c r="BB278" s="29"/>
      <c r="BC278" s="29"/>
      <c r="BD278" s="29"/>
      <c r="BE278" s="29"/>
      <c r="BF278" s="29">
        <f t="shared" si="123"/>
        <v>0</v>
      </c>
      <c r="BG278" s="29">
        <f t="shared" si="122"/>
        <v>0</v>
      </c>
      <c r="BH278" s="93" t="s">
        <v>886</v>
      </c>
      <c r="BI278" s="23" t="s">
        <v>570</v>
      </c>
      <c r="BJ278" s="23" t="s">
        <v>570</v>
      </c>
      <c r="BK278" s="23"/>
      <c r="BL278" s="23"/>
      <c r="BM278" s="23"/>
      <c r="BN278" s="23">
        <v>42541</v>
      </c>
      <c r="BO278" s="13" t="s">
        <v>570</v>
      </c>
      <c r="BP278" s="13" t="s">
        <v>570</v>
      </c>
      <c r="BQ278" s="23">
        <v>42604</v>
      </c>
      <c r="BR278" s="13" t="s">
        <v>570</v>
      </c>
      <c r="BS278" s="13" t="s">
        <v>570</v>
      </c>
      <c r="BT278" s="13" t="s">
        <v>570</v>
      </c>
      <c r="BU278" s="13" t="s">
        <v>570</v>
      </c>
      <c r="BV278" s="13" t="s">
        <v>570</v>
      </c>
      <c r="BW278" s="13" t="s">
        <v>570</v>
      </c>
      <c r="BX278" s="23">
        <v>42674</v>
      </c>
      <c r="BY278" s="13" t="s">
        <v>570</v>
      </c>
      <c r="BZ278" s="13" t="s">
        <v>570</v>
      </c>
      <c r="CA278" s="23">
        <v>42693</v>
      </c>
      <c r="CB278" s="224" t="s">
        <v>570</v>
      </c>
      <c r="CC278" s="224" t="s">
        <v>570</v>
      </c>
      <c r="CD278" s="224" t="s">
        <v>570</v>
      </c>
      <c r="CE278" s="13"/>
      <c r="CF278" s="13"/>
      <c r="CG278" s="13"/>
      <c r="CH278" s="13"/>
      <c r="CI278" s="13"/>
      <c r="CJ278" s="13"/>
      <c r="CK278" s="13"/>
      <c r="CL278" s="13"/>
      <c r="CM278" s="13"/>
      <c r="CN278" s="13"/>
      <c r="CO278" s="13"/>
      <c r="CP278" s="13"/>
      <c r="CQ278" s="13"/>
      <c r="CR278" s="13"/>
      <c r="CS278" s="29" t="s">
        <v>570</v>
      </c>
      <c r="CT278" s="29" t="s">
        <v>570</v>
      </c>
      <c r="CU278" s="29" t="s">
        <v>570</v>
      </c>
      <c r="CV278" s="23">
        <v>42700</v>
      </c>
      <c r="CW278" s="30">
        <v>11115.5</v>
      </c>
      <c r="CX278" s="189" t="s">
        <v>1263</v>
      </c>
      <c r="CY278" s="23">
        <v>42788</v>
      </c>
      <c r="CZ278" s="30">
        <f>2863.08-855.04</f>
        <v>2008.04</v>
      </c>
      <c r="DA278" s="189" t="s">
        <v>1264</v>
      </c>
      <c r="DB278" s="155">
        <v>42818</v>
      </c>
      <c r="DC278" s="192">
        <v>2008.04</v>
      </c>
      <c r="DD278" s="189" t="s">
        <v>1445</v>
      </c>
      <c r="DE278" s="155">
        <v>42851</v>
      </c>
      <c r="DF278" s="192">
        <v>2008.04</v>
      </c>
      <c r="DG278" s="189" t="s">
        <v>1446</v>
      </c>
      <c r="DH278" s="155">
        <v>42872</v>
      </c>
      <c r="DI278" s="192">
        <v>2008.04</v>
      </c>
      <c r="DJ278" s="13"/>
      <c r="DK278" s="13"/>
      <c r="DL278" s="13"/>
      <c r="DM278" s="13"/>
      <c r="DN278" s="13"/>
      <c r="DO278" s="13"/>
      <c r="DP278" s="13"/>
      <c r="DQ278" s="13"/>
      <c r="DR278" s="13"/>
      <c r="DS278" s="13"/>
      <c r="DT278" s="13"/>
      <c r="DU278" s="13"/>
      <c r="DV278" s="13"/>
      <c r="DW278" s="13"/>
      <c r="DX278" s="13"/>
      <c r="DY278" s="92">
        <f t="shared" si="120"/>
        <v>19147.660000000003</v>
      </c>
      <c r="DZ278" s="13"/>
      <c r="EA278" s="13"/>
      <c r="EB278" s="13"/>
      <c r="EC278" s="13"/>
      <c r="ED278" s="13"/>
      <c r="EE278" s="13"/>
      <c r="EF278" s="13"/>
      <c r="EG278" s="13">
        <v>390</v>
      </c>
      <c r="EH278" s="13" t="s">
        <v>588</v>
      </c>
      <c r="EI278" s="23">
        <f>CV278+1</f>
        <v>42701</v>
      </c>
      <c r="EJ278" s="23">
        <f t="shared" si="129"/>
        <v>43091</v>
      </c>
      <c r="EK278" s="13"/>
      <c r="EL278" s="13"/>
      <c r="EM278" s="13"/>
      <c r="EN278" s="13"/>
      <c r="EO278" s="13"/>
      <c r="EP278" s="13"/>
      <c r="EQ278" s="13"/>
      <c r="ER278" s="13"/>
      <c r="ES278" s="13"/>
      <c r="ET278" s="13"/>
      <c r="EU278" s="13"/>
      <c r="EV278" s="13"/>
      <c r="EW278" s="13"/>
      <c r="EX278" s="13"/>
      <c r="EY278" s="13"/>
      <c r="EZ278" s="13"/>
      <c r="FA278" s="13"/>
      <c r="FB278" s="13"/>
      <c r="FC278" s="13"/>
      <c r="FD278" s="13"/>
      <c r="FE278" s="13"/>
      <c r="FF278" s="13"/>
      <c r="FG278" s="13"/>
      <c r="FH278" s="13"/>
      <c r="FI278" s="13"/>
      <c r="FJ278" s="13"/>
      <c r="FK278" s="13"/>
      <c r="FL278" s="13"/>
      <c r="FM278" s="25"/>
      <c r="FN278" s="25"/>
      <c r="FO278" s="25"/>
      <c r="FP278" s="25"/>
      <c r="FQ278" s="25"/>
      <c r="FR278" s="25"/>
      <c r="FS278" s="25"/>
      <c r="FT278" s="25">
        <v>2.3E-2</v>
      </c>
      <c r="FU278" s="25">
        <v>5.8799999999999998E-2</v>
      </c>
      <c r="FV278" s="25">
        <v>5.8799999999999998E-2</v>
      </c>
      <c r="FW278" s="25">
        <v>0.36</v>
      </c>
      <c r="FX278" s="25">
        <v>0.36</v>
      </c>
      <c r="FY278" s="25">
        <v>0.44</v>
      </c>
      <c r="FZ278" s="25">
        <v>0.5</v>
      </c>
      <c r="GA278" s="25">
        <v>0.5</v>
      </c>
      <c r="GB278" s="25">
        <v>0.5</v>
      </c>
      <c r="GC278" s="25">
        <v>0.83</v>
      </c>
      <c r="GD278" s="25">
        <v>0.87</v>
      </c>
      <c r="GE278" s="25">
        <v>0.87</v>
      </c>
      <c r="GF278" s="25">
        <v>0.87</v>
      </c>
      <c r="GG278" s="25">
        <v>0.87</v>
      </c>
      <c r="GH278" s="25">
        <v>0.9</v>
      </c>
      <c r="GI278" s="25">
        <v>0.9</v>
      </c>
      <c r="GJ278" s="25">
        <v>0.9</v>
      </c>
      <c r="GK278" s="25">
        <v>0.9</v>
      </c>
      <c r="GL278" s="25">
        <v>0.9</v>
      </c>
      <c r="GM278" s="25">
        <v>0.9</v>
      </c>
      <c r="GN278" s="25">
        <v>0.9</v>
      </c>
      <c r="GO278" s="25">
        <v>0.95</v>
      </c>
      <c r="GP278" s="25">
        <v>1</v>
      </c>
      <c r="GQ278" s="25">
        <v>1</v>
      </c>
      <c r="GR278" s="25">
        <v>1</v>
      </c>
      <c r="GS278" s="25">
        <v>1</v>
      </c>
      <c r="GT278" s="25">
        <v>1</v>
      </c>
      <c r="GU278" s="25">
        <v>1</v>
      </c>
      <c r="GV278" s="25" t="s">
        <v>1588</v>
      </c>
      <c r="GW278" s="25" t="s">
        <v>1588</v>
      </c>
      <c r="GX278" s="25" t="s">
        <v>1588</v>
      </c>
      <c r="GY278" s="25" t="s">
        <v>1588</v>
      </c>
      <c r="GZ278" s="25" t="s">
        <v>1588</v>
      </c>
      <c r="HA278" s="25" t="s">
        <v>1588</v>
      </c>
      <c r="HB278" s="25" t="s">
        <v>1588</v>
      </c>
      <c r="HC278" s="25" t="s">
        <v>1588</v>
      </c>
      <c r="HD278" s="25" t="s">
        <v>1588</v>
      </c>
      <c r="HE278" s="25" t="s">
        <v>1588</v>
      </c>
      <c r="HF278" s="25" t="s">
        <v>1588</v>
      </c>
      <c r="HG278" s="25" t="s">
        <v>455</v>
      </c>
      <c r="HH278" s="25" t="s">
        <v>455</v>
      </c>
      <c r="HI278" s="25"/>
      <c r="HJ278" s="25"/>
      <c r="HK278" s="25"/>
      <c r="HL278" s="25" t="s">
        <v>1709</v>
      </c>
      <c r="HM278" s="84" t="s">
        <v>1746</v>
      </c>
      <c r="HN278" s="84"/>
      <c r="HO278" s="84"/>
      <c r="HP278" s="84"/>
      <c r="HQ278" s="84"/>
      <c r="HR278" s="84"/>
      <c r="HS278" s="84"/>
      <c r="HT278" s="84"/>
      <c r="HU278" s="13"/>
      <c r="HV278" s="13"/>
      <c r="HW278" s="32"/>
      <c r="HX278" s="55"/>
      <c r="HY278" s="55"/>
      <c r="HZ278" s="55"/>
      <c r="IA278" s="55"/>
      <c r="IB278" s="55"/>
      <c r="IC278" s="55"/>
      <c r="ID278" s="55"/>
      <c r="IE278" s="55"/>
      <c r="IF278" s="107">
        <v>44462</v>
      </c>
      <c r="IG278" s="107"/>
      <c r="IH278" s="250">
        <f t="shared" si="119"/>
        <v>44461.880000000005</v>
      </c>
      <c r="II278" s="55"/>
      <c r="IJ278" s="55"/>
      <c r="IK278" s="55"/>
      <c r="IL278" s="55"/>
      <c r="IM278" s="55"/>
      <c r="IN278" s="55"/>
      <c r="IO278" s="55"/>
      <c r="IP278" s="55"/>
      <c r="IQ278" s="55"/>
      <c r="IR278" s="55"/>
      <c r="IS278" s="55"/>
      <c r="IT278" s="55"/>
      <c r="IU278" s="55"/>
      <c r="IV278" s="55"/>
      <c r="IW278" s="55"/>
      <c r="IX278" s="55"/>
      <c r="IY278" s="55"/>
      <c r="IZ278" s="55"/>
      <c r="JA278" s="55"/>
      <c r="JB278" s="55"/>
      <c r="JC278" s="55"/>
      <c r="JD278" s="55">
        <v>2019</v>
      </c>
      <c r="JE278" s="5" t="s">
        <v>2008</v>
      </c>
    </row>
    <row r="279" spans="1:265" s="5" customFormat="1" ht="24.95" hidden="1" customHeight="1">
      <c r="A279" s="26" t="s">
        <v>95</v>
      </c>
      <c r="B279" s="26" t="s">
        <v>203</v>
      </c>
      <c r="C279" s="13" t="s">
        <v>349</v>
      </c>
      <c r="D279" s="13" t="s">
        <v>380</v>
      </c>
      <c r="E279" s="16" t="s">
        <v>350</v>
      </c>
      <c r="F279" s="13" t="s">
        <v>356</v>
      </c>
      <c r="G279" s="26" t="s">
        <v>351</v>
      </c>
      <c r="H279" s="13" t="s">
        <v>1516</v>
      </c>
      <c r="I279" s="62" t="s">
        <v>422</v>
      </c>
      <c r="J279" s="40">
        <v>1</v>
      </c>
      <c r="K279" s="49" t="s">
        <v>375</v>
      </c>
      <c r="L279" s="314" t="s">
        <v>249</v>
      </c>
      <c r="M279" s="15" t="s">
        <v>250</v>
      </c>
      <c r="N279" s="43"/>
      <c r="O279" s="13" t="s">
        <v>206</v>
      </c>
      <c r="P279" s="13" t="s">
        <v>4</v>
      </c>
      <c r="Q279" s="22" t="s">
        <v>364</v>
      </c>
      <c r="R279" s="314" t="s">
        <v>249</v>
      </c>
      <c r="S279" s="13" t="s">
        <v>888</v>
      </c>
      <c r="T279" s="13" t="s">
        <v>1387</v>
      </c>
      <c r="U279" s="13" t="s">
        <v>477</v>
      </c>
      <c r="V279" s="13" t="s">
        <v>889</v>
      </c>
      <c r="W279" s="13" t="s">
        <v>570</v>
      </c>
      <c r="X279" s="13" t="s">
        <v>570</v>
      </c>
      <c r="Y279" s="13" t="s">
        <v>890</v>
      </c>
      <c r="Z279" s="13" t="s">
        <v>503</v>
      </c>
      <c r="AA279" s="29"/>
      <c r="AB279" s="29">
        <v>36960</v>
      </c>
      <c r="AC279" s="29">
        <v>0</v>
      </c>
      <c r="AD279" s="29">
        <v>36960</v>
      </c>
      <c r="AE279" s="29">
        <v>0</v>
      </c>
      <c r="AF279" s="29">
        <f t="shared" si="121"/>
        <v>36960</v>
      </c>
      <c r="AG279" s="25">
        <v>0.12</v>
      </c>
      <c r="AH279" s="29">
        <f t="shared" si="116"/>
        <v>4435.2</v>
      </c>
      <c r="AI279" s="29">
        <f t="shared" si="117"/>
        <v>0</v>
      </c>
      <c r="AJ279" s="29">
        <f t="shared" si="118"/>
        <v>41395.200000000004</v>
      </c>
      <c r="AK279" s="29">
        <v>36959.99</v>
      </c>
      <c r="AL279" s="29">
        <f t="shared" si="125"/>
        <v>1.0000000002037268E-2</v>
      </c>
      <c r="AM279" s="29"/>
      <c r="AN279" s="29"/>
      <c r="AO279" s="29">
        <v>36960</v>
      </c>
      <c r="AP279" s="29"/>
      <c r="AQ279" s="29">
        <v>36960</v>
      </c>
      <c r="AR279" s="25">
        <v>0.14000000000000001</v>
      </c>
      <c r="AS279" s="41">
        <f t="shared" si="126"/>
        <v>5174.4000000000005</v>
      </c>
      <c r="AT279" s="41">
        <f t="shared" si="127"/>
        <v>42134.399999999994</v>
      </c>
      <c r="AU279" s="29"/>
      <c r="AV279" s="29"/>
      <c r="AW279" s="29"/>
      <c r="AX279" s="29"/>
      <c r="AY279" s="29"/>
      <c r="AZ279" s="29"/>
      <c r="BA279" s="29"/>
      <c r="BB279" s="29"/>
      <c r="BC279" s="29"/>
      <c r="BD279" s="29"/>
      <c r="BE279" s="29"/>
      <c r="BF279" s="29">
        <f t="shared" si="123"/>
        <v>0</v>
      </c>
      <c r="BG279" s="29">
        <f t="shared" si="122"/>
        <v>0</v>
      </c>
      <c r="BH279" s="93" t="s">
        <v>886</v>
      </c>
      <c r="BI279" s="23" t="s">
        <v>570</v>
      </c>
      <c r="BJ279" s="23" t="s">
        <v>570</v>
      </c>
      <c r="BK279" s="23"/>
      <c r="BL279" s="23"/>
      <c r="BM279" s="23"/>
      <c r="BN279" s="23">
        <v>42571</v>
      </c>
      <c r="BO279" s="13" t="s">
        <v>570</v>
      </c>
      <c r="BP279" s="23">
        <v>42586</v>
      </c>
      <c r="BQ279" s="23">
        <v>42604</v>
      </c>
      <c r="BR279" s="13" t="s">
        <v>570</v>
      </c>
      <c r="BS279" s="13" t="s">
        <v>570</v>
      </c>
      <c r="BT279" s="13" t="s">
        <v>570</v>
      </c>
      <c r="BU279" s="13" t="s">
        <v>570</v>
      </c>
      <c r="BV279" s="13" t="s">
        <v>570</v>
      </c>
      <c r="BW279" s="13" t="s">
        <v>570</v>
      </c>
      <c r="BX279" s="23">
        <v>42674</v>
      </c>
      <c r="BY279" s="13" t="s">
        <v>570</v>
      </c>
      <c r="BZ279" s="13" t="s">
        <v>570</v>
      </c>
      <c r="CA279" s="23">
        <v>42688</v>
      </c>
      <c r="CB279" s="224" t="s">
        <v>570</v>
      </c>
      <c r="CC279" s="224" t="s">
        <v>570</v>
      </c>
      <c r="CD279" s="224" t="s">
        <v>570</v>
      </c>
      <c r="CE279" s="13"/>
      <c r="CF279" s="13"/>
      <c r="CG279" s="13"/>
      <c r="CH279" s="13"/>
      <c r="CI279" s="13"/>
      <c r="CJ279" s="13"/>
      <c r="CK279" s="13"/>
      <c r="CL279" s="13"/>
      <c r="CM279" s="13"/>
      <c r="CN279" s="13"/>
      <c r="CO279" s="13"/>
      <c r="CP279" s="13"/>
      <c r="CQ279" s="13"/>
      <c r="CR279" s="13"/>
      <c r="CS279" s="29" t="s">
        <v>570</v>
      </c>
      <c r="CT279" s="29" t="s">
        <v>570</v>
      </c>
      <c r="CU279" s="29" t="s">
        <v>570</v>
      </c>
      <c r="CV279" s="23">
        <v>42705</v>
      </c>
      <c r="CW279" s="30">
        <v>9240</v>
      </c>
      <c r="CX279" s="193" t="s">
        <v>1265</v>
      </c>
      <c r="CY279" s="155">
        <v>42760</v>
      </c>
      <c r="CZ279" s="191">
        <f>1375.68-462</f>
        <v>913.68000000000006</v>
      </c>
      <c r="DA279" s="193" t="s">
        <v>1266</v>
      </c>
      <c r="DB279" s="155">
        <v>42788</v>
      </c>
      <c r="DC279" s="191">
        <f>2310-770</f>
        <v>1540</v>
      </c>
      <c r="DD279" s="189" t="s">
        <v>1447</v>
      </c>
      <c r="DE279" s="155">
        <v>42810</v>
      </c>
      <c r="DF279" s="191">
        <v>1540</v>
      </c>
      <c r="DG279" s="189" t="s">
        <v>1448</v>
      </c>
      <c r="DH279" s="155">
        <v>42821</v>
      </c>
      <c r="DI279" s="191">
        <v>626.30999999999995</v>
      </c>
      <c r="DJ279" s="189" t="s">
        <v>1449</v>
      </c>
      <c r="DK279" s="155">
        <v>42846</v>
      </c>
      <c r="DL279" s="191">
        <v>1540</v>
      </c>
      <c r="DM279" s="13"/>
      <c r="DN279" s="13"/>
      <c r="DO279" s="13"/>
      <c r="DP279" s="13"/>
      <c r="DQ279" s="13"/>
      <c r="DR279" s="13"/>
      <c r="DS279" s="13"/>
      <c r="DT279" s="13"/>
      <c r="DU279" s="13"/>
      <c r="DV279" s="13"/>
      <c r="DW279" s="13"/>
      <c r="DX279" s="13"/>
      <c r="DY279" s="92">
        <f t="shared" si="120"/>
        <v>15399.99</v>
      </c>
      <c r="DZ279" s="13"/>
      <c r="EA279" s="13"/>
      <c r="EB279" s="13"/>
      <c r="EC279" s="13"/>
      <c r="ED279" s="13"/>
      <c r="EE279" s="13"/>
      <c r="EF279" s="13"/>
      <c r="EG279" s="13">
        <v>390</v>
      </c>
      <c r="EH279" s="13" t="s">
        <v>901</v>
      </c>
      <c r="EI279" s="23">
        <f>CV279+1</f>
        <v>42706</v>
      </c>
      <c r="EJ279" s="23">
        <f t="shared" si="129"/>
        <v>43096</v>
      </c>
      <c r="EK279" s="13"/>
      <c r="EL279" s="13"/>
      <c r="EM279" s="13"/>
      <c r="EN279" s="13"/>
      <c r="EO279" s="13"/>
      <c r="EP279" s="13"/>
      <c r="EQ279" s="13"/>
      <c r="ER279" s="13"/>
      <c r="ES279" s="13"/>
      <c r="ET279" s="13"/>
      <c r="EU279" s="13"/>
      <c r="EV279" s="13"/>
      <c r="EW279" s="13"/>
      <c r="EX279" s="13"/>
      <c r="EY279" s="13"/>
      <c r="EZ279" s="13"/>
      <c r="FA279" s="13"/>
      <c r="FB279" s="13"/>
      <c r="FC279" s="13"/>
      <c r="FD279" s="13"/>
      <c r="FE279" s="13"/>
      <c r="FF279" s="13"/>
      <c r="FG279" s="13"/>
      <c r="FH279" s="13"/>
      <c r="FI279" s="13"/>
      <c r="FJ279" s="13"/>
      <c r="FK279" s="13"/>
      <c r="FL279" s="13"/>
      <c r="FM279" s="13"/>
      <c r="FN279" s="13"/>
      <c r="FO279" s="13"/>
      <c r="FP279" s="13"/>
      <c r="FQ279" s="13"/>
      <c r="FR279" s="13"/>
      <c r="FS279" s="13"/>
      <c r="FT279" s="25">
        <v>2.3E-2</v>
      </c>
      <c r="FU279" s="25">
        <v>5.8799999999999998E-2</v>
      </c>
      <c r="FV279" s="25">
        <v>5.8799999999999998E-2</v>
      </c>
      <c r="FW279" s="25">
        <v>0.36</v>
      </c>
      <c r="FX279" s="25">
        <v>0.36</v>
      </c>
      <c r="FY279" s="25">
        <v>0.44</v>
      </c>
      <c r="FZ279" s="25">
        <v>0.5</v>
      </c>
      <c r="GA279" s="25">
        <v>0.5</v>
      </c>
      <c r="GB279" s="25">
        <v>0.5</v>
      </c>
      <c r="GC279" s="25">
        <v>0.83</v>
      </c>
      <c r="GD279" s="25">
        <v>0.87</v>
      </c>
      <c r="GE279" s="25">
        <v>0.87</v>
      </c>
      <c r="GF279" s="25">
        <v>0.87</v>
      </c>
      <c r="GG279" s="25">
        <v>0.87</v>
      </c>
      <c r="GH279" s="25">
        <v>0.9</v>
      </c>
      <c r="GI279" s="25">
        <v>0.9</v>
      </c>
      <c r="GJ279" s="25">
        <v>0.9</v>
      </c>
      <c r="GK279" s="25">
        <v>0.9</v>
      </c>
      <c r="GL279" s="25">
        <v>0.9</v>
      </c>
      <c r="GM279" s="25">
        <v>0.9</v>
      </c>
      <c r="GN279" s="25">
        <v>0.9</v>
      </c>
      <c r="GO279" s="25">
        <v>0.95</v>
      </c>
      <c r="GP279" s="25">
        <v>1</v>
      </c>
      <c r="GQ279" s="25">
        <v>1</v>
      </c>
      <c r="GR279" s="25">
        <v>1</v>
      </c>
      <c r="GS279" s="25">
        <v>1</v>
      </c>
      <c r="GT279" s="25">
        <v>1</v>
      </c>
      <c r="GU279" s="25">
        <v>1</v>
      </c>
      <c r="GV279" s="25" t="s">
        <v>1588</v>
      </c>
      <c r="GW279" s="25" t="s">
        <v>1588</v>
      </c>
      <c r="GX279" s="25" t="s">
        <v>1588</v>
      </c>
      <c r="GY279" s="25" t="s">
        <v>1588</v>
      </c>
      <c r="GZ279" s="25" t="s">
        <v>1588</v>
      </c>
      <c r="HA279" s="25" t="s">
        <v>1588</v>
      </c>
      <c r="HB279" s="25" t="s">
        <v>1588</v>
      </c>
      <c r="HC279" s="25" t="s">
        <v>1588</v>
      </c>
      <c r="HD279" s="25" t="s">
        <v>1588</v>
      </c>
      <c r="HE279" s="25" t="s">
        <v>1588</v>
      </c>
      <c r="HF279" s="25" t="s">
        <v>1588</v>
      </c>
      <c r="HG279" s="25" t="s">
        <v>455</v>
      </c>
      <c r="HH279" s="25" t="s">
        <v>455</v>
      </c>
      <c r="HI279" s="25"/>
      <c r="HJ279" s="25"/>
      <c r="HK279" s="25"/>
      <c r="HL279" s="25" t="s">
        <v>1709</v>
      </c>
      <c r="HM279" s="84" t="s">
        <v>1746</v>
      </c>
      <c r="HN279" s="84"/>
      <c r="HO279" s="84"/>
      <c r="HP279" s="84"/>
      <c r="HQ279" s="84"/>
      <c r="HR279" s="84"/>
      <c r="HS279" s="84"/>
      <c r="HT279" s="84"/>
      <c r="HU279" s="13"/>
      <c r="HV279" s="13" t="s">
        <v>1209</v>
      </c>
      <c r="HW279" s="32"/>
      <c r="HX279" s="55"/>
      <c r="HY279" s="55"/>
      <c r="HZ279" s="55"/>
      <c r="IA279" s="55"/>
      <c r="IB279" s="55"/>
      <c r="IC279" s="55"/>
      <c r="ID279" s="55"/>
      <c r="IE279" s="55"/>
      <c r="IF279" s="107">
        <v>36960</v>
      </c>
      <c r="IG279" s="107"/>
      <c r="IH279" s="250">
        <f t="shared" si="119"/>
        <v>36959.99</v>
      </c>
      <c r="II279" s="55"/>
      <c r="IJ279" s="55"/>
      <c r="IK279" s="55"/>
      <c r="IL279" s="55"/>
      <c r="IM279" s="55"/>
      <c r="IN279" s="55"/>
      <c r="IO279" s="55"/>
      <c r="IP279" s="55"/>
      <c r="IQ279" s="55"/>
      <c r="IR279" s="55"/>
      <c r="IS279" s="55"/>
      <c r="IT279" s="55"/>
      <c r="IU279" s="55"/>
      <c r="IV279" s="55"/>
      <c r="IW279" s="55"/>
      <c r="IX279" s="55"/>
      <c r="IY279" s="55"/>
      <c r="IZ279" s="55"/>
      <c r="JA279" s="55"/>
      <c r="JB279" s="55"/>
      <c r="JC279" s="55"/>
      <c r="JD279" s="55">
        <v>2019</v>
      </c>
      <c r="JE279" s="5" t="s">
        <v>2008</v>
      </c>
    </row>
    <row r="280" spans="1:265" s="5" customFormat="1" ht="41.25" hidden="1" customHeight="1">
      <c r="A280" s="26" t="s">
        <v>95</v>
      </c>
      <c r="B280" s="26" t="s">
        <v>203</v>
      </c>
      <c r="C280" s="13" t="s">
        <v>349</v>
      </c>
      <c r="D280" s="13" t="s">
        <v>380</v>
      </c>
      <c r="E280" s="16" t="s">
        <v>350</v>
      </c>
      <c r="F280" s="13" t="s">
        <v>356</v>
      </c>
      <c r="G280" s="26" t="s">
        <v>351</v>
      </c>
      <c r="H280" s="13" t="s">
        <v>1518</v>
      </c>
      <c r="I280" s="313" t="s">
        <v>98</v>
      </c>
      <c r="J280" s="26">
        <v>2</v>
      </c>
      <c r="K280" s="49" t="s">
        <v>375</v>
      </c>
      <c r="L280" s="314" t="s">
        <v>251</v>
      </c>
      <c r="M280" s="15" t="s">
        <v>252</v>
      </c>
      <c r="N280" s="43"/>
      <c r="O280" s="13" t="s">
        <v>206</v>
      </c>
      <c r="P280" s="13" t="s">
        <v>4</v>
      </c>
      <c r="Q280" s="22" t="s">
        <v>1118</v>
      </c>
      <c r="R280" s="314" t="s">
        <v>251</v>
      </c>
      <c r="S280" s="13" t="s">
        <v>726</v>
      </c>
      <c r="T280" s="13" t="s">
        <v>1387</v>
      </c>
      <c r="U280" s="13" t="s">
        <v>477</v>
      </c>
      <c r="V280" s="24">
        <v>1102323803001</v>
      </c>
      <c r="W280" s="13" t="s">
        <v>570</v>
      </c>
      <c r="X280" s="13" t="s">
        <v>570</v>
      </c>
      <c r="Y280" s="13" t="s">
        <v>896</v>
      </c>
      <c r="Z280" s="13" t="s">
        <v>503</v>
      </c>
      <c r="AA280" s="29"/>
      <c r="AB280" s="29">
        <v>49800</v>
      </c>
      <c r="AC280" s="29">
        <v>0</v>
      </c>
      <c r="AD280" s="29">
        <v>49800</v>
      </c>
      <c r="AE280" s="29">
        <v>0</v>
      </c>
      <c r="AF280" s="29">
        <f t="shared" si="121"/>
        <v>49800</v>
      </c>
      <c r="AG280" s="25">
        <v>0.12</v>
      </c>
      <c r="AH280" s="29">
        <f t="shared" si="116"/>
        <v>5976</v>
      </c>
      <c r="AI280" s="29">
        <f t="shared" si="117"/>
        <v>0</v>
      </c>
      <c r="AJ280" s="29">
        <f t="shared" si="118"/>
        <v>55776.000000000007</v>
      </c>
      <c r="AK280" s="29">
        <v>49799.990000000005</v>
      </c>
      <c r="AL280" s="29">
        <f t="shared" si="125"/>
        <v>9.9999999947613105E-3</v>
      </c>
      <c r="AM280" s="126"/>
      <c r="AN280" s="29"/>
      <c r="AO280" s="29">
        <v>49800</v>
      </c>
      <c r="AP280" s="29"/>
      <c r="AQ280" s="29">
        <v>49800</v>
      </c>
      <c r="AR280" s="25">
        <v>0.14000000000000001</v>
      </c>
      <c r="AS280" s="93">
        <f t="shared" si="126"/>
        <v>6972.0000000000009</v>
      </c>
      <c r="AT280" s="29">
        <f t="shared" si="127"/>
        <v>56771.999999999993</v>
      </c>
      <c r="AU280" s="29"/>
      <c r="AV280" s="29"/>
      <c r="AW280" s="29"/>
      <c r="AX280" s="29"/>
      <c r="AY280" s="29"/>
      <c r="AZ280" s="29"/>
      <c r="BA280" s="29"/>
      <c r="BB280" s="29"/>
      <c r="BC280" s="29"/>
      <c r="BD280" s="29"/>
      <c r="BE280" s="29"/>
      <c r="BF280" s="29">
        <f t="shared" si="123"/>
        <v>0</v>
      </c>
      <c r="BG280" s="29">
        <f t="shared" ref="BG280:BG304" si="130">BF280-AW280-AZ280-BC280-BE280</f>
        <v>0</v>
      </c>
      <c r="BH280" s="93" t="s">
        <v>886</v>
      </c>
      <c r="BI280" s="23" t="s">
        <v>570</v>
      </c>
      <c r="BJ280" s="23" t="s">
        <v>570</v>
      </c>
      <c r="BK280" s="23"/>
      <c r="BL280" s="23"/>
      <c r="BM280" s="23"/>
      <c r="BN280" s="23">
        <v>42571</v>
      </c>
      <c r="BO280" s="13" t="s">
        <v>570</v>
      </c>
      <c r="BP280" s="13" t="s">
        <v>570</v>
      </c>
      <c r="BQ280" s="23">
        <v>42601</v>
      </c>
      <c r="BR280" s="13" t="s">
        <v>570</v>
      </c>
      <c r="BS280" s="13" t="s">
        <v>570</v>
      </c>
      <c r="BT280" s="13" t="s">
        <v>570</v>
      </c>
      <c r="BU280" s="13" t="s">
        <v>570</v>
      </c>
      <c r="BV280" s="13" t="s">
        <v>570</v>
      </c>
      <c r="BW280" s="13" t="s">
        <v>570</v>
      </c>
      <c r="BX280" s="23">
        <v>42657</v>
      </c>
      <c r="BY280" s="13" t="s">
        <v>570</v>
      </c>
      <c r="BZ280" s="13" t="s">
        <v>570</v>
      </c>
      <c r="CA280" s="23">
        <v>42663</v>
      </c>
      <c r="CB280" s="224" t="s">
        <v>570</v>
      </c>
      <c r="CC280" s="224" t="s">
        <v>570</v>
      </c>
      <c r="CD280" s="224" t="s">
        <v>570</v>
      </c>
      <c r="CE280" s="13"/>
      <c r="CF280" s="13"/>
      <c r="CG280" s="13"/>
      <c r="CH280" s="13"/>
      <c r="CI280" s="13"/>
      <c r="CJ280" s="13"/>
      <c r="CK280" s="13"/>
      <c r="CL280" s="13"/>
      <c r="CM280" s="13"/>
      <c r="CN280" s="13"/>
      <c r="CO280" s="13"/>
      <c r="CP280" s="13"/>
      <c r="CQ280" s="13"/>
      <c r="CR280" s="13"/>
      <c r="CS280" s="29" t="s">
        <v>570</v>
      </c>
      <c r="CT280" s="29" t="s">
        <v>570</v>
      </c>
      <c r="CU280" s="29" t="s">
        <v>570</v>
      </c>
      <c r="CV280" s="23">
        <v>42686</v>
      </c>
      <c r="CW280" s="30">
        <v>12450</v>
      </c>
      <c r="CX280" s="194" t="s">
        <v>1267</v>
      </c>
      <c r="CY280" s="155">
        <v>42731</v>
      </c>
      <c r="CZ280" s="93">
        <f>1915.38-957.69</f>
        <v>957.69</v>
      </c>
      <c r="DA280" s="193" t="s">
        <v>1268</v>
      </c>
      <c r="DB280" s="155">
        <v>42765</v>
      </c>
      <c r="DC280" s="192">
        <f>1915.38-957.69</f>
        <v>957.69</v>
      </c>
      <c r="DD280" s="193" t="s">
        <v>1269</v>
      </c>
      <c r="DE280" s="155">
        <v>42790</v>
      </c>
      <c r="DF280" s="192">
        <f>3112.5-957.69</f>
        <v>2154.81</v>
      </c>
      <c r="DG280" s="189" t="s">
        <v>1450</v>
      </c>
      <c r="DH280" s="155">
        <v>42795</v>
      </c>
      <c r="DI280" s="192">
        <v>2394.23</v>
      </c>
      <c r="DJ280" s="189" t="s">
        <v>1451</v>
      </c>
      <c r="DK280" s="155">
        <v>42821</v>
      </c>
      <c r="DL280" s="192">
        <v>2154.81</v>
      </c>
      <c r="DM280" s="189" t="s">
        <v>1452</v>
      </c>
      <c r="DN280" s="155">
        <v>42851</v>
      </c>
      <c r="DO280" s="192">
        <v>2154.81</v>
      </c>
      <c r="DP280" s="189" t="s">
        <v>1453</v>
      </c>
      <c r="DQ280" s="155">
        <v>42886</v>
      </c>
      <c r="DR280" s="192">
        <v>2154.81</v>
      </c>
      <c r="DS280" s="13"/>
      <c r="DT280" s="13"/>
      <c r="DU280" s="13"/>
      <c r="DV280" s="13"/>
      <c r="DW280" s="13"/>
      <c r="DX280" s="13"/>
      <c r="DY280" s="92">
        <f t="shared" si="120"/>
        <v>25378.850000000006</v>
      </c>
      <c r="DZ280" s="13"/>
      <c r="EA280" s="13"/>
      <c r="EB280" s="13"/>
      <c r="EC280" s="13"/>
      <c r="ED280" s="13"/>
      <c r="EE280" s="13"/>
      <c r="EF280" s="13"/>
      <c r="EG280" s="13">
        <v>390</v>
      </c>
      <c r="EH280" s="13" t="s">
        <v>548</v>
      </c>
      <c r="EI280" s="23">
        <f>CA280+1</f>
        <v>42664</v>
      </c>
      <c r="EJ280" s="23">
        <f t="shared" si="129"/>
        <v>43054</v>
      </c>
      <c r="EK280" s="13"/>
      <c r="EL280" s="13"/>
      <c r="EM280" s="13"/>
      <c r="EN280" s="13"/>
      <c r="EO280" s="13"/>
      <c r="EP280" s="13"/>
      <c r="EQ280" s="13"/>
      <c r="ER280" s="13"/>
      <c r="ES280" s="13"/>
      <c r="ET280" s="13"/>
      <c r="EU280" s="13"/>
      <c r="EV280" s="13"/>
      <c r="EW280" s="13"/>
      <c r="EX280" s="13"/>
      <c r="EY280" s="13"/>
      <c r="EZ280" s="13"/>
      <c r="FA280" s="13"/>
      <c r="FB280" s="13"/>
      <c r="FC280" s="13"/>
      <c r="FD280" s="13"/>
      <c r="FE280" s="13"/>
      <c r="FF280" s="13"/>
      <c r="FG280" s="13"/>
      <c r="FH280" s="25"/>
      <c r="FI280" s="25"/>
      <c r="FJ280" s="25"/>
      <c r="FK280" s="25"/>
      <c r="FL280" s="25"/>
      <c r="FM280" s="25"/>
      <c r="FN280" s="25"/>
      <c r="FO280" s="25"/>
      <c r="FP280" s="25"/>
      <c r="FQ280" s="25"/>
      <c r="FR280" s="25"/>
      <c r="FS280" s="25"/>
      <c r="FT280" s="25">
        <v>1E-4</v>
      </c>
      <c r="FU280" s="25">
        <v>8.0000000000000004E-4</v>
      </c>
      <c r="FV280" s="25">
        <v>8.0000000000000004E-4</v>
      </c>
      <c r="FW280" s="25">
        <v>0.36</v>
      </c>
      <c r="FX280" s="25">
        <v>0.4</v>
      </c>
      <c r="FY280" s="25">
        <v>0.41</v>
      </c>
      <c r="FZ280" s="25">
        <v>0.6</v>
      </c>
      <c r="GA280" s="25">
        <v>0.75</v>
      </c>
      <c r="GB280" s="25">
        <v>0.75</v>
      </c>
      <c r="GC280" s="25">
        <v>0.89</v>
      </c>
      <c r="GD280" s="25">
        <v>0.95</v>
      </c>
      <c r="GE280" s="25">
        <v>0.95</v>
      </c>
      <c r="GF280" s="25">
        <v>0.95</v>
      </c>
      <c r="GG280" s="25">
        <v>0.95</v>
      </c>
      <c r="GH280" s="25">
        <v>0.95</v>
      </c>
      <c r="GI280" s="25">
        <v>1</v>
      </c>
      <c r="GJ280" s="25">
        <v>1</v>
      </c>
      <c r="GK280" s="25">
        <v>1</v>
      </c>
      <c r="GL280" s="25">
        <v>1</v>
      </c>
      <c r="GM280" s="25">
        <v>1</v>
      </c>
      <c r="GN280" s="25">
        <v>1</v>
      </c>
      <c r="GO280" s="25">
        <v>1</v>
      </c>
      <c r="GP280" s="25">
        <v>1</v>
      </c>
      <c r="GQ280" s="25">
        <v>1</v>
      </c>
      <c r="GR280" s="25">
        <v>1</v>
      </c>
      <c r="GS280" s="25">
        <v>1</v>
      </c>
      <c r="GT280" s="25">
        <v>1</v>
      </c>
      <c r="GU280" s="25">
        <v>1</v>
      </c>
      <c r="GV280" s="25" t="s">
        <v>1588</v>
      </c>
      <c r="GW280" s="25" t="s">
        <v>1588</v>
      </c>
      <c r="GX280" s="25" t="s">
        <v>1588</v>
      </c>
      <c r="GY280" s="25" t="s">
        <v>1588</v>
      </c>
      <c r="GZ280" s="25" t="s">
        <v>1588</v>
      </c>
      <c r="HA280" s="25" t="s">
        <v>455</v>
      </c>
      <c r="HB280" s="25" t="s">
        <v>455</v>
      </c>
      <c r="HC280" s="25" t="s">
        <v>455</v>
      </c>
      <c r="HD280" s="25" t="s">
        <v>455</v>
      </c>
      <c r="HE280" s="25" t="s">
        <v>455</v>
      </c>
      <c r="HF280" s="25" t="s">
        <v>455</v>
      </c>
      <c r="HG280" s="25" t="s">
        <v>455</v>
      </c>
      <c r="HH280" s="25" t="s">
        <v>455</v>
      </c>
      <c r="HI280" s="25"/>
      <c r="HJ280" s="25"/>
      <c r="HK280" s="25"/>
      <c r="HL280" s="25" t="s">
        <v>1710</v>
      </c>
      <c r="HM280" s="84" t="s">
        <v>1710</v>
      </c>
      <c r="HN280" s="84"/>
      <c r="HO280" s="84"/>
      <c r="HP280" s="84"/>
      <c r="HQ280" s="84"/>
      <c r="HR280" s="84"/>
      <c r="HS280" s="84"/>
      <c r="HT280" s="84"/>
      <c r="HU280" s="13"/>
      <c r="HV280" s="13"/>
      <c r="HW280" s="32"/>
      <c r="HX280" s="55"/>
      <c r="HY280" s="55"/>
      <c r="HZ280" s="55"/>
      <c r="IA280" s="55"/>
      <c r="IB280" s="55"/>
      <c r="IC280" s="55"/>
      <c r="ID280" s="55"/>
      <c r="IE280" s="55"/>
      <c r="IF280" s="107">
        <v>49800</v>
      </c>
      <c r="IG280" s="107">
        <v>49799.990000000005</v>
      </c>
      <c r="IH280" s="250">
        <f t="shared" si="119"/>
        <v>0</v>
      </c>
      <c r="II280" s="55"/>
      <c r="IJ280" s="55"/>
      <c r="IK280" s="55"/>
      <c r="IL280" s="55"/>
      <c r="IM280" s="55"/>
      <c r="IN280" s="55"/>
      <c r="IO280" s="55"/>
      <c r="IP280" s="55"/>
      <c r="IQ280" s="55"/>
      <c r="IR280" s="55"/>
      <c r="IS280" s="55"/>
      <c r="IT280" s="55"/>
      <c r="IU280" s="55"/>
      <c r="IV280" s="55"/>
      <c r="IW280" s="55"/>
      <c r="IX280" s="55"/>
      <c r="IY280" s="55"/>
      <c r="IZ280" s="55"/>
      <c r="JA280" s="55"/>
      <c r="JB280" s="55"/>
      <c r="JC280" s="55"/>
      <c r="JD280" s="55">
        <v>2018</v>
      </c>
    </row>
    <row r="281" spans="1:265" s="5" customFormat="1" ht="46.5" hidden="1" customHeight="1">
      <c r="A281" s="26" t="s">
        <v>95</v>
      </c>
      <c r="B281" s="26" t="s">
        <v>203</v>
      </c>
      <c r="C281" s="13" t="s">
        <v>349</v>
      </c>
      <c r="D281" s="13" t="s">
        <v>380</v>
      </c>
      <c r="E281" s="16" t="s">
        <v>350</v>
      </c>
      <c r="F281" s="13" t="s">
        <v>356</v>
      </c>
      <c r="G281" s="26" t="s">
        <v>351</v>
      </c>
      <c r="H281" s="13" t="s">
        <v>1518</v>
      </c>
      <c r="I281" s="313" t="s">
        <v>98</v>
      </c>
      <c r="J281" s="26">
        <v>2</v>
      </c>
      <c r="K281" s="49" t="s">
        <v>375</v>
      </c>
      <c r="L281" s="314" t="s">
        <v>253</v>
      </c>
      <c r="M281" s="15" t="s">
        <v>254</v>
      </c>
      <c r="N281" s="43"/>
      <c r="O281" s="13" t="s">
        <v>206</v>
      </c>
      <c r="P281" s="13" t="s">
        <v>4</v>
      </c>
      <c r="Q281" s="22" t="s">
        <v>1118</v>
      </c>
      <c r="R281" s="314" t="s">
        <v>253</v>
      </c>
      <c r="S281" s="13" t="s">
        <v>892</v>
      </c>
      <c r="T281" s="13" t="s">
        <v>1387</v>
      </c>
      <c r="U281" s="13" t="s">
        <v>477</v>
      </c>
      <c r="V281" s="13" t="s">
        <v>891</v>
      </c>
      <c r="W281" s="13" t="s">
        <v>570</v>
      </c>
      <c r="X281" s="13" t="s">
        <v>570</v>
      </c>
      <c r="Y281" s="13" t="s">
        <v>885</v>
      </c>
      <c r="Z281" s="13" t="s">
        <v>503</v>
      </c>
      <c r="AA281" s="29"/>
      <c r="AB281" s="29">
        <v>48504</v>
      </c>
      <c r="AC281" s="29">
        <v>0</v>
      </c>
      <c r="AD281" s="29">
        <v>48504</v>
      </c>
      <c r="AE281" s="29">
        <v>0</v>
      </c>
      <c r="AF281" s="29">
        <f t="shared" si="121"/>
        <v>48504</v>
      </c>
      <c r="AG281" s="25">
        <v>0.12</v>
      </c>
      <c r="AH281" s="29">
        <f t="shared" si="116"/>
        <v>5820.48</v>
      </c>
      <c r="AI281" s="29">
        <f t="shared" si="117"/>
        <v>0</v>
      </c>
      <c r="AJ281" s="29">
        <f t="shared" si="118"/>
        <v>54324.480000000003</v>
      </c>
      <c r="AK281" s="29">
        <v>48504</v>
      </c>
      <c r="AL281" s="29">
        <f t="shared" si="125"/>
        <v>0</v>
      </c>
      <c r="AM281" s="126"/>
      <c r="AN281" s="29"/>
      <c r="AO281" s="29">
        <v>48504</v>
      </c>
      <c r="AP281" s="29"/>
      <c r="AQ281" s="29">
        <v>48504</v>
      </c>
      <c r="AR281" s="25">
        <v>0.14000000000000001</v>
      </c>
      <c r="AS281" s="93">
        <f t="shared" si="126"/>
        <v>6790.56</v>
      </c>
      <c r="AT281" s="29">
        <f t="shared" si="127"/>
        <v>55294.559999999998</v>
      </c>
      <c r="AU281" s="29"/>
      <c r="AV281" s="29"/>
      <c r="AW281" s="29"/>
      <c r="AX281" s="29"/>
      <c r="AY281" s="29"/>
      <c r="AZ281" s="29"/>
      <c r="BA281" s="29"/>
      <c r="BB281" s="29"/>
      <c r="BC281" s="29"/>
      <c r="BD281" s="29"/>
      <c r="BE281" s="29"/>
      <c r="BF281" s="29">
        <f t="shared" si="123"/>
        <v>0</v>
      </c>
      <c r="BG281" s="29">
        <f t="shared" si="130"/>
        <v>0</v>
      </c>
      <c r="BH281" s="93" t="s">
        <v>886</v>
      </c>
      <c r="BI281" s="23" t="s">
        <v>570</v>
      </c>
      <c r="BJ281" s="23" t="s">
        <v>570</v>
      </c>
      <c r="BK281" s="23"/>
      <c r="BL281" s="23"/>
      <c r="BM281" s="23"/>
      <c r="BN281" s="23">
        <v>42571</v>
      </c>
      <c r="BO281" s="13" t="s">
        <v>570</v>
      </c>
      <c r="BP281" s="13" t="s">
        <v>570</v>
      </c>
      <c r="BQ281" s="23">
        <v>42601</v>
      </c>
      <c r="BR281" s="13" t="s">
        <v>570</v>
      </c>
      <c r="BS281" s="13" t="s">
        <v>570</v>
      </c>
      <c r="BT281" s="13" t="s">
        <v>570</v>
      </c>
      <c r="BU281" s="13" t="s">
        <v>570</v>
      </c>
      <c r="BV281" s="13" t="s">
        <v>570</v>
      </c>
      <c r="BW281" s="13" t="s">
        <v>570</v>
      </c>
      <c r="BX281" s="23">
        <v>42674</v>
      </c>
      <c r="BY281" s="13" t="s">
        <v>570</v>
      </c>
      <c r="BZ281" s="13" t="s">
        <v>570</v>
      </c>
      <c r="CA281" s="23">
        <v>42688</v>
      </c>
      <c r="CB281" s="224" t="s">
        <v>570</v>
      </c>
      <c r="CC281" s="224" t="s">
        <v>570</v>
      </c>
      <c r="CD281" s="224" t="s">
        <v>570</v>
      </c>
      <c r="CE281" s="13"/>
      <c r="CF281" s="13"/>
      <c r="CG281" s="13"/>
      <c r="CH281" s="13"/>
      <c r="CI281" s="13"/>
      <c r="CJ281" s="13"/>
      <c r="CK281" s="13"/>
      <c r="CL281" s="13"/>
      <c r="CM281" s="13"/>
      <c r="CN281" s="13"/>
      <c r="CO281" s="13"/>
      <c r="CP281" s="13"/>
      <c r="CQ281" s="13"/>
      <c r="CR281" s="13"/>
      <c r="CS281" s="29" t="s">
        <v>570</v>
      </c>
      <c r="CT281" s="29" t="s">
        <v>570</v>
      </c>
      <c r="CU281" s="29" t="s">
        <v>570</v>
      </c>
      <c r="CV281" s="23">
        <v>42706</v>
      </c>
      <c r="CW281" s="30">
        <v>12126</v>
      </c>
      <c r="CX281" s="189" t="s">
        <v>1263</v>
      </c>
      <c r="CY281" s="23">
        <v>42780</v>
      </c>
      <c r="CZ281" s="30">
        <f>3031.5-932.77</f>
        <v>2098.73</v>
      </c>
      <c r="DA281" s="189" t="s">
        <v>1264</v>
      </c>
      <c r="DB281" s="155">
        <v>42808</v>
      </c>
      <c r="DC281" s="191">
        <v>2098.73</v>
      </c>
      <c r="DD281" s="189" t="s">
        <v>1445</v>
      </c>
      <c r="DE281" s="155">
        <v>42851</v>
      </c>
      <c r="DF281" s="191">
        <v>2098.73</v>
      </c>
      <c r="DG281" s="189" t="s">
        <v>1446</v>
      </c>
      <c r="DH281" s="155">
        <v>42865</v>
      </c>
      <c r="DI281" s="191">
        <v>2098.73</v>
      </c>
      <c r="DJ281" s="13"/>
      <c r="DK281" s="13"/>
      <c r="DL281" s="13"/>
      <c r="DM281" s="13"/>
      <c r="DN281" s="13"/>
      <c r="DO281" s="13"/>
      <c r="DP281" s="13"/>
      <c r="DQ281" s="13"/>
      <c r="DR281" s="13"/>
      <c r="DS281" s="13"/>
      <c r="DT281" s="13"/>
      <c r="DU281" s="13"/>
      <c r="DV281" s="13"/>
      <c r="DW281" s="13"/>
      <c r="DX281" s="13"/>
      <c r="DY281" s="92">
        <f t="shared" si="120"/>
        <v>20520.919999999998</v>
      </c>
      <c r="DZ281" s="13"/>
      <c r="EA281" s="13"/>
      <c r="EB281" s="13"/>
      <c r="EC281" s="13"/>
      <c r="ED281" s="13"/>
      <c r="EE281" s="13"/>
      <c r="EF281" s="13"/>
      <c r="EG281" s="13">
        <v>390</v>
      </c>
      <c r="EH281" s="13" t="s">
        <v>588</v>
      </c>
      <c r="EI281" s="23">
        <f>CV281+1</f>
        <v>42707</v>
      </c>
      <c r="EJ281" s="23">
        <f t="shared" si="129"/>
        <v>43097</v>
      </c>
      <c r="EK281" s="13"/>
      <c r="EL281" s="13"/>
      <c r="EM281" s="13"/>
      <c r="EN281" s="13"/>
      <c r="EO281" s="13"/>
      <c r="EP281" s="13"/>
      <c r="EQ281" s="13"/>
      <c r="ER281" s="13"/>
      <c r="ES281" s="13"/>
      <c r="ET281" s="13"/>
      <c r="EU281" s="13"/>
      <c r="EV281" s="13"/>
      <c r="EW281" s="13"/>
      <c r="EX281" s="13"/>
      <c r="EY281" s="13"/>
      <c r="EZ281" s="13"/>
      <c r="FA281" s="13"/>
      <c r="FB281" s="13"/>
      <c r="FC281" s="13"/>
      <c r="FD281" s="13"/>
      <c r="FE281" s="13"/>
      <c r="FF281" s="13"/>
      <c r="FG281" s="13"/>
      <c r="FH281" s="25"/>
      <c r="FI281" s="25"/>
      <c r="FJ281" s="25"/>
      <c r="FK281" s="25"/>
      <c r="FL281" s="25"/>
      <c r="FM281" s="25"/>
      <c r="FN281" s="25"/>
      <c r="FO281" s="25"/>
      <c r="FP281" s="25"/>
      <c r="FQ281" s="25"/>
      <c r="FR281" s="25"/>
      <c r="FS281" s="25"/>
      <c r="FT281" s="25">
        <v>1E-4</v>
      </c>
      <c r="FU281" s="25">
        <v>8.0000000000000004E-4</v>
      </c>
      <c r="FV281" s="25">
        <v>8.0000000000000004E-4</v>
      </c>
      <c r="FW281" s="25">
        <v>0.36</v>
      </c>
      <c r="FX281" s="25">
        <v>0.4</v>
      </c>
      <c r="FY281" s="25">
        <v>0.41</v>
      </c>
      <c r="FZ281" s="25">
        <v>0.6</v>
      </c>
      <c r="GA281" s="25">
        <v>0.75</v>
      </c>
      <c r="GB281" s="25">
        <v>0.75</v>
      </c>
      <c r="GC281" s="25">
        <v>0.89</v>
      </c>
      <c r="GD281" s="25">
        <v>0.95</v>
      </c>
      <c r="GE281" s="25">
        <v>0.95</v>
      </c>
      <c r="GF281" s="25">
        <v>0.95</v>
      </c>
      <c r="GG281" s="25">
        <v>0.95</v>
      </c>
      <c r="GH281" s="25">
        <v>0.95</v>
      </c>
      <c r="GI281" s="25">
        <v>1</v>
      </c>
      <c r="GJ281" s="25">
        <v>1</v>
      </c>
      <c r="GK281" s="25">
        <v>1</v>
      </c>
      <c r="GL281" s="25">
        <v>1</v>
      </c>
      <c r="GM281" s="25">
        <v>1</v>
      </c>
      <c r="GN281" s="25">
        <v>1</v>
      </c>
      <c r="GO281" s="25">
        <v>1</v>
      </c>
      <c r="GP281" s="25">
        <v>1</v>
      </c>
      <c r="GQ281" s="25">
        <v>1</v>
      </c>
      <c r="GR281" s="25">
        <v>1</v>
      </c>
      <c r="GS281" s="25">
        <v>1</v>
      </c>
      <c r="GT281" s="25">
        <v>1</v>
      </c>
      <c r="GU281" s="25">
        <v>1</v>
      </c>
      <c r="GV281" s="25" t="s">
        <v>1588</v>
      </c>
      <c r="GW281" s="25" t="s">
        <v>1588</v>
      </c>
      <c r="GX281" s="25" t="s">
        <v>1588</v>
      </c>
      <c r="GY281" s="25" t="s">
        <v>1588</v>
      </c>
      <c r="GZ281" s="25" t="s">
        <v>1588</v>
      </c>
      <c r="HA281" s="25" t="s">
        <v>455</v>
      </c>
      <c r="HB281" s="25" t="s">
        <v>455</v>
      </c>
      <c r="HC281" s="25" t="s">
        <v>455</v>
      </c>
      <c r="HD281" s="25" t="s">
        <v>455</v>
      </c>
      <c r="HE281" s="25" t="s">
        <v>455</v>
      </c>
      <c r="HF281" s="25" t="s">
        <v>455</v>
      </c>
      <c r="HG281" s="25" t="s">
        <v>455</v>
      </c>
      <c r="HH281" s="25" t="s">
        <v>455</v>
      </c>
      <c r="HI281" s="25"/>
      <c r="HJ281" s="25"/>
      <c r="HK281" s="25"/>
      <c r="HL281" s="25" t="s">
        <v>1710</v>
      </c>
      <c r="HM281" s="84" t="s">
        <v>1710</v>
      </c>
      <c r="HN281" s="84"/>
      <c r="HO281" s="84"/>
      <c r="HP281" s="84"/>
      <c r="HQ281" s="84"/>
      <c r="HR281" s="84"/>
      <c r="HS281" s="84"/>
      <c r="HT281" s="84"/>
      <c r="HU281" s="13"/>
      <c r="HV281" s="13"/>
      <c r="HW281" s="32"/>
      <c r="HX281" s="55"/>
      <c r="HY281" s="55"/>
      <c r="HZ281" s="55"/>
      <c r="IA281" s="55"/>
      <c r="IB281" s="55"/>
      <c r="IC281" s="55"/>
      <c r="ID281" s="55"/>
      <c r="IE281" s="55"/>
      <c r="IF281" s="107">
        <v>48504</v>
      </c>
      <c r="IG281" s="107">
        <v>48504</v>
      </c>
      <c r="IH281" s="250">
        <f t="shared" si="119"/>
        <v>0</v>
      </c>
      <c r="II281" s="55"/>
      <c r="IJ281" s="55"/>
      <c r="IK281" s="55"/>
      <c r="IL281" s="55"/>
      <c r="IM281" s="55"/>
      <c r="IN281" s="55"/>
      <c r="IO281" s="55"/>
      <c r="IP281" s="55"/>
      <c r="IQ281" s="55"/>
      <c r="IR281" s="55"/>
      <c r="IS281" s="55"/>
      <c r="IT281" s="55"/>
      <c r="IU281" s="55"/>
      <c r="IV281" s="55"/>
      <c r="IW281" s="55"/>
      <c r="IX281" s="55"/>
      <c r="IY281" s="55"/>
      <c r="IZ281" s="55"/>
      <c r="JA281" s="55"/>
      <c r="JB281" s="55"/>
      <c r="JC281" s="55"/>
      <c r="JD281" s="55">
        <v>2018</v>
      </c>
    </row>
    <row r="282" spans="1:265" s="5" customFormat="1" ht="24.95" hidden="1" customHeight="1">
      <c r="A282" s="26" t="s">
        <v>95</v>
      </c>
      <c r="B282" s="26" t="s">
        <v>203</v>
      </c>
      <c r="C282" s="13" t="s">
        <v>349</v>
      </c>
      <c r="D282" s="13" t="s">
        <v>380</v>
      </c>
      <c r="E282" s="16" t="s">
        <v>350</v>
      </c>
      <c r="F282" s="13" t="s">
        <v>356</v>
      </c>
      <c r="G282" s="26" t="s">
        <v>351</v>
      </c>
      <c r="H282" s="13" t="s">
        <v>1518</v>
      </c>
      <c r="I282" s="313" t="s">
        <v>98</v>
      </c>
      <c r="J282" s="26">
        <v>2</v>
      </c>
      <c r="K282" s="49" t="s">
        <v>375</v>
      </c>
      <c r="L282" s="314" t="s">
        <v>255</v>
      </c>
      <c r="M282" s="15" t="s">
        <v>256</v>
      </c>
      <c r="N282" s="43"/>
      <c r="O282" s="13" t="s">
        <v>206</v>
      </c>
      <c r="P282" s="13" t="s">
        <v>4</v>
      </c>
      <c r="Q282" s="22" t="s">
        <v>1118</v>
      </c>
      <c r="R282" s="314" t="s">
        <v>255</v>
      </c>
      <c r="S282" s="13" t="s">
        <v>893</v>
      </c>
      <c r="T282" s="13" t="s">
        <v>1387</v>
      </c>
      <c r="U282" s="13" t="s">
        <v>477</v>
      </c>
      <c r="V282" s="13" t="s">
        <v>894</v>
      </c>
      <c r="W282" s="13" t="s">
        <v>570</v>
      </c>
      <c r="X282" s="13" t="s">
        <v>570</v>
      </c>
      <c r="Y282" s="13" t="s">
        <v>895</v>
      </c>
      <c r="Z282" s="13" t="s">
        <v>503</v>
      </c>
      <c r="AA282" s="29"/>
      <c r="AB282" s="29">
        <v>40320</v>
      </c>
      <c r="AC282" s="29">
        <v>0</v>
      </c>
      <c r="AD282" s="29">
        <v>40320</v>
      </c>
      <c r="AE282" s="29">
        <v>0</v>
      </c>
      <c r="AF282" s="29">
        <f t="shared" si="121"/>
        <v>40320</v>
      </c>
      <c r="AG282" s="25">
        <v>0.12</v>
      </c>
      <c r="AH282" s="29">
        <f t="shared" ref="AH282:AH313" si="131">AD282*0.12</f>
        <v>4838.3999999999996</v>
      </c>
      <c r="AI282" s="29">
        <f t="shared" ref="AI282:AI313" si="132">AE282*0.12</f>
        <v>0</v>
      </c>
      <c r="AJ282" s="29">
        <f t="shared" ref="AJ282:AJ313" si="133">AF282*1.12</f>
        <v>45158.400000000001</v>
      </c>
      <c r="AK282" s="29">
        <v>40320</v>
      </c>
      <c r="AL282" s="29">
        <f t="shared" si="125"/>
        <v>0</v>
      </c>
      <c r="AM282" s="126"/>
      <c r="AN282" s="29"/>
      <c r="AO282" s="29">
        <v>40320</v>
      </c>
      <c r="AP282" s="29"/>
      <c r="AQ282" s="29">
        <v>40320</v>
      </c>
      <c r="AR282" s="25">
        <v>0.14000000000000001</v>
      </c>
      <c r="AS282" s="93">
        <f t="shared" si="126"/>
        <v>5644.8</v>
      </c>
      <c r="AT282" s="29">
        <f t="shared" si="127"/>
        <v>45964.799999999996</v>
      </c>
      <c r="AU282" s="29"/>
      <c r="AV282" s="29"/>
      <c r="AW282" s="29"/>
      <c r="AX282" s="29"/>
      <c r="AY282" s="29"/>
      <c r="AZ282" s="29"/>
      <c r="BA282" s="29"/>
      <c r="BB282" s="29"/>
      <c r="BC282" s="29"/>
      <c r="BD282" s="29"/>
      <c r="BE282" s="29"/>
      <c r="BF282" s="29">
        <f t="shared" si="123"/>
        <v>0</v>
      </c>
      <c r="BG282" s="29">
        <f t="shared" si="130"/>
        <v>0</v>
      </c>
      <c r="BH282" s="93" t="s">
        <v>886</v>
      </c>
      <c r="BI282" s="23" t="s">
        <v>570</v>
      </c>
      <c r="BJ282" s="23" t="s">
        <v>570</v>
      </c>
      <c r="BK282" s="23"/>
      <c r="BL282" s="23"/>
      <c r="BM282" s="23"/>
      <c r="BN282" s="23">
        <v>42571</v>
      </c>
      <c r="BO282" s="13" t="s">
        <v>570</v>
      </c>
      <c r="BP282" s="13" t="s">
        <v>570</v>
      </c>
      <c r="BQ282" s="23">
        <v>42601</v>
      </c>
      <c r="BR282" s="13" t="s">
        <v>570</v>
      </c>
      <c r="BS282" s="13" t="s">
        <v>570</v>
      </c>
      <c r="BT282" s="13" t="s">
        <v>570</v>
      </c>
      <c r="BU282" s="13" t="s">
        <v>570</v>
      </c>
      <c r="BV282" s="13" t="s">
        <v>570</v>
      </c>
      <c r="BW282" s="13" t="s">
        <v>570</v>
      </c>
      <c r="BX282" s="23">
        <v>42674</v>
      </c>
      <c r="BY282" s="13" t="s">
        <v>570</v>
      </c>
      <c r="BZ282" s="13" t="s">
        <v>570</v>
      </c>
      <c r="CA282" s="23">
        <v>42688</v>
      </c>
      <c r="CB282" s="224" t="s">
        <v>570</v>
      </c>
      <c r="CC282" s="224" t="s">
        <v>570</v>
      </c>
      <c r="CD282" s="224" t="s">
        <v>570</v>
      </c>
      <c r="CE282" s="13"/>
      <c r="CF282" s="13"/>
      <c r="CG282" s="13"/>
      <c r="CH282" s="13"/>
      <c r="CI282" s="13"/>
      <c r="CJ282" s="13"/>
      <c r="CK282" s="13"/>
      <c r="CL282" s="13"/>
      <c r="CM282" s="13"/>
      <c r="CN282" s="13"/>
      <c r="CO282" s="13"/>
      <c r="CP282" s="13"/>
      <c r="CQ282" s="13"/>
      <c r="CR282" s="13"/>
      <c r="CS282" s="29" t="s">
        <v>570</v>
      </c>
      <c r="CT282" s="29" t="s">
        <v>570</v>
      </c>
      <c r="CU282" s="29" t="s">
        <v>570</v>
      </c>
      <c r="CV282" s="23">
        <v>42706</v>
      </c>
      <c r="CW282" s="30">
        <v>10080</v>
      </c>
      <c r="CX282" s="189" t="s">
        <v>1263</v>
      </c>
      <c r="CY282" s="155">
        <v>42795</v>
      </c>
      <c r="CZ282" s="191">
        <v>1744.62</v>
      </c>
      <c r="DA282" s="189" t="s">
        <v>1264</v>
      </c>
      <c r="DB282" s="155">
        <v>42795</v>
      </c>
      <c r="DC282" s="191">
        <v>1744.62</v>
      </c>
      <c r="DD282" s="189" t="s">
        <v>1445</v>
      </c>
      <c r="DE282" s="155">
        <v>42851</v>
      </c>
      <c r="DF282" s="191">
        <v>1744.62</v>
      </c>
      <c r="DG282" s="189" t="s">
        <v>1446</v>
      </c>
      <c r="DH282" s="155">
        <v>42851</v>
      </c>
      <c r="DI282" s="191">
        <v>1744.62</v>
      </c>
      <c r="DJ282" s="189" t="s">
        <v>1443</v>
      </c>
      <c r="DK282" s="155">
        <v>42886</v>
      </c>
      <c r="DL282" s="191">
        <v>1744.62</v>
      </c>
      <c r="DM282" s="13"/>
      <c r="DN282" s="13"/>
      <c r="DO282" s="13"/>
      <c r="DP282" s="13"/>
      <c r="DQ282" s="13"/>
      <c r="DR282" s="13"/>
      <c r="DS282" s="13"/>
      <c r="DT282" s="13"/>
      <c r="DU282" s="13"/>
      <c r="DV282" s="13"/>
      <c r="DW282" s="13"/>
      <c r="DX282" s="13"/>
      <c r="DY282" s="92">
        <f t="shared" si="120"/>
        <v>18803.099999999995</v>
      </c>
      <c r="DZ282" s="13"/>
      <c r="EA282" s="13"/>
      <c r="EB282" s="13"/>
      <c r="EC282" s="13"/>
      <c r="ED282" s="13"/>
      <c r="EE282" s="13"/>
      <c r="EF282" s="13"/>
      <c r="EG282" s="13">
        <v>390</v>
      </c>
      <c r="EH282" s="13" t="s">
        <v>548</v>
      </c>
      <c r="EI282" s="23">
        <f>CV282+1</f>
        <v>42707</v>
      </c>
      <c r="EJ282" s="23">
        <f t="shared" si="129"/>
        <v>43097</v>
      </c>
      <c r="EK282" s="13"/>
      <c r="EL282" s="13"/>
      <c r="EM282" s="13"/>
      <c r="EN282" s="13"/>
      <c r="EO282" s="13"/>
      <c r="EP282" s="13"/>
      <c r="EQ282" s="13"/>
      <c r="ER282" s="13"/>
      <c r="ES282" s="13"/>
      <c r="ET282" s="13"/>
      <c r="EU282" s="13"/>
      <c r="EV282" s="13"/>
      <c r="EW282" s="13"/>
      <c r="EX282" s="13"/>
      <c r="EY282" s="13"/>
      <c r="EZ282" s="13"/>
      <c r="FA282" s="13"/>
      <c r="FB282" s="13"/>
      <c r="FC282" s="13"/>
      <c r="FD282" s="13"/>
      <c r="FE282" s="13"/>
      <c r="FF282" s="13"/>
      <c r="FG282" s="13"/>
      <c r="FH282" s="25"/>
      <c r="FI282" s="25"/>
      <c r="FJ282" s="25"/>
      <c r="FK282" s="25"/>
      <c r="FL282" s="25"/>
      <c r="FM282" s="25"/>
      <c r="FN282" s="25"/>
      <c r="FO282" s="25"/>
      <c r="FP282" s="25"/>
      <c r="FQ282" s="25"/>
      <c r="FR282" s="25"/>
      <c r="FS282" s="25"/>
      <c r="FT282" s="25">
        <v>1E-4</v>
      </c>
      <c r="FU282" s="25">
        <v>8.0000000000000004E-4</v>
      </c>
      <c r="FV282" s="25">
        <v>8.0000000000000004E-4</v>
      </c>
      <c r="FW282" s="25">
        <v>0.36</v>
      </c>
      <c r="FX282" s="25">
        <v>0.4</v>
      </c>
      <c r="FY282" s="25">
        <v>0.41</v>
      </c>
      <c r="FZ282" s="25">
        <v>0.6</v>
      </c>
      <c r="GA282" s="25">
        <v>0.75</v>
      </c>
      <c r="GB282" s="25">
        <v>0.75</v>
      </c>
      <c r="GC282" s="25">
        <v>0.89</v>
      </c>
      <c r="GD282" s="25">
        <v>0.95</v>
      </c>
      <c r="GE282" s="25">
        <v>0.95</v>
      </c>
      <c r="GF282" s="25">
        <v>0.95</v>
      </c>
      <c r="GG282" s="25">
        <v>0.95</v>
      </c>
      <c r="GH282" s="25">
        <v>0.95</v>
      </c>
      <c r="GI282" s="25">
        <v>1</v>
      </c>
      <c r="GJ282" s="25">
        <v>1</v>
      </c>
      <c r="GK282" s="25">
        <v>1</v>
      </c>
      <c r="GL282" s="25">
        <v>1</v>
      </c>
      <c r="GM282" s="25">
        <v>1</v>
      </c>
      <c r="GN282" s="25">
        <v>1</v>
      </c>
      <c r="GO282" s="25">
        <v>1</v>
      </c>
      <c r="GP282" s="25">
        <v>1</v>
      </c>
      <c r="GQ282" s="25">
        <v>1</v>
      </c>
      <c r="GR282" s="25">
        <v>1</v>
      </c>
      <c r="GS282" s="25">
        <v>1</v>
      </c>
      <c r="GT282" s="25">
        <v>1</v>
      </c>
      <c r="GU282" s="25">
        <v>1</v>
      </c>
      <c r="GV282" s="25" t="s">
        <v>1588</v>
      </c>
      <c r="GW282" s="25" t="s">
        <v>1588</v>
      </c>
      <c r="GX282" s="25" t="s">
        <v>1588</v>
      </c>
      <c r="GY282" s="25" t="s">
        <v>1588</v>
      </c>
      <c r="GZ282" s="25" t="s">
        <v>1588</v>
      </c>
      <c r="HA282" s="25" t="s">
        <v>1588</v>
      </c>
      <c r="HB282" s="25" t="s">
        <v>1856</v>
      </c>
      <c r="HC282" s="25" t="s">
        <v>455</v>
      </c>
      <c r="HD282" s="25" t="s">
        <v>455</v>
      </c>
      <c r="HE282" s="25" t="s">
        <v>455</v>
      </c>
      <c r="HF282" s="25" t="s">
        <v>455</v>
      </c>
      <c r="HG282" s="25" t="s">
        <v>455</v>
      </c>
      <c r="HH282" s="25" t="s">
        <v>455</v>
      </c>
      <c r="HI282" s="25"/>
      <c r="HJ282" s="25"/>
      <c r="HK282" s="25"/>
      <c r="HL282" s="25" t="s">
        <v>1710</v>
      </c>
      <c r="HM282" s="84" t="s">
        <v>1710</v>
      </c>
      <c r="HN282" s="84"/>
      <c r="HO282" s="84" t="s">
        <v>1857</v>
      </c>
      <c r="HP282" s="84"/>
      <c r="HQ282" s="84"/>
      <c r="HR282" s="84"/>
      <c r="HS282" s="84"/>
      <c r="HT282" s="84"/>
      <c r="HU282" s="13"/>
      <c r="HV282" s="13" t="s">
        <v>1209</v>
      </c>
      <c r="HW282" s="32"/>
      <c r="HX282" s="55"/>
      <c r="HY282" s="55"/>
      <c r="HZ282" s="55"/>
      <c r="IA282" s="55"/>
      <c r="IB282" s="55"/>
      <c r="IC282" s="55"/>
      <c r="ID282" s="55"/>
      <c r="IE282" s="55"/>
      <c r="IF282" s="107">
        <v>40320</v>
      </c>
      <c r="IG282" s="107"/>
      <c r="IH282" s="250">
        <f t="shared" ref="IH282:IH313" si="134">AK282-IG282</f>
        <v>40320</v>
      </c>
      <c r="II282" s="55"/>
      <c r="IJ282" s="55"/>
      <c r="IK282" s="55"/>
      <c r="IL282" s="55"/>
      <c r="IM282" s="55"/>
      <c r="IN282" s="55"/>
      <c r="IO282" s="55"/>
      <c r="IP282" s="55"/>
      <c r="IQ282" s="55"/>
      <c r="IR282" s="55"/>
      <c r="IS282" s="55"/>
      <c r="IT282" s="55"/>
      <c r="IU282" s="55"/>
      <c r="IV282" s="55"/>
      <c r="IW282" s="55"/>
      <c r="IX282" s="55"/>
      <c r="IY282" s="55"/>
      <c r="IZ282" s="55"/>
      <c r="JA282" s="55"/>
      <c r="JB282" s="55"/>
      <c r="JC282" s="55"/>
      <c r="JD282" s="55">
        <v>2019</v>
      </c>
    </row>
    <row r="283" spans="1:265" s="5" customFormat="1" ht="24.95" hidden="1" customHeight="1">
      <c r="A283" s="26" t="s">
        <v>95</v>
      </c>
      <c r="B283" s="26" t="s">
        <v>203</v>
      </c>
      <c r="C283" s="13" t="s">
        <v>352</v>
      </c>
      <c r="D283" s="13" t="s">
        <v>377</v>
      </c>
      <c r="E283" s="16" t="s">
        <v>378</v>
      </c>
      <c r="F283" s="13" t="s">
        <v>356</v>
      </c>
      <c r="G283" s="13" t="s">
        <v>354</v>
      </c>
      <c r="H283" s="13" t="s">
        <v>1516</v>
      </c>
      <c r="I283" s="313" t="s">
        <v>100</v>
      </c>
      <c r="J283" s="26">
        <v>3</v>
      </c>
      <c r="K283" s="49" t="s">
        <v>375</v>
      </c>
      <c r="L283" s="314" t="s">
        <v>257</v>
      </c>
      <c r="M283" s="15" t="s">
        <v>258</v>
      </c>
      <c r="N283" s="43"/>
      <c r="O283" s="13" t="s">
        <v>206</v>
      </c>
      <c r="P283" s="13" t="s">
        <v>4</v>
      </c>
      <c r="Q283" s="22" t="s">
        <v>1118</v>
      </c>
      <c r="R283" s="314" t="s">
        <v>257</v>
      </c>
      <c r="S283" s="13" t="s">
        <v>759</v>
      </c>
      <c r="T283" s="13" t="s">
        <v>1387</v>
      </c>
      <c r="U283" s="13" t="s">
        <v>477</v>
      </c>
      <c r="V283" s="13" t="s">
        <v>760</v>
      </c>
      <c r="W283" s="13" t="s">
        <v>570</v>
      </c>
      <c r="X283" s="13" t="s">
        <v>570</v>
      </c>
      <c r="Y283" s="13" t="s">
        <v>899</v>
      </c>
      <c r="Z283" s="13" t="s">
        <v>503</v>
      </c>
      <c r="AA283" s="29"/>
      <c r="AB283" s="29">
        <v>30000</v>
      </c>
      <c r="AC283" s="29">
        <v>0</v>
      </c>
      <c r="AD283" s="29">
        <v>29999.999999999996</v>
      </c>
      <c r="AE283" s="29">
        <v>0</v>
      </c>
      <c r="AF283" s="29">
        <f t="shared" si="121"/>
        <v>29999.999999999996</v>
      </c>
      <c r="AG283" s="25">
        <v>0.12</v>
      </c>
      <c r="AH283" s="29">
        <f t="shared" si="131"/>
        <v>3599.9999999999995</v>
      </c>
      <c r="AI283" s="29">
        <f t="shared" si="132"/>
        <v>0</v>
      </c>
      <c r="AJ283" s="29">
        <f t="shared" si="133"/>
        <v>33600</v>
      </c>
      <c r="AK283" s="29">
        <v>29999.999999999996</v>
      </c>
      <c r="AL283" s="29">
        <f t="shared" si="125"/>
        <v>0</v>
      </c>
      <c r="AM283" s="126"/>
      <c r="AN283" s="29"/>
      <c r="AO283" s="29">
        <v>29999.999999999996</v>
      </c>
      <c r="AP283" s="29"/>
      <c r="AQ283" s="29">
        <v>29999.999999999996</v>
      </c>
      <c r="AR283" s="25">
        <v>0.14000000000000001</v>
      </c>
      <c r="AS283" s="93">
        <f t="shared" si="126"/>
        <v>4200</v>
      </c>
      <c r="AT283" s="29">
        <f t="shared" si="127"/>
        <v>34199.999999999993</v>
      </c>
      <c r="AU283" s="29"/>
      <c r="AV283" s="29"/>
      <c r="AW283" s="29"/>
      <c r="AX283" s="29"/>
      <c r="AY283" s="29"/>
      <c r="AZ283" s="29"/>
      <c r="BA283" s="29"/>
      <c r="BB283" s="29"/>
      <c r="BC283" s="29"/>
      <c r="BD283" s="29"/>
      <c r="BE283" s="29"/>
      <c r="BF283" s="29">
        <f t="shared" si="123"/>
        <v>0</v>
      </c>
      <c r="BG283" s="29">
        <f t="shared" si="130"/>
        <v>0</v>
      </c>
      <c r="BH283" s="93" t="s">
        <v>886</v>
      </c>
      <c r="BI283" s="23" t="s">
        <v>570</v>
      </c>
      <c r="BJ283" s="23" t="s">
        <v>570</v>
      </c>
      <c r="BK283" s="23"/>
      <c r="BL283" s="23"/>
      <c r="BM283" s="23"/>
      <c r="BN283" s="13" t="s">
        <v>959</v>
      </c>
      <c r="BO283" s="13" t="s">
        <v>570</v>
      </c>
      <c r="BP283" s="13" t="s">
        <v>570</v>
      </c>
      <c r="BQ283" s="23">
        <v>42321</v>
      </c>
      <c r="BR283" s="13" t="s">
        <v>570</v>
      </c>
      <c r="BS283" s="13" t="s">
        <v>570</v>
      </c>
      <c r="BT283" s="13" t="s">
        <v>570</v>
      </c>
      <c r="BU283" s="13" t="s">
        <v>570</v>
      </c>
      <c r="BV283" s="13" t="s">
        <v>570</v>
      </c>
      <c r="BW283" s="13" t="s">
        <v>570</v>
      </c>
      <c r="BX283" s="23">
        <v>42355</v>
      </c>
      <c r="BY283" s="13" t="s">
        <v>570</v>
      </c>
      <c r="BZ283" s="13" t="s">
        <v>570</v>
      </c>
      <c r="CA283" s="23">
        <v>42380</v>
      </c>
      <c r="CB283" s="224" t="s">
        <v>570</v>
      </c>
      <c r="CC283" s="224" t="s">
        <v>570</v>
      </c>
      <c r="CD283" s="224" t="s">
        <v>570</v>
      </c>
      <c r="CE283" s="23"/>
      <c r="CF283" s="23"/>
      <c r="CG283" s="23"/>
      <c r="CH283" s="23"/>
      <c r="CI283" s="23"/>
      <c r="CJ283" s="23"/>
      <c r="CK283" s="23"/>
      <c r="CL283" s="23"/>
      <c r="CM283" s="23"/>
      <c r="CN283" s="23"/>
      <c r="CO283" s="23"/>
      <c r="CP283" s="23"/>
      <c r="CQ283" s="23"/>
      <c r="CR283" s="23"/>
      <c r="CS283" s="29" t="s">
        <v>570</v>
      </c>
      <c r="CT283" s="29" t="s">
        <v>570</v>
      </c>
      <c r="CU283" s="29" t="s">
        <v>570</v>
      </c>
      <c r="CV283" s="23">
        <v>42530</v>
      </c>
      <c r="CW283" s="30">
        <v>15000</v>
      </c>
      <c r="CX283" s="189" t="s">
        <v>1260</v>
      </c>
      <c r="CY283" s="155">
        <v>42639</v>
      </c>
      <c r="CZ283" s="93">
        <v>6000</v>
      </c>
      <c r="DA283" s="189" t="s">
        <v>1261</v>
      </c>
      <c r="DB283" s="23">
        <v>42639</v>
      </c>
      <c r="DC283" s="93">
        <v>6000</v>
      </c>
      <c r="DD283" s="189" t="s">
        <v>1262</v>
      </c>
      <c r="DE283" s="23">
        <v>42747</v>
      </c>
      <c r="DF283" s="93">
        <f>4500-1500</f>
        <v>3000</v>
      </c>
      <c r="DG283" s="13"/>
      <c r="DH283" s="13"/>
      <c r="DI283" s="13"/>
      <c r="DJ283" s="13"/>
      <c r="DK283" s="13"/>
      <c r="DL283" s="13"/>
      <c r="DM283" s="13"/>
      <c r="DN283" s="13"/>
      <c r="DO283" s="13"/>
      <c r="DP283" s="13"/>
      <c r="DQ283" s="13"/>
      <c r="DR283" s="13"/>
      <c r="DS283" s="13"/>
      <c r="DT283" s="13"/>
      <c r="DU283" s="13"/>
      <c r="DV283" s="13"/>
      <c r="DW283" s="13"/>
      <c r="DX283" s="13"/>
      <c r="DY283" s="92">
        <f t="shared" si="120"/>
        <v>30000</v>
      </c>
      <c r="DZ283" s="13"/>
      <c r="EA283" s="13"/>
      <c r="EB283" s="13"/>
      <c r="EC283" s="13"/>
      <c r="ED283" s="13"/>
      <c r="EE283" s="13"/>
      <c r="EF283" s="13"/>
      <c r="EG283" s="13">
        <v>240</v>
      </c>
      <c r="EH283" s="13" t="s">
        <v>904</v>
      </c>
      <c r="EI283" s="23">
        <f>CA283+1</f>
        <v>42381</v>
      </c>
      <c r="EJ283" s="23">
        <f t="shared" si="129"/>
        <v>42621</v>
      </c>
      <c r="EK283" s="13"/>
      <c r="EL283" s="13"/>
      <c r="EM283" s="13"/>
      <c r="EN283" s="13"/>
      <c r="EO283" s="13"/>
      <c r="EP283" s="13"/>
      <c r="EQ283" s="13"/>
      <c r="ER283" s="13"/>
      <c r="ES283" s="13"/>
      <c r="ET283" s="13"/>
      <c r="EU283" s="13"/>
      <c r="EV283" s="13"/>
      <c r="EW283" s="13"/>
      <c r="EX283" s="13"/>
      <c r="EY283" s="13"/>
      <c r="EZ283" s="13"/>
      <c r="FA283" s="13"/>
      <c r="FB283" s="13"/>
      <c r="FC283" s="13"/>
      <c r="FD283" s="13"/>
      <c r="FE283" s="13"/>
      <c r="FF283" s="13"/>
      <c r="FG283" s="13"/>
      <c r="FH283" s="25">
        <v>1</v>
      </c>
      <c r="FI283" s="25">
        <v>1</v>
      </c>
      <c r="FJ283" s="25">
        <v>1</v>
      </c>
      <c r="FK283" s="25">
        <v>1</v>
      </c>
      <c r="FL283" s="25">
        <v>1</v>
      </c>
      <c r="FM283" s="25">
        <v>1</v>
      </c>
      <c r="FN283" s="25">
        <v>1</v>
      </c>
      <c r="FO283" s="25">
        <v>1</v>
      </c>
      <c r="FP283" s="25">
        <v>1</v>
      </c>
      <c r="FQ283" s="25">
        <v>1</v>
      </c>
      <c r="FR283" s="25">
        <v>1</v>
      </c>
      <c r="FS283" s="25">
        <v>1</v>
      </c>
      <c r="FT283" s="25">
        <v>1</v>
      </c>
      <c r="FU283" s="25">
        <v>1</v>
      </c>
      <c r="FV283" s="25">
        <v>1</v>
      </c>
      <c r="FW283" s="25">
        <v>1</v>
      </c>
      <c r="FX283" s="25">
        <v>1</v>
      </c>
      <c r="FY283" s="25">
        <v>1</v>
      </c>
      <c r="FZ283" s="25">
        <v>1</v>
      </c>
      <c r="GA283" s="25">
        <v>1</v>
      </c>
      <c r="GB283" s="25">
        <v>1</v>
      </c>
      <c r="GC283" s="25">
        <v>1</v>
      </c>
      <c r="GD283" s="25">
        <v>1</v>
      </c>
      <c r="GE283" s="25">
        <v>1</v>
      </c>
      <c r="GF283" s="25">
        <v>1</v>
      </c>
      <c r="GG283" s="25">
        <v>1</v>
      </c>
      <c r="GH283" s="25">
        <v>1</v>
      </c>
      <c r="GI283" s="25">
        <v>1</v>
      </c>
      <c r="GJ283" s="25">
        <v>1</v>
      </c>
      <c r="GK283" s="25">
        <v>1</v>
      </c>
      <c r="GL283" s="25">
        <v>1</v>
      </c>
      <c r="GM283" s="25">
        <v>1</v>
      </c>
      <c r="GN283" s="25">
        <v>1</v>
      </c>
      <c r="GO283" s="25">
        <v>1</v>
      </c>
      <c r="GP283" s="25">
        <v>1</v>
      </c>
      <c r="GQ283" s="25">
        <v>1</v>
      </c>
      <c r="GR283" s="25">
        <v>1</v>
      </c>
      <c r="GS283" s="25">
        <v>1</v>
      </c>
      <c r="GT283" s="25">
        <v>1</v>
      </c>
      <c r="GU283" s="25">
        <v>1</v>
      </c>
      <c r="GV283" s="25" t="s">
        <v>455</v>
      </c>
      <c r="GW283" s="25" t="s">
        <v>455</v>
      </c>
      <c r="GX283" s="25" t="s">
        <v>455</v>
      </c>
      <c r="GY283" s="25" t="s">
        <v>455</v>
      </c>
      <c r="GZ283" s="25" t="s">
        <v>455</v>
      </c>
      <c r="HA283" s="25" t="s">
        <v>455</v>
      </c>
      <c r="HB283" s="25" t="s">
        <v>455</v>
      </c>
      <c r="HC283" s="25" t="s">
        <v>455</v>
      </c>
      <c r="HD283" s="25" t="s">
        <v>455</v>
      </c>
      <c r="HE283" s="25" t="s">
        <v>455</v>
      </c>
      <c r="HF283" s="25" t="s">
        <v>455</v>
      </c>
      <c r="HG283" s="25" t="s">
        <v>455</v>
      </c>
      <c r="HH283" s="25" t="s">
        <v>455</v>
      </c>
      <c r="HI283" s="25"/>
      <c r="HJ283" s="25"/>
      <c r="HK283" s="25"/>
      <c r="HL283" s="25"/>
      <c r="HM283" s="84"/>
      <c r="HN283" s="84"/>
      <c r="HO283" s="84"/>
      <c r="HP283" s="84"/>
      <c r="HQ283" s="84"/>
      <c r="HR283" s="84"/>
      <c r="HS283" s="84"/>
      <c r="HT283" s="84"/>
      <c r="HU283" s="13"/>
      <c r="HV283" s="16" t="s">
        <v>1210</v>
      </c>
      <c r="HW283" s="32"/>
      <c r="HX283" s="55"/>
      <c r="HY283" s="55"/>
      <c r="HZ283" s="55"/>
      <c r="IA283" s="55"/>
      <c r="IB283" s="55"/>
      <c r="IC283" s="55"/>
      <c r="ID283" s="55"/>
      <c r="IE283" s="55"/>
      <c r="IF283" s="107">
        <v>30000</v>
      </c>
      <c r="IG283" s="107">
        <v>29999.999999999996</v>
      </c>
      <c r="IH283" s="250">
        <f t="shared" si="134"/>
        <v>0</v>
      </c>
      <c r="II283" s="55"/>
      <c r="IJ283" s="55"/>
      <c r="IK283" s="55"/>
      <c r="IL283" s="55"/>
      <c r="IM283" s="55"/>
      <c r="IN283" s="55"/>
      <c r="IO283" s="55"/>
      <c r="IP283" s="55"/>
      <c r="IQ283" s="55"/>
      <c r="IR283" s="55"/>
      <c r="IS283" s="55"/>
      <c r="IT283" s="55"/>
      <c r="IU283" s="55"/>
      <c r="IV283" s="55"/>
      <c r="IW283" s="55"/>
      <c r="IX283" s="55"/>
      <c r="IY283" s="55"/>
      <c r="IZ283" s="55"/>
      <c r="JA283" s="55"/>
      <c r="JB283" s="55"/>
      <c r="JC283" s="55"/>
      <c r="JD283" s="55">
        <v>2016</v>
      </c>
    </row>
    <row r="284" spans="1:265" s="5" customFormat="1" ht="24.95" hidden="1" customHeight="1">
      <c r="A284" s="26" t="s">
        <v>95</v>
      </c>
      <c r="B284" s="26" t="s">
        <v>203</v>
      </c>
      <c r="C284" s="13" t="s">
        <v>349</v>
      </c>
      <c r="D284" s="13" t="s">
        <v>380</v>
      </c>
      <c r="E284" s="16" t="s">
        <v>350</v>
      </c>
      <c r="F284" s="13" t="s">
        <v>356</v>
      </c>
      <c r="G284" s="26" t="s">
        <v>351</v>
      </c>
      <c r="H284" s="13" t="s">
        <v>1516</v>
      </c>
      <c r="I284" s="20" t="s">
        <v>102</v>
      </c>
      <c r="J284" s="26">
        <v>4</v>
      </c>
      <c r="K284" s="49" t="s">
        <v>375</v>
      </c>
      <c r="L284" s="314" t="s">
        <v>259</v>
      </c>
      <c r="M284" s="15" t="s">
        <v>902</v>
      </c>
      <c r="N284" s="43"/>
      <c r="O284" s="13" t="s">
        <v>206</v>
      </c>
      <c r="P284" s="13" t="s">
        <v>4</v>
      </c>
      <c r="Q284" s="22" t="s">
        <v>1118</v>
      </c>
      <c r="R284" s="314" t="s">
        <v>259</v>
      </c>
      <c r="S284" s="13" t="s">
        <v>783</v>
      </c>
      <c r="T284" s="13" t="s">
        <v>1387</v>
      </c>
      <c r="U284" s="13" t="s">
        <v>477</v>
      </c>
      <c r="V284" s="24">
        <v>301512661001</v>
      </c>
      <c r="W284" s="13" t="s">
        <v>570</v>
      </c>
      <c r="X284" s="13" t="s">
        <v>570</v>
      </c>
      <c r="Y284" s="13" t="s">
        <v>900</v>
      </c>
      <c r="Z284" s="13" t="s">
        <v>503</v>
      </c>
      <c r="AA284" s="29"/>
      <c r="AB284" s="29">
        <v>18000</v>
      </c>
      <c r="AC284" s="29">
        <v>0</v>
      </c>
      <c r="AD284" s="29">
        <v>18000</v>
      </c>
      <c r="AE284" s="29">
        <v>0</v>
      </c>
      <c r="AF284" s="29">
        <f t="shared" si="121"/>
        <v>18000</v>
      </c>
      <c r="AG284" s="25">
        <v>0.12</v>
      </c>
      <c r="AH284" s="29">
        <f t="shared" si="131"/>
        <v>2160</v>
      </c>
      <c r="AI284" s="29">
        <f t="shared" si="132"/>
        <v>0</v>
      </c>
      <c r="AJ284" s="29">
        <f t="shared" si="133"/>
        <v>20160.000000000004</v>
      </c>
      <c r="AK284" s="29">
        <v>18000</v>
      </c>
      <c r="AL284" s="29">
        <f t="shared" si="125"/>
        <v>0</v>
      </c>
      <c r="AM284" s="126"/>
      <c r="AN284" s="29"/>
      <c r="AO284" s="29">
        <v>18000</v>
      </c>
      <c r="AP284" s="29"/>
      <c r="AQ284" s="29">
        <v>18000</v>
      </c>
      <c r="AR284" s="25">
        <v>0.14000000000000001</v>
      </c>
      <c r="AS284" s="93">
        <f t="shared" si="126"/>
        <v>2520.0000000000005</v>
      </c>
      <c r="AT284" s="29">
        <f t="shared" si="127"/>
        <v>20520</v>
      </c>
      <c r="AU284" s="29"/>
      <c r="AV284" s="29"/>
      <c r="AW284" s="29"/>
      <c r="AX284" s="29"/>
      <c r="AY284" s="29"/>
      <c r="AZ284" s="29"/>
      <c r="BA284" s="29"/>
      <c r="BB284" s="29"/>
      <c r="BC284" s="29"/>
      <c r="BD284" s="29"/>
      <c r="BE284" s="29"/>
      <c r="BF284" s="29">
        <f t="shared" si="123"/>
        <v>0</v>
      </c>
      <c r="BG284" s="29">
        <f t="shared" si="130"/>
        <v>0</v>
      </c>
      <c r="BH284" s="93" t="s">
        <v>886</v>
      </c>
      <c r="BI284" s="23" t="s">
        <v>570</v>
      </c>
      <c r="BJ284" s="23" t="s">
        <v>570</v>
      </c>
      <c r="BK284" s="23"/>
      <c r="BL284" s="23"/>
      <c r="BM284" s="23"/>
      <c r="BN284" s="23">
        <v>42640</v>
      </c>
      <c r="BO284" s="13" t="s">
        <v>570</v>
      </c>
      <c r="BP284" s="13" t="s">
        <v>570</v>
      </c>
      <c r="BQ284" s="23">
        <v>42647</v>
      </c>
      <c r="BR284" s="13" t="s">
        <v>570</v>
      </c>
      <c r="BS284" s="13" t="s">
        <v>570</v>
      </c>
      <c r="BT284" s="13" t="s">
        <v>570</v>
      </c>
      <c r="BU284" s="13" t="s">
        <v>570</v>
      </c>
      <c r="BV284" s="13" t="s">
        <v>570</v>
      </c>
      <c r="BW284" s="13" t="s">
        <v>570</v>
      </c>
      <c r="BX284" s="23">
        <v>42660</v>
      </c>
      <c r="BY284" s="13" t="s">
        <v>570</v>
      </c>
      <c r="BZ284" s="13" t="s">
        <v>570</v>
      </c>
      <c r="CA284" s="23">
        <v>42668</v>
      </c>
      <c r="CB284" s="224" t="s">
        <v>570</v>
      </c>
      <c r="CC284" s="224" t="s">
        <v>570</v>
      </c>
      <c r="CD284" s="224" t="s">
        <v>570</v>
      </c>
      <c r="CE284" s="23"/>
      <c r="CF284" s="23"/>
      <c r="CG284" s="23"/>
      <c r="CH284" s="23"/>
      <c r="CI284" s="23"/>
      <c r="CJ284" s="23"/>
      <c r="CK284" s="23"/>
      <c r="CL284" s="23"/>
      <c r="CM284" s="23"/>
      <c r="CN284" s="23"/>
      <c r="CO284" s="23"/>
      <c r="CP284" s="23"/>
      <c r="CQ284" s="23"/>
      <c r="CR284" s="23"/>
      <c r="CS284" s="29" t="s">
        <v>570</v>
      </c>
      <c r="CT284" s="29" t="s">
        <v>570</v>
      </c>
      <c r="CU284" s="29" t="s">
        <v>570</v>
      </c>
      <c r="CV284" s="23">
        <v>42686</v>
      </c>
      <c r="CW284" s="30">
        <v>4500</v>
      </c>
      <c r="CX284" s="13"/>
      <c r="CY284" s="155"/>
      <c r="CZ284" s="9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92">
        <f t="shared" si="120"/>
        <v>4500</v>
      </c>
      <c r="DZ284" s="13"/>
      <c r="EA284" s="13"/>
      <c r="EB284" s="13"/>
      <c r="EC284" s="13"/>
      <c r="ED284" s="13"/>
      <c r="EE284" s="13"/>
      <c r="EF284" s="13"/>
      <c r="EG284" s="13">
        <v>240</v>
      </c>
      <c r="EH284" s="13" t="s">
        <v>901</v>
      </c>
      <c r="EI284" s="23">
        <f t="shared" ref="EI284" si="135">CV284+1</f>
        <v>42687</v>
      </c>
      <c r="EJ284" s="23">
        <f t="shared" si="129"/>
        <v>42927</v>
      </c>
      <c r="EK284" s="13"/>
      <c r="EL284" s="13"/>
      <c r="EM284" s="13"/>
      <c r="EN284" s="13"/>
      <c r="EO284" s="13"/>
      <c r="EP284" s="13"/>
      <c r="EQ284" s="13"/>
      <c r="ER284" s="13"/>
      <c r="ES284" s="13"/>
      <c r="ET284" s="13"/>
      <c r="EU284" s="13"/>
      <c r="EV284" s="13"/>
      <c r="EW284" s="13"/>
      <c r="EX284" s="13"/>
      <c r="EY284" s="13"/>
      <c r="EZ284" s="13"/>
      <c r="FA284" s="13"/>
      <c r="FB284" s="13"/>
      <c r="FC284" s="13"/>
      <c r="FD284" s="13"/>
      <c r="FE284" s="13"/>
      <c r="FF284" s="13"/>
      <c r="FG284" s="13"/>
      <c r="FH284" s="13"/>
      <c r="FI284" s="13"/>
      <c r="FJ284" s="13"/>
      <c r="FK284" s="13"/>
      <c r="FL284" s="13"/>
      <c r="FM284" s="13"/>
      <c r="FN284" s="13"/>
      <c r="FO284" s="13"/>
      <c r="FP284" s="13"/>
      <c r="FQ284" s="13"/>
      <c r="FR284" s="13"/>
      <c r="FS284" s="13">
        <v>0</v>
      </c>
      <c r="FT284" s="13">
        <v>0</v>
      </c>
      <c r="FU284" s="25">
        <v>8.0000000000000004E-4</v>
      </c>
      <c r="FV284" s="25">
        <v>8.0000000000000004E-4</v>
      </c>
      <c r="FW284" s="25">
        <v>0.1</v>
      </c>
      <c r="FX284" s="25">
        <v>0.1</v>
      </c>
      <c r="FY284" s="25">
        <v>0.27</v>
      </c>
      <c r="FZ284" s="25">
        <v>0.53</v>
      </c>
      <c r="GA284" s="25">
        <v>0.9</v>
      </c>
      <c r="GB284" s="25">
        <v>0.9</v>
      </c>
      <c r="GC284" s="25">
        <v>0.98</v>
      </c>
      <c r="GD284" s="25">
        <v>0.98</v>
      </c>
      <c r="GE284" s="25">
        <v>0.98</v>
      </c>
      <c r="GF284" s="25">
        <v>0.98</v>
      </c>
      <c r="GG284" s="25">
        <v>0.98</v>
      </c>
      <c r="GH284" s="25">
        <v>0.98</v>
      </c>
      <c r="GI284" s="25">
        <v>0.99</v>
      </c>
      <c r="GJ284" s="25">
        <v>0.99</v>
      </c>
      <c r="GK284" s="25">
        <v>1</v>
      </c>
      <c r="GL284" s="25">
        <v>1</v>
      </c>
      <c r="GM284" s="25">
        <v>1</v>
      </c>
      <c r="GN284" s="25">
        <v>1</v>
      </c>
      <c r="GO284" s="25">
        <v>1</v>
      </c>
      <c r="GP284" s="25">
        <v>1</v>
      </c>
      <c r="GQ284" s="25">
        <v>1</v>
      </c>
      <c r="GR284" s="25">
        <v>1</v>
      </c>
      <c r="GS284" s="25">
        <v>1</v>
      </c>
      <c r="GT284" s="25">
        <v>1</v>
      </c>
      <c r="GU284" s="25">
        <v>1</v>
      </c>
      <c r="GV284" s="25" t="s">
        <v>1588</v>
      </c>
      <c r="GW284" s="25" t="s">
        <v>1588</v>
      </c>
      <c r="GX284" s="25" t="s">
        <v>1588</v>
      </c>
      <c r="GY284" s="25" t="s">
        <v>1588</v>
      </c>
      <c r="GZ284" s="25" t="s">
        <v>1588</v>
      </c>
      <c r="HA284" s="25" t="s">
        <v>1588</v>
      </c>
      <c r="HB284" s="25" t="s">
        <v>455</v>
      </c>
      <c r="HC284" s="25" t="s">
        <v>455</v>
      </c>
      <c r="HD284" s="25" t="s">
        <v>455</v>
      </c>
      <c r="HE284" s="25" t="s">
        <v>455</v>
      </c>
      <c r="HF284" s="25" t="s">
        <v>455</v>
      </c>
      <c r="HG284" s="25" t="s">
        <v>455</v>
      </c>
      <c r="HH284" s="25" t="s">
        <v>455</v>
      </c>
      <c r="HI284" s="25"/>
      <c r="HJ284" s="25"/>
      <c r="HK284" s="25"/>
      <c r="HL284" s="84" t="s">
        <v>1709</v>
      </c>
      <c r="HM284" s="84" t="s">
        <v>1709</v>
      </c>
      <c r="HN284" s="84" t="s">
        <v>1786</v>
      </c>
      <c r="HO284" s="84" t="s">
        <v>1858</v>
      </c>
      <c r="HP284" s="84"/>
      <c r="HQ284" s="84"/>
      <c r="HR284" s="84"/>
      <c r="HS284" s="84"/>
      <c r="HT284" s="84"/>
      <c r="HU284" s="13"/>
      <c r="HV284" s="13"/>
      <c r="HW284" s="32"/>
      <c r="HX284" s="55"/>
      <c r="HY284" s="55"/>
      <c r="HZ284" s="55"/>
      <c r="IA284" s="55"/>
      <c r="IB284" s="55"/>
      <c r="IC284" s="55"/>
      <c r="ID284" s="55"/>
      <c r="IE284" s="55"/>
      <c r="IF284" s="107">
        <v>18000</v>
      </c>
      <c r="IG284" s="107"/>
      <c r="IH284" s="250">
        <f t="shared" si="134"/>
        <v>18000</v>
      </c>
      <c r="II284" s="55"/>
      <c r="IJ284" s="55"/>
      <c r="IK284" s="55"/>
      <c r="IL284" s="55"/>
      <c r="IM284" s="55"/>
      <c r="IN284" s="55"/>
      <c r="IO284" s="55"/>
      <c r="IP284" s="55"/>
      <c r="IQ284" s="55"/>
      <c r="IR284" s="55"/>
      <c r="IS284" s="55"/>
      <c r="IT284" s="55"/>
      <c r="IU284" s="55"/>
      <c r="IV284" s="55"/>
      <c r="IW284" s="55"/>
      <c r="IX284" s="55"/>
      <c r="IY284" s="55"/>
      <c r="IZ284" s="55"/>
      <c r="JA284" s="55"/>
      <c r="JB284" s="55"/>
      <c r="JC284" s="55"/>
      <c r="JD284" s="55">
        <v>2019</v>
      </c>
    </row>
    <row r="285" spans="1:265" s="5" customFormat="1" ht="24.95" hidden="1" customHeight="1">
      <c r="A285" s="26" t="s">
        <v>5</v>
      </c>
      <c r="B285" s="26" t="s">
        <v>203</v>
      </c>
      <c r="C285" s="13" t="s">
        <v>352</v>
      </c>
      <c r="D285" s="13" t="s">
        <v>382</v>
      </c>
      <c r="E285" s="16" t="s">
        <v>353</v>
      </c>
      <c r="F285" s="13" t="s">
        <v>356</v>
      </c>
      <c r="G285" s="33" t="s">
        <v>354</v>
      </c>
      <c r="H285" s="28" t="s">
        <v>1546</v>
      </c>
      <c r="I285" s="313" t="s">
        <v>7</v>
      </c>
      <c r="J285" s="154">
        <v>1</v>
      </c>
      <c r="K285" s="49" t="s">
        <v>375</v>
      </c>
      <c r="L285" s="314" t="s">
        <v>1046</v>
      </c>
      <c r="M285" s="15" t="s">
        <v>1047</v>
      </c>
      <c r="N285" s="15"/>
      <c r="O285" s="13" t="s">
        <v>206</v>
      </c>
      <c r="P285" s="13" t="s">
        <v>4</v>
      </c>
      <c r="Q285" s="183" t="s">
        <v>794</v>
      </c>
      <c r="R285" s="314"/>
      <c r="S285" s="13"/>
      <c r="T285" s="13"/>
      <c r="U285" s="13"/>
      <c r="V285" s="24"/>
      <c r="W285" s="13" t="s">
        <v>570</v>
      </c>
      <c r="X285" s="13" t="s">
        <v>570</v>
      </c>
      <c r="Y285" s="13"/>
      <c r="Z285" s="13"/>
      <c r="AA285" s="29"/>
      <c r="AB285" s="29">
        <v>0</v>
      </c>
      <c r="AC285" s="29">
        <v>0</v>
      </c>
      <c r="AD285" s="29">
        <v>5000</v>
      </c>
      <c r="AE285" s="29">
        <v>0</v>
      </c>
      <c r="AF285" s="29">
        <f t="shared" si="121"/>
        <v>5000</v>
      </c>
      <c r="AG285" s="25">
        <v>0.12</v>
      </c>
      <c r="AH285" s="29">
        <f t="shared" si="131"/>
        <v>600</v>
      </c>
      <c r="AI285" s="29">
        <f t="shared" si="132"/>
        <v>0</v>
      </c>
      <c r="AJ285" s="29">
        <f t="shared" si="133"/>
        <v>5600.0000000000009</v>
      </c>
      <c r="AK285" s="29"/>
      <c r="AL285" s="29"/>
      <c r="AM285" s="126"/>
      <c r="AN285" s="29"/>
      <c r="AO285" s="29"/>
      <c r="AP285" s="29"/>
      <c r="AQ285" s="29"/>
      <c r="AR285" s="29"/>
      <c r="AS285" s="29"/>
      <c r="AT285" s="29"/>
      <c r="AU285" s="29"/>
      <c r="AV285" s="29"/>
      <c r="AW285" s="29"/>
      <c r="AX285" s="29"/>
      <c r="AY285" s="29"/>
      <c r="AZ285" s="29"/>
      <c r="BA285" s="29"/>
      <c r="BB285" s="29"/>
      <c r="BC285" s="29"/>
      <c r="BD285" s="29"/>
      <c r="BE285" s="29"/>
      <c r="BF285" s="29"/>
      <c r="BG285" s="29">
        <f t="shared" si="130"/>
        <v>0</v>
      </c>
      <c r="BH285" s="93"/>
      <c r="BI285" s="93"/>
      <c r="BJ285" s="23" t="s">
        <v>570</v>
      </c>
      <c r="BK285" s="93"/>
      <c r="BL285" s="93"/>
      <c r="BM285" s="93"/>
      <c r="BN285" s="23"/>
      <c r="BO285" s="13"/>
      <c r="BP285" s="13"/>
      <c r="BQ285" s="23"/>
      <c r="BR285" s="13"/>
      <c r="BS285" s="13"/>
      <c r="BT285" s="13"/>
      <c r="BU285" s="13"/>
      <c r="BV285" s="13"/>
      <c r="BW285" s="13"/>
      <c r="BX285" s="23"/>
      <c r="BY285" s="13"/>
      <c r="BZ285" s="13"/>
      <c r="CA285" s="23"/>
      <c r="CB285" s="224" t="s">
        <v>570</v>
      </c>
      <c r="CC285" s="224" t="s">
        <v>570</v>
      </c>
      <c r="CD285" s="224" t="s">
        <v>570</v>
      </c>
      <c r="CE285" s="23"/>
      <c r="CF285" s="23"/>
      <c r="CG285" s="23"/>
      <c r="CH285" s="23"/>
      <c r="CI285" s="23"/>
      <c r="CJ285" s="23"/>
      <c r="CK285" s="23"/>
      <c r="CL285" s="23"/>
      <c r="CM285" s="23"/>
      <c r="CN285" s="23"/>
      <c r="CO285" s="23"/>
      <c r="CP285" s="23"/>
      <c r="CQ285" s="23"/>
      <c r="CR285" s="23"/>
      <c r="CS285" s="29" t="s">
        <v>570</v>
      </c>
      <c r="CT285" s="29" t="s">
        <v>570</v>
      </c>
      <c r="CU285" s="29" t="s">
        <v>570</v>
      </c>
      <c r="CV285" s="23"/>
      <c r="CW285" s="30"/>
      <c r="CX285" s="13"/>
      <c r="CY285" s="155"/>
      <c r="CZ285" s="9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92"/>
      <c r="DZ285" s="13"/>
      <c r="EA285" s="13"/>
      <c r="EB285" s="13"/>
      <c r="EC285" s="13"/>
      <c r="ED285" s="13"/>
      <c r="EE285" s="13"/>
      <c r="EF285" s="13"/>
      <c r="EG285" s="13"/>
      <c r="EH285" s="13"/>
      <c r="EI285" s="23"/>
      <c r="EJ285" s="23"/>
      <c r="EK285" s="13"/>
      <c r="EL285" s="13"/>
      <c r="EM285" s="13"/>
      <c r="EN285" s="13"/>
      <c r="EO285" s="13"/>
      <c r="EP285" s="13"/>
      <c r="EQ285" s="13"/>
      <c r="ER285" s="13"/>
      <c r="ES285" s="13"/>
      <c r="ET285" s="13"/>
      <c r="EU285" s="13"/>
      <c r="EV285" s="13"/>
      <c r="EW285" s="13"/>
      <c r="EX285" s="13"/>
      <c r="EY285" s="13"/>
      <c r="EZ285" s="13"/>
      <c r="FA285" s="13"/>
      <c r="FB285" s="13"/>
      <c r="FC285" s="13"/>
      <c r="FD285" s="13"/>
      <c r="FE285" s="13"/>
      <c r="FF285" s="13"/>
      <c r="FG285" s="13"/>
      <c r="FH285" s="13"/>
      <c r="FI285" s="13"/>
      <c r="FJ285" s="13"/>
      <c r="FK285" s="25"/>
      <c r="FL285" s="25"/>
      <c r="FM285" s="25"/>
      <c r="FN285" s="25"/>
      <c r="FO285" s="25"/>
      <c r="FP285" s="25"/>
      <c r="FQ285" s="25"/>
      <c r="FR285" s="25"/>
      <c r="FS285" s="25">
        <v>1</v>
      </c>
      <c r="FT285" s="25">
        <v>1</v>
      </c>
      <c r="FU285" s="25">
        <v>1</v>
      </c>
      <c r="FV285" s="25">
        <v>1</v>
      </c>
      <c r="FW285" s="25">
        <v>1</v>
      </c>
      <c r="FX285" s="25">
        <v>1</v>
      </c>
      <c r="FY285" s="25">
        <v>1</v>
      </c>
      <c r="FZ285" s="25">
        <v>1</v>
      </c>
      <c r="GA285" s="25">
        <v>1</v>
      </c>
      <c r="GB285" s="25">
        <v>1</v>
      </c>
      <c r="GC285" s="25">
        <v>1</v>
      </c>
      <c r="GD285" s="25">
        <v>1</v>
      </c>
      <c r="GE285" s="25">
        <v>1</v>
      </c>
      <c r="GF285" s="25">
        <v>1</v>
      </c>
      <c r="GG285" s="25">
        <v>1</v>
      </c>
      <c r="GH285" s="25">
        <v>1</v>
      </c>
      <c r="GI285" s="25">
        <v>1</v>
      </c>
      <c r="GJ285" s="25">
        <v>1</v>
      </c>
      <c r="GK285" s="25">
        <v>1</v>
      </c>
      <c r="GL285" s="25">
        <v>1</v>
      </c>
      <c r="GM285" s="25">
        <v>1</v>
      </c>
      <c r="GN285" s="25">
        <v>1</v>
      </c>
      <c r="GO285" s="25">
        <v>1</v>
      </c>
      <c r="GP285" s="25">
        <v>1</v>
      </c>
      <c r="GQ285" s="25">
        <v>1</v>
      </c>
      <c r="GR285" s="25">
        <v>1</v>
      </c>
      <c r="GS285" s="25">
        <v>1</v>
      </c>
      <c r="GT285" s="25">
        <v>1</v>
      </c>
      <c r="GU285" s="25">
        <v>1</v>
      </c>
      <c r="GV285" s="25" t="s">
        <v>1588</v>
      </c>
      <c r="GW285" s="25" t="s">
        <v>1588</v>
      </c>
      <c r="GX285" s="25" t="s">
        <v>1588</v>
      </c>
      <c r="GY285" s="25" t="s">
        <v>1588</v>
      </c>
      <c r="GZ285" s="25" t="s">
        <v>1588</v>
      </c>
      <c r="HA285" s="25" t="s">
        <v>1588</v>
      </c>
      <c r="HB285" s="25" t="s">
        <v>1588</v>
      </c>
      <c r="HC285" s="25" t="s">
        <v>1588</v>
      </c>
      <c r="HD285" s="25" t="s">
        <v>1889</v>
      </c>
      <c r="HE285" s="25" t="s">
        <v>1889</v>
      </c>
      <c r="HF285" s="25" t="s">
        <v>1889</v>
      </c>
      <c r="HG285" s="25" t="s">
        <v>1889</v>
      </c>
      <c r="HH285" s="25" t="s">
        <v>1889</v>
      </c>
      <c r="HI285" s="25"/>
      <c r="HJ285" s="25"/>
      <c r="HK285" s="25"/>
      <c r="HL285" s="25"/>
      <c r="HM285" s="84"/>
      <c r="HN285" s="84"/>
      <c r="HO285" s="84"/>
      <c r="HP285" s="84"/>
      <c r="HQ285" s="84"/>
      <c r="HR285" s="84"/>
      <c r="HS285" s="84"/>
      <c r="HT285" s="84"/>
      <c r="HU285" s="13" t="s">
        <v>1051</v>
      </c>
      <c r="HV285" s="13"/>
      <c r="HW285" s="32"/>
      <c r="HX285" s="55"/>
      <c r="HY285" s="55"/>
      <c r="HZ285" s="55"/>
      <c r="IA285" s="55"/>
      <c r="IB285" s="55"/>
      <c r="IC285" s="55"/>
      <c r="ID285" s="55"/>
      <c r="IE285" s="55"/>
      <c r="IF285" s="107">
        <v>0</v>
      </c>
      <c r="IG285" s="107"/>
      <c r="IH285" s="250">
        <f t="shared" si="134"/>
        <v>0</v>
      </c>
      <c r="II285" s="55"/>
      <c r="IJ285" s="55"/>
      <c r="IK285" s="55"/>
      <c r="IL285" s="55"/>
      <c r="IM285" s="55"/>
      <c r="IN285" s="55"/>
      <c r="IO285" s="55"/>
      <c r="IP285" s="55"/>
      <c r="IQ285" s="55"/>
      <c r="IR285" s="55"/>
      <c r="IS285" s="55"/>
      <c r="IT285" s="55"/>
      <c r="IU285" s="55"/>
      <c r="IV285" s="55"/>
      <c r="IW285" s="55"/>
      <c r="IX285" s="55"/>
      <c r="IY285" s="55"/>
      <c r="IZ285" s="55"/>
      <c r="JA285" s="55"/>
      <c r="JB285" s="55"/>
      <c r="JC285" s="55"/>
      <c r="JD285" s="55">
        <v>2016</v>
      </c>
    </row>
    <row r="286" spans="1:265" s="5" customFormat="1" ht="20.100000000000001" hidden="1" customHeight="1">
      <c r="A286" s="26" t="s">
        <v>5</v>
      </c>
      <c r="B286" s="26" t="s">
        <v>203</v>
      </c>
      <c r="C286" s="13" t="s">
        <v>349</v>
      </c>
      <c r="D286" s="13" t="s">
        <v>382</v>
      </c>
      <c r="E286" s="16" t="s">
        <v>360</v>
      </c>
      <c r="F286" s="13" t="s">
        <v>356</v>
      </c>
      <c r="G286" s="39" t="s">
        <v>354</v>
      </c>
      <c r="H286" s="28" t="s">
        <v>1546</v>
      </c>
      <c r="I286" s="313" t="s">
        <v>128</v>
      </c>
      <c r="J286" s="40">
        <v>5</v>
      </c>
      <c r="K286" s="49" t="s">
        <v>375</v>
      </c>
      <c r="L286" s="314" t="s">
        <v>1544</v>
      </c>
      <c r="M286" s="14" t="s">
        <v>260</v>
      </c>
      <c r="N286" s="43"/>
      <c r="O286" s="13" t="s">
        <v>206</v>
      </c>
      <c r="P286" s="13" t="s">
        <v>4</v>
      </c>
      <c r="Q286" s="22" t="s">
        <v>1118</v>
      </c>
      <c r="R286" s="314" t="s">
        <v>1544</v>
      </c>
      <c r="S286" s="22" t="s">
        <v>927</v>
      </c>
      <c r="T286" s="13" t="s">
        <v>1387</v>
      </c>
      <c r="U286" s="22" t="s">
        <v>477</v>
      </c>
      <c r="V286" s="24">
        <v>1712540960001</v>
      </c>
      <c r="W286" s="13" t="s">
        <v>570</v>
      </c>
      <c r="X286" s="13" t="s">
        <v>570</v>
      </c>
      <c r="Y286" s="13" t="s">
        <v>503</v>
      </c>
      <c r="Z286" s="13" t="s">
        <v>503</v>
      </c>
      <c r="AA286" s="29"/>
      <c r="AB286" s="29">
        <v>32459.88</v>
      </c>
      <c r="AC286" s="29">
        <v>0</v>
      </c>
      <c r="AD286" s="29">
        <v>32459.88</v>
      </c>
      <c r="AE286" s="29">
        <v>0</v>
      </c>
      <c r="AF286" s="29">
        <f t="shared" si="121"/>
        <v>32459.88</v>
      </c>
      <c r="AG286" s="25">
        <v>0.12</v>
      </c>
      <c r="AH286" s="29">
        <f t="shared" si="131"/>
        <v>3895.1855999999998</v>
      </c>
      <c r="AI286" s="29">
        <f t="shared" si="132"/>
        <v>0</v>
      </c>
      <c r="AJ286" s="29">
        <f t="shared" si="133"/>
        <v>36355.065600000002</v>
      </c>
      <c r="AK286" s="29">
        <v>32459.879999999997</v>
      </c>
      <c r="AL286" s="29">
        <v>0</v>
      </c>
      <c r="AM286" s="126"/>
      <c r="AN286" s="29"/>
      <c r="AO286" s="29">
        <v>32459.88</v>
      </c>
      <c r="AP286" s="29"/>
      <c r="AQ286" s="29">
        <v>32459.88</v>
      </c>
      <c r="AR286" s="29"/>
      <c r="AS286" s="29"/>
      <c r="AT286" s="29"/>
      <c r="AU286" s="29"/>
      <c r="AV286" s="29"/>
      <c r="AW286" s="29"/>
      <c r="AX286" s="29"/>
      <c r="AY286" s="29"/>
      <c r="AZ286" s="29"/>
      <c r="BA286" s="29"/>
      <c r="BB286" s="29"/>
      <c r="BC286" s="29"/>
      <c r="BD286" s="29"/>
      <c r="BE286" s="29"/>
      <c r="BF286" s="29">
        <f>AB286-AQ286</f>
        <v>0</v>
      </c>
      <c r="BG286" s="29">
        <f t="shared" si="130"/>
        <v>0</v>
      </c>
      <c r="BH286" s="29"/>
      <c r="BI286" s="23" t="s">
        <v>570</v>
      </c>
      <c r="BJ286" s="23" t="s">
        <v>570</v>
      </c>
      <c r="BK286" s="23"/>
      <c r="BL286" s="23"/>
      <c r="BM286" s="23"/>
      <c r="BN286" s="13"/>
      <c r="BO286" s="13"/>
      <c r="BP286" s="23"/>
      <c r="BQ286" s="23"/>
      <c r="BR286" s="13"/>
      <c r="BS286" s="13"/>
      <c r="BT286" s="13"/>
      <c r="BU286" s="13"/>
      <c r="BV286" s="13"/>
      <c r="BW286" s="13" t="s">
        <v>570</v>
      </c>
      <c r="BX286" s="13"/>
      <c r="BY286" s="13"/>
      <c r="BZ286" s="13"/>
      <c r="CA286" s="23">
        <v>42650</v>
      </c>
      <c r="CB286" s="224" t="s">
        <v>570</v>
      </c>
      <c r="CC286" s="224" t="s">
        <v>570</v>
      </c>
      <c r="CD286" s="224" t="s">
        <v>570</v>
      </c>
      <c r="CE286" s="13"/>
      <c r="CF286" s="13"/>
      <c r="CG286" s="13"/>
      <c r="CH286" s="13"/>
      <c r="CI286" s="13"/>
      <c r="CJ286" s="13"/>
      <c r="CK286" s="13"/>
      <c r="CL286" s="13"/>
      <c r="CM286" s="13"/>
      <c r="CN286" s="13"/>
      <c r="CO286" s="13"/>
      <c r="CP286" s="13"/>
      <c r="CQ286" s="13"/>
      <c r="CR286" s="13"/>
      <c r="CS286" s="29" t="s">
        <v>570</v>
      </c>
      <c r="CT286" s="29" t="s">
        <v>570</v>
      </c>
      <c r="CU286" s="29" t="s">
        <v>570</v>
      </c>
      <c r="CV286" s="23"/>
      <c r="CW286" s="13"/>
      <c r="CX286" s="134" t="s">
        <v>1464</v>
      </c>
      <c r="CY286" s="166">
        <v>42767</v>
      </c>
      <c r="CZ286" s="94">
        <v>6491.98</v>
      </c>
      <c r="DA286" s="134" t="s">
        <v>1465</v>
      </c>
      <c r="DB286" s="166">
        <v>42836</v>
      </c>
      <c r="DC286" s="94">
        <v>6491.98</v>
      </c>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92">
        <f t="shared" ref="DY286:DY338" si="136">CW286+CZ286+DC286+DF286+DI286+DL286+DO286+DR286+DU286+DX286</f>
        <v>12983.96</v>
      </c>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3"/>
      <c r="EV286" s="13"/>
      <c r="EW286" s="13"/>
      <c r="EX286" s="13"/>
      <c r="EY286" s="13"/>
      <c r="EZ286" s="13"/>
      <c r="FA286" s="13"/>
      <c r="FB286" s="13"/>
      <c r="FC286" s="13"/>
      <c r="FD286" s="13"/>
      <c r="FE286" s="13"/>
      <c r="FF286" s="13"/>
      <c r="FG286" s="13"/>
      <c r="FH286" s="13"/>
      <c r="FI286" s="13"/>
      <c r="FJ286" s="13"/>
      <c r="FK286" s="25"/>
      <c r="FL286" s="25"/>
      <c r="FM286" s="25"/>
      <c r="FN286" s="25"/>
      <c r="FO286" s="25"/>
      <c r="FP286" s="25"/>
      <c r="FQ286" s="25"/>
      <c r="FR286" s="25"/>
      <c r="FS286" s="25">
        <v>0.05</v>
      </c>
      <c r="FT286" s="25">
        <v>0.1</v>
      </c>
      <c r="FU286" s="25">
        <v>0.45</v>
      </c>
      <c r="FV286" s="25">
        <v>0.75</v>
      </c>
      <c r="FW286" s="25">
        <v>0.75</v>
      </c>
      <c r="FX286" s="25">
        <v>0.75</v>
      </c>
      <c r="FY286" s="25">
        <v>0.75</v>
      </c>
      <c r="FZ286" s="25">
        <v>0.75</v>
      </c>
      <c r="GA286" s="25">
        <v>1</v>
      </c>
      <c r="GB286" s="25">
        <v>1</v>
      </c>
      <c r="GC286" s="25">
        <v>1</v>
      </c>
      <c r="GD286" s="25">
        <v>1</v>
      </c>
      <c r="GE286" s="25">
        <v>1</v>
      </c>
      <c r="GF286" s="25">
        <v>1</v>
      </c>
      <c r="GG286" s="25">
        <v>1</v>
      </c>
      <c r="GH286" s="25">
        <v>1</v>
      </c>
      <c r="GI286" s="25">
        <v>1</v>
      </c>
      <c r="GJ286" s="25">
        <v>1</v>
      </c>
      <c r="GK286" s="25">
        <v>1</v>
      </c>
      <c r="GL286" s="25">
        <v>1</v>
      </c>
      <c r="GM286" s="25">
        <v>1</v>
      </c>
      <c r="GN286" s="25">
        <v>1</v>
      </c>
      <c r="GO286" s="25">
        <v>1</v>
      </c>
      <c r="GP286" s="25">
        <v>1</v>
      </c>
      <c r="GQ286" s="25">
        <v>1</v>
      </c>
      <c r="GR286" s="25">
        <v>1</v>
      </c>
      <c r="GS286" s="25">
        <v>1</v>
      </c>
      <c r="GT286" s="25">
        <v>1</v>
      </c>
      <c r="GU286" s="25">
        <v>1</v>
      </c>
      <c r="GV286" s="25" t="s">
        <v>455</v>
      </c>
      <c r="GW286" s="25" t="s">
        <v>455</v>
      </c>
      <c r="GX286" s="25" t="s">
        <v>455</v>
      </c>
      <c r="GY286" s="25" t="s">
        <v>455</v>
      </c>
      <c r="GZ286" s="25" t="s">
        <v>455</v>
      </c>
      <c r="HA286" s="25" t="s">
        <v>455</v>
      </c>
      <c r="HB286" s="25" t="s">
        <v>455</v>
      </c>
      <c r="HC286" s="25" t="s">
        <v>455</v>
      </c>
      <c r="HD286" s="25" t="s">
        <v>455</v>
      </c>
      <c r="HE286" s="25" t="s">
        <v>455</v>
      </c>
      <c r="HF286" s="25" t="s">
        <v>455</v>
      </c>
      <c r="HG286" s="25" t="s">
        <v>455</v>
      </c>
      <c r="HH286" s="25" t="s">
        <v>455</v>
      </c>
      <c r="HI286" s="25"/>
      <c r="HJ286" s="25"/>
      <c r="HK286" s="25"/>
      <c r="HL286" s="25"/>
      <c r="HM286" s="84"/>
      <c r="HN286" s="84"/>
      <c r="HO286" s="84"/>
      <c r="HP286" s="84"/>
      <c r="HQ286" s="84"/>
      <c r="HR286" s="84"/>
      <c r="HS286" s="84"/>
      <c r="HT286" s="84"/>
      <c r="HU286" s="13"/>
      <c r="HV286" s="13"/>
      <c r="HW286" s="32"/>
      <c r="HX286" s="55"/>
      <c r="HY286" s="55"/>
      <c r="HZ286" s="55"/>
      <c r="IA286" s="55"/>
      <c r="IB286" s="55"/>
      <c r="IC286" s="55"/>
      <c r="ID286" s="55"/>
      <c r="IE286" s="55"/>
      <c r="IF286" s="107">
        <v>32459.88</v>
      </c>
      <c r="IG286" s="107">
        <v>32459.879999999997</v>
      </c>
      <c r="IH286" s="250">
        <f t="shared" si="134"/>
        <v>0</v>
      </c>
      <c r="II286" s="55"/>
      <c r="IJ286" s="55"/>
      <c r="IK286" s="55"/>
      <c r="IL286" s="55"/>
      <c r="IM286" s="55"/>
      <c r="IN286" s="55"/>
      <c r="IO286" s="55"/>
      <c r="IP286" s="55"/>
      <c r="IQ286" s="55"/>
      <c r="IR286" s="55"/>
      <c r="IS286" s="55"/>
      <c r="IT286" s="55"/>
      <c r="IU286" s="55"/>
      <c r="IV286" s="55"/>
      <c r="IW286" s="55"/>
      <c r="IX286" s="55"/>
      <c r="IY286" s="55"/>
      <c r="IZ286" s="55"/>
      <c r="JA286" s="55"/>
      <c r="JB286" s="55"/>
      <c r="JC286" s="55"/>
      <c r="JD286" s="55">
        <v>2017</v>
      </c>
    </row>
    <row r="287" spans="1:265" s="5" customFormat="1" ht="24.95" hidden="1" customHeight="1">
      <c r="A287" s="26" t="s">
        <v>5</v>
      </c>
      <c r="B287" s="26" t="s">
        <v>203</v>
      </c>
      <c r="C287" s="13" t="s">
        <v>352</v>
      </c>
      <c r="D287" s="13" t="s">
        <v>377</v>
      </c>
      <c r="E287" s="16" t="s">
        <v>378</v>
      </c>
      <c r="F287" s="13" t="s">
        <v>356</v>
      </c>
      <c r="G287" s="33" t="s">
        <v>354</v>
      </c>
      <c r="H287" s="28" t="s">
        <v>1546</v>
      </c>
      <c r="I287" s="15" t="s">
        <v>999</v>
      </c>
      <c r="J287" s="154">
        <v>2</v>
      </c>
      <c r="K287" s="49" t="s">
        <v>375</v>
      </c>
      <c r="L287" s="314" t="s">
        <v>1912</v>
      </c>
      <c r="M287" s="15" t="s">
        <v>1048</v>
      </c>
      <c r="N287" s="15"/>
      <c r="O287" s="13" t="s">
        <v>206</v>
      </c>
      <c r="P287" s="13" t="s">
        <v>4</v>
      </c>
      <c r="Q287" s="183" t="s">
        <v>794</v>
      </c>
      <c r="R287" s="314"/>
      <c r="S287" s="22"/>
      <c r="T287" s="22"/>
      <c r="U287" s="22"/>
      <c r="V287" s="24"/>
      <c r="W287" s="13" t="s">
        <v>570</v>
      </c>
      <c r="X287" s="13" t="s">
        <v>570</v>
      </c>
      <c r="Y287" s="13"/>
      <c r="Z287" s="13"/>
      <c r="AA287" s="29"/>
      <c r="AB287" s="29">
        <v>0</v>
      </c>
      <c r="AC287" s="29">
        <v>0</v>
      </c>
      <c r="AD287" s="29"/>
      <c r="AE287" s="29">
        <v>0</v>
      </c>
      <c r="AF287" s="29">
        <f t="shared" si="121"/>
        <v>0</v>
      </c>
      <c r="AG287" s="25">
        <v>0.12</v>
      </c>
      <c r="AH287" s="29">
        <f t="shared" si="131"/>
        <v>0</v>
      </c>
      <c r="AI287" s="29">
        <f t="shared" si="132"/>
        <v>0</v>
      </c>
      <c r="AJ287" s="29">
        <f t="shared" si="133"/>
        <v>0</v>
      </c>
      <c r="AK287" s="29"/>
      <c r="AL287" s="29"/>
      <c r="AM287" s="126"/>
      <c r="AN287" s="29"/>
      <c r="AO287" s="29"/>
      <c r="AP287" s="29"/>
      <c r="AQ287" s="29"/>
      <c r="AR287" s="29"/>
      <c r="AS287" s="29"/>
      <c r="AT287" s="29"/>
      <c r="AU287" s="29"/>
      <c r="AV287" s="29"/>
      <c r="AW287" s="29"/>
      <c r="AX287" s="29"/>
      <c r="AY287" s="29"/>
      <c r="AZ287" s="29"/>
      <c r="BA287" s="29"/>
      <c r="BB287" s="29"/>
      <c r="BC287" s="29"/>
      <c r="BD287" s="29"/>
      <c r="BE287" s="29"/>
      <c r="BF287" s="29"/>
      <c r="BG287" s="29">
        <f t="shared" si="130"/>
        <v>0</v>
      </c>
      <c r="BH287" s="29"/>
      <c r="BI287" s="29"/>
      <c r="BJ287" s="23" t="s">
        <v>570</v>
      </c>
      <c r="BK287" s="29"/>
      <c r="BL287" s="29"/>
      <c r="BM287" s="29"/>
      <c r="BN287" s="13"/>
      <c r="BO287" s="13"/>
      <c r="BP287" s="23"/>
      <c r="BQ287" s="23"/>
      <c r="BR287" s="13"/>
      <c r="BS287" s="13"/>
      <c r="BT287" s="13"/>
      <c r="BU287" s="13"/>
      <c r="BV287" s="13"/>
      <c r="BW287" s="13"/>
      <c r="BX287" s="13"/>
      <c r="BY287" s="13"/>
      <c r="BZ287" s="13"/>
      <c r="CA287" s="23"/>
      <c r="CB287" s="224" t="s">
        <v>570</v>
      </c>
      <c r="CC287" s="224" t="s">
        <v>570</v>
      </c>
      <c r="CD287" s="224" t="s">
        <v>570</v>
      </c>
      <c r="CE287" s="13"/>
      <c r="CF287" s="13"/>
      <c r="CG287" s="13"/>
      <c r="CH287" s="13"/>
      <c r="CI287" s="13"/>
      <c r="CJ287" s="13"/>
      <c r="CK287" s="13"/>
      <c r="CL287" s="13"/>
      <c r="CM287" s="13"/>
      <c r="CN287" s="13"/>
      <c r="CO287" s="13"/>
      <c r="CP287" s="13"/>
      <c r="CQ287" s="13"/>
      <c r="CR287" s="13"/>
      <c r="CS287" s="29" t="s">
        <v>570</v>
      </c>
      <c r="CT287" s="29" t="s">
        <v>570</v>
      </c>
      <c r="CU287" s="29" t="s">
        <v>570</v>
      </c>
      <c r="CV287" s="23"/>
      <c r="CW287" s="13"/>
      <c r="CX287" s="13"/>
      <c r="CY287" s="155"/>
      <c r="CZ287" s="9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92"/>
      <c r="DZ287" s="13"/>
      <c r="EA287" s="13"/>
      <c r="EB287" s="13"/>
      <c r="EC287" s="13"/>
      <c r="ED287" s="13"/>
      <c r="EE287" s="13"/>
      <c r="EF287" s="13"/>
      <c r="EG287" s="13"/>
      <c r="EH287" s="13"/>
      <c r="EI287" s="13"/>
      <c r="EJ287" s="13"/>
      <c r="EK287" s="13"/>
      <c r="EL287" s="13"/>
      <c r="EM287" s="13"/>
      <c r="EN287" s="13"/>
      <c r="EO287" s="13"/>
      <c r="EP287" s="13"/>
      <c r="EQ287" s="13"/>
      <c r="ER287" s="13"/>
      <c r="ES287" s="13"/>
      <c r="ET287" s="13"/>
      <c r="EU287" s="13"/>
      <c r="EV287" s="13"/>
      <c r="EW287" s="13"/>
      <c r="EX287" s="13"/>
      <c r="EY287" s="13"/>
      <c r="EZ287" s="13"/>
      <c r="FA287" s="13"/>
      <c r="FB287" s="13"/>
      <c r="FC287" s="13"/>
      <c r="FD287" s="13"/>
      <c r="FE287" s="13"/>
      <c r="FF287" s="13"/>
      <c r="FG287" s="13"/>
      <c r="FH287" s="13"/>
      <c r="FI287" s="13"/>
      <c r="FJ287" s="13"/>
      <c r="FK287" s="25"/>
      <c r="FL287" s="25"/>
      <c r="FM287" s="25"/>
      <c r="FN287" s="25"/>
      <c r="FO287" s="25"/>
      <c r="FP287" s="25"/>
      <c r="FQ287" s="25"/>
      <c r="FR287" s="25"/>
      <c r="FS287" s="25"/>
      <c r="FT287" s="25"/>
      <c r="FU287" s="25"/>
      <c r="FV287" s="25">
        <v>1</v>
      </c>
      <c r="FW287" s="25">
        <v>1</v>
      </c>
      <c r="FX287" s="25">
        <v>1</v>
      </c>
      <c r="FY287" s="25">
        <v>1</v>
      </c>
      <c r="FZ287" s="25">
        <v>1</v>
      </c>
      <c r="GA287" s="25">
        <v>1</v>
      </c>
      <c r="GB287" s="25">
        <v>1</v>
      </c>
      <c r="GC287" s="25">
        <v>1</v>
      </c>
      <c r="GD287" s="25">
        <v>1</v>
      </c>
      <c r="GE287" s="25">
        <v>1</v>
      </c>
      <c r="GF287" s="25">
        <v>1</v>
      </c>
      <c r="GG287" s="25">
        <v>1</v>
      </c>
      <c r="GH287" s="25">
        <v>1</v>
      </c>
      <c r="GI287" s="25">
        <v>1</v>
      </c>
      <c r="GJ287" s="25">
        <v>1</v>
      </c>
      <c r="GK287" s="25">
        <v>1</v>
      </c>
      <c r="GL287" s="25">
        <v>1</v>
      </c>
      <c r="GM287" s="25">
        <v>1</v>
      </c>
      <c r="GN287" s="25">
        <v>1</v>
      </c>
      <c r="GO287" s="25">
        <v>1</v>
      </c>
      <c r="GP287" s="25">
        <v>1</v>
      </c>
      <c r="GQ287" s="25">
        <v>1</v>
      </c>
      <c r="GR287" s="25">
        <v>1</v>
      </c>
      <c r="GS287" s="25">
        <v>1</v>
      </c>
      <c r="GT287" s="25">
        <v>1</v>
      </c>
      <c r="GU287" s="25">
        <v>1</v>
      </c>
      <c r="GV287" s="25" t="s">
        <v>1588</v>
      </c>
      <c r="GW287" s="25" t="s">
        <v>1588</v>
      </c>
      <c r="GX287" s="25" t="s">
        <v>1588</v>
      </c>
      <c r="GY287" s="25" t="s">
        <v>1588</v>
      </c>
      <c r="GZ287" s="25" t="s">
        <v>1588</v>
      </c>
      <c r="HA287" s="25" t="s">
        <v>1588</v>
      </c>
      <c r="HB287" s="25" t="s">
        <v>1588</v>
      </c>
      <c r="HC287" s="25" t="s">
        <v>1588</v>
      </c>
      <c r="HD287" s="25" t="s">
        <v>1889</v>
      </c>
      <c r="HE287" s="25" t="s">
        <v>1889</v>
      </c>
      <c r="HF287" s="25" t="s">
        <v>1889</v>
      </c>
      <c r="HG287" s="25" t="s">
        <v>1889</v>
      </c>
      <c r="HH287" s="25" t="s">
        <v>1889</v>
      </c>
      <c r="HI287" s="25"/>
      <c r="HJ287" s="25"/>
      <c r="HK287" s="25"/>
      <c r="HL287" s="25"/>
      <c r="HM287" s="84"/>
      <c r="HN287" s="84"/>
      <c r="HO287" s="84"/>
      <c r="HP287" s="84"/>
      <c r="HQ287" s="84"/>
      <c r="HR287" s="84"/>
      <c r="HS287" s="84"/>
      <c r="HT287" s="84"/>
      <c r="HU287" s="13" t="s">
        <v>1052</v>
      </c>
      <c r="HV287" s="13"/>
      <c r="HW287" s="32"/>
      <c r="HX287" s="55"/>
      <c r="HY287" s="55"/>
      <c r="HZ287" s="55"/>
      <c r="IA287" s="55"/>
      <c r="IB287" s="55"/>
      <c r="IC287" s="55"/>
      <c r="ID287" s="55"/>
      <c r="IE287" s="55"/>
      <c r="IF287" s="107">
        <v>0</v>
      </c>
      <c r="IG287" s="107"/>
      <c r="IH287" s="250">
        <f t="shared" si="134"/>
        <v>0</v>
      </c>
      <c r="II287" s="55"/>
      <c r="IJ287" s="55"/>
      <c r="IK287" s="55"/>
      <c r="IL287" s="55"/>
      <c r="IM287" s="55"/>
      <c r="IN287" s="55"/>
      <c r="IO287" s="55"/>
      <c r="IP287" s="55"/>
      <c r="IQ287" s="55"/>
      <c r="IR287" s="55"/>
      <c r="IS287" s="55"/>
      <c r="IT287" s="55"/>
      <c r="IU287" s="55"/>
      <c r="IV287" s="55"/>
      <c r="IW287" s="55"/>
      <c r="IX287" s="55"/>
      <c r="IY287" s="55"/>
      <c r="IZ287" s="55"/>
      <c r="JA287" s="55"/>
      <c r="JB287" s="55"/>
      <c r="JC287" s="55"/>
      <c r="JD287" s="55">
        <v>2017</v>
      </c>
    </row>
    <row r="288" spans="1:265" s="5" customFormat="1" ht="20.100000000000001" hidden="1" customHeight="1">
      <c r="A288" s="26" t="s">
        <v>5</v>
      </c>
      <c r="B288" s="26" t="s">
        <v>203</v>
      </c>
      <c r="C288" s="13" t="s">
        <v>349</v>
      </c>
      <c r="D288" s="13" t="s">
        <v>382</v>
      </c>
      <c r="E288" s="16" t="s">
        <v>360</v>
      </c>
      <c r="F288" s="13" t="s">
        <v>356</v>
      </c>
      <c r="G288" s="39" t="s">
        <v>354</v>
      </c>
      <c r="H288" s="13" t="s">
        <v>1547</v>
      </c>
      <c r="I288" s="313" t="s">
        <v>124</v>
      </c>
      <c r="J288" s="154">
        <v>3</v>
      </c>
      <c r="K288" s="49" t="s">
        <v>375</v>
      </c>
      <c r="L288" s="314" t="s">
        <v>261</v>
      </c>
      <c r="M288" s="392" t="s">
        <v>262</v>
      </c>
      <c r="N288" s="43" t="s">
        <v>1979</v>
      </c>
      <c r="O288" s="13" t="s">
        <v>206</v>
      </c>
      <c r="P288" s="13" t="s">
        <v>4</v>
      </c>
      <c r="Q288" s="22" t="s">
        <v>1118</v>
      </c>
      <c r="R288" s="314" t="s">
        <v>261</v>
      </c>
      <c r="S288" s="13" t="s">
        <v>722</v>
      </c>
      <c r="T288" s="13" t="s">
        <v>1387</v>
      </c>
      <c r="U288" s="13" t="s">
        <v>477</v>
      </c>
      <c r="V288" s="24">
        <v>1714263421001</v>
      </c>
      <c r="W288" s="13" t="s">
        <v>570</v>
      </c>
      <c r="X288" s="13" t="s">
        <v>570</v>
      </c>
      <c r="Y288" s="13" t="s">
        <v>503</v>
      </c>
      <c r="Z288" s="13" t="s">
        <v>503</v>
      </c>
      <c r="AA288" s="76">
        <v>23084.05</v>
      </c>
      <c r="AB288" s="95">
        <v>37106.18</v>
      </c>
      <c r="AC288" s="76">
        <v>23084.05</v>
      </c>
      <c r="AD288" s="76">
        <f>AA288+AA289</f>
        <v>37106.18</v>
      </c>
      <c r="AE288" s="29">
        <v>0</v>
      </c>
      <c r="AF288" s="29">
        <f t="shared" si="121"/>
        <v>37106.18</v>
      </c>
      <c r="AG288" s="25">
        <v>0.12</v>
      </c>
      <c r="AH288" s="29">
        <f t="shared" si="131"/>
        <v>4452.7416000000003</v>
      </c>
      <c r="AI288" s="29">
        <f t="shared" si="132"/>
        <v>0</v>
      </c>
      <c r="AJ288" s="29">
        <f t="shared" si="133"/>
        <v>41558.921600000001</v>
      </c>
      <c r="AK288" s="29">
        <v>26546.639999999999</v>
      </c>
      <c r="AL288" s="29">
        <f>AB288-AK288</f>
        <v>10559.54</v>
      </c>
      <c r="AM288" s="126"/>
      <c r="AN288" s="29">
        <v>16458.919999999998</v>
      </c>
      <c r="AO288" s="29">
        <f>AN288+AN289</f>
        <v>26546.639999999999</v>
      </c>
      <c r="AP288" s="29">
        <v>16458.919999999998</v>
      </c>
      <c r="AQ288" s="29">
        <f>AP288+AP289</f>
        <v>26546.639999999999</v>
      </c>
      <c r="AR288" s="25">
        <v>0.12</v>
      </c>
      <c r="AS288" s="29">
        <f>AQ288*0.12</f>
        <v>3185.5967999999998</v>
      </c>
      <c r="AT288" s="29">
        <f>AQ288*1.12</f>
        <v>29732.236800000002</v>
      </c>
      <c r="AU288" s="29"/>
      <c r="AV288" s="29"/>
      <c r="AW288" s="29"/>
      <c r="AX288" s="29"/>
      <c r="AY288" s="29"/>
      <c r="AZ288" s="29"/>
      <c r="BA288" s="29"/>
      <c r="BB288" s="29"/>
      <c r="BC288" s="29"/>
      <c r="BD288" s="29"/>
      <c r="BE288" s="29"/>
      <c r="BF288" s="29">
        <f t="shared" ref="BF288:BF298" si="137">AB288-AQ288</f>
        <v>10559.54</v>
      </c>
      <c r="BG288" s="29">
        <f t="shared" si="130"/>
        <v>10559.54</v>
      </c>
      <c r="BH288" s="29"/>
      <c r="BI288" s="23" t="s">
        <v>570</v>
      </c>
      <c r="BJ288" s="23" t="s">
        <v>570</v>
      </c>
      <c r="BK288" s="23"/>
      <c r="BL288" s="23"/>
      <c r="BM288" s="23"/>
      <c r="BN288" s="13"/>
      <c r="BO288" s="13"/>
      <c r="BP288" s="13"/>
      <c r="BQ288" s="13"/>
      <c r="BR288" s="13"/>
      <c r="BS288" s="13"/>
      <c r="BT288" s="13"/>
      <c r="BU288" s="13"/>
      <c r="BV288" s="13"/>
      <c r="BW288" s="13" t="s">
        <v>570</v>
      </c>
      <c r="BX288" s="13"/>
      <c r="BY288" s="13"/>
      <c r="BZ288" s="13"/>
      <c r="CA288" s="23">
        <v>42387</v>
      </c>
      <c r="CB288" s="224" t="s">
        <v>570</v>
      </c>
      <c r="CC288" s="224" t="s">
        <v>570</v>
      </c>
      <c r="CD288" s="224" t="s">
        <v>570</v>
      </c>
      <c r="CE288" s="23"/>
      <c r="CF288" s="23"/>
      <c r="CG288" s="23"/>
      <c r="CH288" s="23"/>
      <c r="CI288" s="23"/>
      <c r="CJ288" s="23"/>
      <c r="CK288" s="23"/>
      <c r="CL288" s="23"/>
      <c r="CM288" s="23"/>
      <c r="CN288" s="23"/>
      <c r="CO288" s="23"/>
      <c r="CP288" s="23"/>
      <c r="CQ288" s="23"/>
      <c r="CR288" s="23"/>
      <c r="CS288" s="29" t="s">
        <v>570</v>
      </c>
      <c r="CT288" s="29" t="s">
        <v>570</v>
      </c>
      <c r="CU288" s="29" t="s">
        <v>570</v>
      </c>
      <c r="CV288" s="23"/>
      <c r="CW288" s="13"/>
      <c r="CX288" s="80" t="s">
        <v>804</v>
      </c>
      <c r="CY288" s="155">
        <v>42689</v>
      </c>
      <c r="CZ288" s="93">
        <v>6636.66</v>
      </c>
      <c r="DA288" s="80" t="s">
        <v>805</v>
      </c>
      <c r="DB288" s="195">
        <v>42689</v>
      </c>
      <c r="DC288" s="196">
        <v>6636.66</v>
      </c>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92">
        <f t="shared" si="136"/>
        <v>13273.32</v>
      </c>
      <c r="DZ288" s="13"/>
      <c r="EA288" s="13"/>
      <c r="EB288" s="13"/>
      <c r="EC288" s="13"/>
      <c r="ED288" s="13"/>
      <c r="EE288" s="13"/>
      <c r="EF288" s="13"/>
      <c r="EG288" s="13">
        <v>240</v>
      </c>
      <c r="EH288" s="13" t="s">
        <v>548</v>
      </c>
      <c r="EI288" s="13" t="s">
        <v>503</v>
      </c>
      <c r="EJ288" s="13" t="s">
        <v>503</v>
      </c>
      <c r="EK288" s="13"/>
      <c r="EL288" s="13"/>
      <c r="EM288" s="13"/>
      <c r="EN288" s="13"/>
      <c r="EO288" s="13"/>
      <c r="EP288" s="13"/>
      <c r="EQ288" s="13"/>
      <c r="ER288" s="13"/>
      <c r="ES288" s="13"/>
      <c r="ET288" s="13"/>
      <c r="EU288" s="13"/>
      <c r="EV288" s="13"/>
      <c r="EW288" s="13"/>
      <c r="EX288" s="13"/>
      <c r="EY288" s="13"/>
      <c r="EZ288" s="13"/>
      <c r="FA288" s="13"/>
      <c r="FB288" s="13"/>
      <c r="FC288" s="13"/>
      <c r="FD288" s="13"/>
      <c r="FE288" s="13"/>
      <c r="FF288" s="13"/>
      <c r="FG288" s="13"/>
      <c r="FH288" s="13"/>
      <c r="FI288" s="13"/>
      <c r="FJ288" s="25">
        <v>0.01</v>
      </c>
      <c r="FK288" s="25">
        <v>7.0000000000000007E-2</v>
      </c>
      <c r="FL288" s="25">
        <v>7.0000000000000007E-2</v>
      </c>
      <c r="FM288" s="25">
        <v>7.0000000000000007E-2</v>
      </c>
      <c r="FN288" s="25">
        <v>7.0000000000000007E-2</v>
      </c>
      <c r="FO288" s="25">
        <v>0.3</v>
      </c>
      <c r="FP288" s="25">
        <v>0.5</v>
      </c>
      <c r="FQ288" s="25">
        <v>0.6</v>
      </c>
      <c r="FR288" s="25">
        <v>0.75</v>
      </c>
      <c r="FS288" s="25">
        <v>0.85</v>
      </c>
      <c r="FT288" s="25">
        <v>0.9</v>
      </c>
      <c r="FU288" s="25">
        <v>1</v>
      </c>
      <c r="FV288" s="25">
        <v>1</v>
      </c>
      <c r="FW288" s="25">
        <v>1</v>
      </c>
      <c r="FX288" s="25">
        <v>1</v>
      </c>
      <c r="FY288" s="25">
        <v>1</v>
      </c>
      <c r="FZ288" s="25">
        <v>1</v>
      </c>
      <c r="GA288" s="25">
        <v>1</v>
      </c>
      <c r="GB288" s="25">
        <v>1</v>
      </c>
      <c r="GC288" s="25">
        <v>1</v>
      </c>
      <c r="GD288" s="25">
        <v>1</v>
      </c>
      <c r="GE288" s="25">
        <v>1</v>
      </c>
      <c r="GF288" s="25">
        <v>1</v>
      </c>
      <c r="GG288" s="25">
        <v>1</v>
      </c>
      <c r="GH288" s="25">
        <v>1</v>
      </c>
      <c r="GI288" s="25">
        <v>1</v>
      </c>
      <c r="GJ288" s="25">
        <v>1</v>
      </c>
      <c r="GK288" s="25">
        <v>1</v>
      </c>
      <c r="GL288" s="25">
        <v>1</v>
      </c>
      <c r="GM288" s="25">
        <v>1</v>
      </c>
      <c r="GN288" s="25">
        <v>1</v>
      </c>
      <c r="GO288" s="25">
        <v>1</v>
      </c>
      <c r="GP288" s="25">
        <v>1</v>
      </c>
      <c r="GQ288" s="25">
        <v>1</v>
      </c>
      <c r="GR288" s="25">
        <v>1</v>
      </c>
      <c r="GS288" s="25">
        <v>1</v>
      </c>
      <c r="GT288" s="25">
        <v>1</v>
      </c>
      <c r="GU288" s="25">
        <v>1</v>
      </c>
      <c r="GV288" s="25" t="s">
        <v>452</v>
      </c>
      <c r="GW288" s="25" t="s">
        <v>452</v>
      </c>
      <c r="GX288" s="25" t="s">
        <v>452</v>
      </c>
      <c r="GY288" s="25" t="s">
        <v>452</v>
      </c>
      <c r="GZ288" s="25" t="s">
        <v>452</v>
      </c>
      <c r="HA288" s="25" t="s">
        <v>452</v>
      </c>
      <c r="HB288" s="25" t="s">
        <v>452</v>
      </c>
      <c r="HC288" s="25" t="s">
        <v>452</v>
      </c>
      <c r="HD288" s="25" t="s">
        <v>452</v>
      </c>
      <c r="HE288" s="25" t="s">
        <v>452</v>
      </c>
      <c r="HF288" s="25" t="s">
        <v>452</v>
      </c>
      <c r="HG288" s="25" t="s">
        <v>452</v>
      </c>
      <c r="HH288" s="25" t="s">
        <v>452</v>
      </c>
      <c r="HI288" s="25"/>
      <c r="HJ288" s="25"/>
      <c r="HK288" s="25"/>
      <c r="HL288" s="25"/>
      <c r="HM288" s="84"/>
      <c r="HN288" s="84"/>
      <c r="HO288" s="84"/>
      <c r="HP288" s="84"/>
      <c r="HQ288" s="84"/>
      <c r="HR288" s="84"/>
      <c r="HS288" s="84"/>
      <c r="HT288" s="84"/>
      <c r="HU288" s="13"/>
      <c r="HV288" s="13"/>
      <c r="HW288" s="32"/>
      <c r="HX288" s="55"/>
      <c r="HY288" s="55"/>
      <c r="HZ288" s="55"/>
      <c r="IA288" s="55"/>
      <c r="IB288" s="55"/>
      <c r="IC288" s="55"/>
      <c r="ID288" s="55"/>
      <c r="IE288" s="55"/>
      <c r="IF288" s="107">
        <v>37106.18</v>
      </c>
      <c r="IG288" s="107">
        <v>26546.639999999999</v>
      </c>
      <c r="IH288" s="250">
        <f t="shared" si="134"/>
        <v>0</v>
      </c>
      <c r="II288" s="55"/>
      <c r="IJ288" s="55"/>
      <c r="IK288" s="55"/>
      <c r="IL288" s="55"/>
      <c r="IM288" s="55"/>
      <c r="IN288" s="55"/>
      <c r="IO288" s="55"/>
      <c r="IP288" s="55"/>
      <c r="IQ288" s="55"/>
      <c r="IR288" s="55"/>
      <c r="IS288" s="55"/>
      <c r="IT288" s="55"/>
      <c r="IU288" s="55"/>
      <c r="IV288" s="55"/>
      <c r="IW288" s="55"/>
      <c r="IX288" s="55"/>
      <c r="IY288" s="55"/>
      <c r="IZ288" s="55"/>
      <c r="JA288" s="55"/>
      <c r="JB288" s="55"/>
      <c r="JC288" s="55"/>
      <c r="JD288" s="55">
        <v>2017</v>
      </c>
    </row>
    <row r="289" spans="1:264" s="5" customFormat="1" ht="20.100000000000001" hidden="1" customHeight="1">
      <c r="A289" s="26" t="s">
        <v>5</v>
      </c>
      <c r="B289" s="26" t="s">
        <v>203</v>
      </c>
      <c r="C289" s="13" t="s">
        <v>349</v>
      </c>
      <c r="D289" s="13" t="s">
        <v>382</v>
      </c>
      <c r="E289" s="16" t="s">
        <v>360</v>
      </c>
      <c r="F289" s="13" t="s">
        <v>356</v>
      </c>
      <c r="G289" s="39" t="s">
        <v>354</v>
      </c>
      <c r="H289" s="13" t="s">
        <v>1547</v>
      </c>
      <c r="I289" s="313" t="s">
        <v>126</v>
      </c>
      <c r="J289" s="154">
        <v>4</v>
      </c>
      <c r="K289" s="49" t="s">
        <v>375</v>
      </c>
      <c r="L289" s="314" t="s">
        <v>261</v>
      </c>
      <c r="M289" s="393"/>
      <c r="N289" s="43" t="s">
        <v>1980</v>
      </c>
      <c r="O289" s="13" t="s">
        <v>206</v>
      </c>
      <c r="P289" s="13" t="s">
        <v>4</v>
      </c>
      <c r="Q289" s="22" t="s">
        <v>1118</v>
      </c>
      <c r="R289" s="314" t="s">
        <v>261</v>
      </c>
      <c r="S289" s="13" t="s">
        <v>722</v>
      </c>
      <c r="T289" s="13" t="s">
        <v>1387</v>
      </c>
      <c r="U289" s="13" t="s">
        <v>477</v>
      </c>
      <c r="V289" s="24">
        <v>1714263421001</v>
      </c>
      <c r="W289" s="13" t="s">
        <v>570</v>
      </c>
      <c r="X289" s="13" t="s">
        <v>570</v>
      </c>
      <c r="Y289" s="13" t="s">
        <v>503</v>
      </c>
      <c r="Z289" s="13" t="s">
        <v>503</v>
      </c>
      <c r="AA289" s="76">
        <v>14022.13</v>
      </c>
      <c r="AB289" s="95">
        <v>0</v>
      </c>
      <c r="AC289" s="76">
        <v>14022.13</v>
      </c>
      <c r="AD289" s="76"/>
      <c r="AE289" s="29">
        <v>0</v>
      </c>
      <c r="AF289" s="29">
        <f t="shared" si="121"/>
        <v>0</v>
      </c>
      <c r="AG289" s="25">
        <v>0.12</v>
      </c>
      <c r="AH289" s="29">
        <f t="shared" si="131"/>
        <v>0</v>
      </c>
      <c r="AI289" s="29">
        <f t="shared" si="132"/>
        <v>0</v>
      </c>
      <c r="AJ289" s="29">
        <f t="shared" si="133"/>
        <v>0</v>
      </c>
      <c r="AK289" s="29"/>
      <c r="AL289" s="29"/>
      <c r="AM289" s="126"/>
      <c r="AN289" s="29">
        <v>10087.719999999999</v>
      </c>
      <c r="AO289" s="29"/>
      <c r="AP289" s="29">
        <v>10087.719999999999</v>
      </c>
      <c r="AQ289" s="29"/>
      <c r="AR289" s="29"/>
      <c r="AS289" s="29"/>
      <c r="AT289" s="29"/>
      <c r="AU289" s="29"/>
      <c r="AV289" s="29"/>
      <c r="AW289" s="29"/>
      <c r="AX289" s="29"/>
      <c r="AY289" s="29"/>
      <c r="AZ289" s="29"/>
      <c r="BA289" s="29"/>
      <c r="BB289" s="29"/>
      <c r="BC289" s="29"/>
      <c r="BD289" s="29"/>
      <c r="BE289" s="29"/>
      <c r="BF289" s="29">
        <f t="shared" si="137"/>
        <v>0</v>
      </c>
      <c r="BG289" s="29">
        <f t="shared" si="130"/>
        <v>0</v>
      </c>
      <c r="BH289" s="29"/>
      <c r="BI289" s="23" t="s">
        <v>570</v>
      </c>
      <c r="BJ289" s="23" t="s">
        <v>570</v>
      </c>
      <c r="BK289" s="23"/>
      <c r="BL289" s="23"/>
      <c r="BM289" s="23"/>
      <c r="BN289" s="13"/>
      <c r="BO289" s="13"/>
      <c r="BP289" s="13"/>
      <c r="BQ289" s="13"/>
      <c r="BR289" s="13"/>
      <c r="BS289" s="13"/>
      <c r="BT289" s="13"/>
      <c r="BU289" s="13"/>
      <c r="BV289" s="13"/>
      <c r="BW289" s="13" t="s">
        <v>570</v>
      </c>
      <c r="BX289" s="13"/>
      <c r="BY289" s="13"/>
      <c r="BZ289" s="13"/>
      <c r="CA289" s="23">
        <v>42387</v>
      </c>
      <c r="CB289" s="224" t="s">
        <v>570</v>
      </c>
      <c r="CC289" s="224" t="s">
        <v>570</v>
      </c>
      <c r="CD289" s="224" t="s">
        <v>570</v>
      </c>
      <c r="CE289" s="23"/>
      <c r="CF289" s="23"/>
      <c r="CG289" s="23"/>
      <c r="CH289" s="23"/>
      <c r="CI289" s="23"/>
      <c r="CJ289" s="23"/>
      <c r="CK289" s="23"/>
      <c r="CL289" s="23"/>
      <c r="CM289" s="23"/>
      <c r="CN289" s="23"/>
      <c r="CO289" s="23"/>
      <c r="CP289" s="23"/>
      <c r="CQ289" s="23"/>
      <c r="CR289" s="23"/>
      <c r="CS289" s="29" t="s">
        <v>570</v>
      </c>
      <c r="CT289" s="29" t="s">
        <v>570</v>
      </c>
      <c r="CU289" s="29" t="s">
        <v>570</v>
      </c>
      <c r="CV289" s="23"/>
      <c r="CW289" s="13"/>
      <c r="CX289" s="13"/>
      <c r="CY289" s="155"/>
      <c r="CZ289" s="9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92">
        <f t="shared" si="136"/>
        <v>0</v>
      </c>
      <c r="DZ289" s="13"/>
      <c r="EA289" s="13"/>
      <c r="EB289" s="13"/>
      <c r="EC289" s="13"/>
      <c r="ED289" s="13"/>
      <c r="EE289" s="13"/>
      <c r="EF289" s="13"/>
      <c r="EG289" s="13">
        <v>240</v>
      </c>
      <c r="EH289" s="13" t="s">
        <v>548</v>
      </c>
      <c r="EI289" s="13" t="s">
        <v>503</v>
      </c>
      <c r="EJ289" s="13" t="s">
        <v>503</v>
      </c>
      <c r="EK289" s="13"/>
      <c r="EL289" s="13"/>
      <c r="EM289" s="13"/>
      <c r="EN289" s="13"/>
      <c r="EO289" s="13"/>
      <c r="EP289" s="13"/>
      <c r="EQ289" s="13"/>
      <c r="ER289" s="13"/>
      <c r="ES289" s="13"/>
      <c r="ET289" s="13"/>
      <c r="EU289" s="13"/>
      <c r="EV289" s="13"/>
      <c r="EW289" s="13"/>
      <c r="EX289" s="13"/>
      <c r="EY289" s="13"/>
      <c r="EZ289" s="13"/>
      <c r="FA289" s="13"/>
      <c r="FB289" s="13"/>
      <c r="FC289" s="13"/>
      <c r="FD289" s="13"/>
      <c r="FE289" s="13"/>
      <c r="FF289" s="13"/>
      <c r="FG289" s="13"/>
      <c r="FH289" s="13"/>
      <c r="FI289" s="13"/>
      <c r="FJ289" s="25">
        <v>0.01</v>
      </c>
      <c r="FK289" s="25">
        <v>7.0000000000000007E-2</v>
      </c>
      <c r="FL289" s="25">
        <v>7.0000000000000007E-2</v>
      </c>
      <c r="FM289" s="25">
        <v>7.0000000000000007E-2</v>
      </c>
      <c r="FN289" s="25">
        <v>7.0000000000000007E-2</v>
      </c>
      <c r="FO289" s="25">
        <v>0.3</v>
      </c>
      <c r="FP289" s="25">
        <v>0.5</v>
      </c>
      <c r="FQ289" s="25">
        <v>0.6</v>
      </c>
      <c r="FR289" s="25">
        <v>0.75</v>
      </c>
      <c r="FS289" s="25">
        <v>0.85</v>
      </c>
      <c r="FT289" s="25">
        <v>0.9</v>
      </c>
      <c r="FU289" s="25">
        <v>1</v>
      </c>
      <c r="FV289" s="25">
        <v>1</v>
      </c>
      <c r="FW289" s="25">
        <v>1</v>
      </c>
      <c r="FX289" s="25">
        <v>1</v>
      </c>
      <c r="FY289" s="25">
        <v>1</v>
      </c>
      <c r="FZ289" s="25">
        <v>1</v>
      </c>
      <c r="GA289" s="25">
        <v>1</v>
      </c>
      <c r="GB289" s="25">
        <v>1</v>
      </c>
      <c r="GC289" s="25">
        <v>1</v>
      </c>
      <c r="GD289" s="25">
        <v>1</v>
      </c>
      <c r="GE289" s="25">
        <v>1</v>
      </c>
      <c r="GF289" s="25">
        <v>1</v>
      </c>
      <c r="GG289" s="25">
        <v>1</v>
      </c>
      <c r="GH289" s="25">
        <v>1</v>
      </c>
      <c r="GI289" s="25">
        <v>1</v>
      </c>
      <c r="GJ289" s="25">
        <v>1</v>
      </c>
      <c r="GK289" s="25">
        <v>1</v>
      </c>
      <c r="GL289" s="25">
        <v>1</v>
      </c>
      <c r="GM289" s="25">
        <v>1</v>
      </c>
      <c r="GN289" s="25">
        <v>1</v>
      </c>
      <c r="GO289" s="25">
        <v>1</v>
      </c>
      <c r="GP289" s="25">
        <v>1</v>
      </c>
      <c r="GQ289" s="25">
        <v>1</v>
      </c>
      <c r="GR289" s="25">
        <v>1</v>
      </c>
      <c r="GS289" s="25">
        <v>1</v>
      </c>
      <c r="GT289" s="25">
        <v>1</v>
      </c>
      <c r="GU289" s="25">
        <v>1</v>
      </c>
      <c r="GV289" s="25" t="s">
        <v>452</v>
      </c>
      <c r="GW289" s="25" t="s">
        <v>452</v>
      </c>
      <c r="GX289" s="25" t="s">
        <v>452</v>
      </c>
      <c r="GY289" s="25" t="s">
        <v>452</v>
      </c>
      <c r="GZ289" s="25" t="s">
        <v>452</v>
      </c>
      <c r="HA289" s="25" t="s">
        <v>452</v>
      </c>
      <c r="HB289" s="25" t="s">
        <v>452</v>
      </c>
      <c r="HC289" s="25" t="s">
        <v>452</v>
      </c>
      <c r="HD289" s="25" t="s">
        <v>452</v>
      </c>
      <c r="HE289" s="25" t="s">
        <v>452</v>
      </c>
      <c r="HF289" s="25" t="s">
        <v>452</v>
      </c>
      <c r="HG289" s="25" t="s">
        <v>452</v>
      </c>
      <c r="HH289" s="25" t="s">
        <v>452</v>
      </c>
      <c r="HI289" s="25"/>
      <c r="HJ289" s="25"/>
      <c r="HK289" s="25"/>
      <c r="HL289" s="25"/>
      <c r="HM289" s="84"/>
      <c r="HN289" s="84"/>
      <c r="HO289" s="84"/>
      <c r="HP289" s="84"/>
      <c r="HQ289" s="84"/>
      <c r="HR289" s="84"/>
      <c r="HS289" s="84"/>
      <c r="HT289" s="84"/>
      <c r="HU289" s="13"/>
      <c r="HV289" s="13"/>
      <c r="HW289" s="32"/>
      <c r="HX289" s="55"/>
      <c r="HY289" s="55"/>
      <c r="HZ289" s="55"/>
      <c r="IA289" s="55"/>
      <c r="IB289" s="55"/>
      <c r="IC289" s="55"/>
      <c r="ID289" s="55"/>
      <c r="IE289" s="55"/>
      <c r="IF289" s="107">
        <v>0</v>
      </c>
      <c r="IG289" s="107"/>
      <c r="IH289" s="250">
        <f t="shared" si="134"/>
        <v>0</v>
      </c>
      <c r="II289" s="55"/>
      <c r="IJ289" s="55"/>
      <c r="IK289" s="55"/>
      <c r="IL289" s="55"/>
      <c r="IM289" s="55"/>
      <c r="IN289" s="55"/>
      <c r="IO289" s="55"/>
      <c r="IP289" s="55"/>
      <c r="IQ289" s="55"/>
      <c r="IR289" s="55"/>
      <c r="IS289" s="55"/>
      <c r="IT289" s="55"/>
      <c r="IU289" s="55"/>
      <c r="IV289" s="55"/>
      <c r="IW289" s="55"/>
      <c r="IX289" s="55"/>
      <c r="IY289" s="55"/>
      <c r="IZ289" s="55"/>
      <c r="JA289" s="55"/>
      <c r="JB289" s="55"/>
      <c r="JC289" s="55"/>
      <c r="JD289" s="55">
        <v>2017</v>
      </c>
    </row>
    <row r="290" spans="1:264" s="5" customFormat="1" ht="20.100000000000001" hidden="1" customHeight="1">
      <c r="A290" s="26" t="s">
        <v>103</v>
      </c>
      <c r="B290" s="26" t="s">
        <v>203</v>
      </c>
      <c r="C290" s="13" t="s">
        <v>349</v>
      </c>
      <c r="D290" s="13" t="s">
        <v>380</v>
      </c>
      <c r="E290" s="16" t="s">
        <v>350</v>
      </c>
      <c r="F290" s="13" t="s">
        <v>356</v>
      </c>
      <c r="G290" s="26" t="s">
        <v>351</v>
      </c>
      <c r="H290" s="13" t="s">
        <v>1545</v>
      </c>
      <c r="I290" s="313" t="s">
        <v>105</v>
      </c>
      <c r="J290" s="26">
        <v>1</v>
      </c>
      <c r="K290" s="49" t="s">
        <v>375</v>
      </c>
      <c r="L290" s="314" t="s">
        <v>263</v>
      </c>
      <c r="M290" s="14" t="s">
        <v>264</v>
      </c>
      <c r="N290" s="43"/>
      <c r="O290" s="13" t="s">
        <v>206</v>
      </c>
      <c r="P290" s="13" t="s">
        <v>4</v>
      </c>
      <c r="Q290" s="22" t="s">
        <v>364</v>
      </c>
      <c r="R290" s="314" t="s">
        <v>263</v>
      </c>
      <c r="S290" s="13" t="s">
        <v>713</v>
      </c>
      <c r="T290" s="13" t="s">
        <v>1387</v>
      </c>
      <c r="U290" s="13" t="s">
        <v>477</v>
      </c>
      <c r="V290" s="13" t="s">
        <v>714</v>
      </c>
      <c r="W290" s="13" t="s">
        <v>570</v>
      </c>
      <c r="X290" s="13" t="s">
        <v>570</v>
      </c>
      <c r="Y290" s="13" t="s">
        <v>503</v>
      </c>
      <c r="Z290" s="13" t="s">
        <v>503</v>
      </c>
      <c r="AA290" s="29"/>
      <c r="AB290" s="29">
        <v>85285.71</v>
      </c>
      <c r="AC290" s="29">
        <v>0</v>
      </c>
      <c r="AD290" s="29">
        <v>41855.022066326259</v>
      </c>
      <c r="AE290" s="29">
        <v>0</v>
      </c>
      <c r="AF290" s="29">
        <f t="shared" si="121"/>
        <v>41855.022066326259</v>
      </c>
      <c r="AG290" s="25">
        <v>0.12</v>
      </c>
      <c r="AH290" s="29">
        <f t="shared" si="131"/>
        <v>5022.602647959151</v>
      </c>
      <c r="AI290" s="29">
        <f t="shared" si="132"/>
        <v>0</v>
      </c>
      <c r="AJ290" s="29">
        <f t="shared" si="133"/>
        <v>46877.624714285412</v>
      </c>
      <c r="AK290" s="29"/>
      <c r="AL290" s="29"/>
      <c r="AM290" s="126">
        <f>AB290-AQ290</f>
        <v>43430.687933673747</v>
      </c>
      <c r="AN290" s="29"/>
      <c r="AO290" s="29">
        <v>41855.022066326259</v>
      </c>
      <c r="AP290" s="29"/>
      <c r="AQ290" s="29">
        <v>41855.022066326259</v>
      </c>
      <c r="AR290" s="25">
        <v>0.14000000000000001</v>
      </c>
      <c r="AS290" s="93">
        <f>AQ290*0.14</f>
        <v>5859.7030892856765</v>
      </c>
      <c r="AT290" s="29">
        <f>+AQ290*1.14</f>
        <v>47714.72515561193</v>
      </c>
      <c r="AU290" s="29"/>
      <c r="AV290" s="29"/>
      <c r="AW290" s="29"/>
      <c r="AX290" s="29"/>
      <c r="AY290" s="29"/>
      <c r="AZ290" s="29"/>
      <c r="BA290" s="29"/>
      <c r="BB290" s="29"/>
      <c r="BC290" s="29"/>
      <c r="BD290" s="29"/>
      <c r="BE290" s="29"/>
      <c r="BF290" s="29">
        <f t="shared" si="137"/>
        <v>43430.687933673747</v>
      </c>
      <c r="BG290" s="29">
        <f t="shared" si="130"/>
        <v>43430.687933673747</v>
      </c>
      <c r="BH290" s="29"/>
      <c r="BI290" s="23" t="s">
        <v>570</v>
      </c>
      <c r="BJ290" s="23" t="s">
        <v>570</v>
      </c>
      <c r="BK290" s="23"/>
      <c r="BL290" s="23"/>
      <c r="BM290" s="23"/>
      <c r="BN290" s="13"/>
      <c r="BO290" s="13"/>
      <c r="BP290" s="13"/>
      <c r="BQ290" s="13"/>
      <c r="BR290" s="13"/>
      <c r="BS290" s="13"/>
      <c r="BT290" s="13"/>
      <c r="BU290" s="13"/>
      <c r="BV290" s="13"/>
      <c r="BW290" s="13" t="s">
        <v>570</v>
      </c>
      <c r="BX290" s="23">
        <v>42590</v>
      </c>
      <c r="BY290" s="13" t="s">
        <v>570</v>
      </c>
      <c r="BZ290" s="23">
        <v>42597</v>
      </c>
      <c r="CA290" s="23">
        <v>42614</v>
      </c>
      <c r="CB290" s="224" t="s">
        <v>570</v>
      </c>
      <c r="CC290" s="224" t="s">
        <v>570</v>
      </c>
      <c r="CD290" s="224" t="s">
        <v>570</v>
      </c>
      <c r="CE290" s="23"/>
      <c r="CF290" s="23"/>
      <c r="CG290" s="23"/>
      <c r="CH290" s="23"/>
      <c r="CI290" s="23"/>
      <c r="CJ290" s="23"/>
      <c r="CK290" s="23"/>
      <c r="CL290" s="23"/>
      <c r="CM290" s="23"/>
      <c r="CN290" s="23"/>
      <c r="CO290" s="23"/>
      <c r="CP290" s="23"/>
      <c r="CQ290" s="23"/>
      <c r="CR290" s="23"/>
      <c r="CS290" s="29" t="s">
        <v>570</v>
      </c>
      <c r="CT290" s="29" t="s">
        <v>570</v>
      </c>
      <c r="CU290" s="29" t="s">
        <v>570</v>
      </c>
      <c r="CV290" s="23" t="s">
        <v>570</v>
      </c>
      <c r="CW290" s="99"/>
      <c r="CX290" s="246"/>
      <c r="CY290" s="99">
        <v>42829</v>
      </c>
      <c r="CZ290" s="246">
        <v>38373.15</v>
      </c>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92">
        <f t="shared" si="136"/>
        <v>38373.15</v>
      </c>
      <c r="DZ290" s="13"/>
      <c r="EA290" s="13"/>
      <c r="EB290" s="13"/>
      <c r="EC290" s="13"/>
      <c r="ED290" s="13"/>
      <c r="EE290" s="13"/>
      <c r="EF290" s="13"/>
      <c r="EG290" s="13">
        <v>210</v>
      </c>
      <c r="EH290" s="13" t="s">
        <v>548</v>
      </c>
      <c r="EI290" s="13" t="s">
        <v>503</v>
      </c>
      <c r="EJ290" s="13" t="s">
        <v>503</v>
      </c>
      <c r="EK290" s="13"/>
      <c r="EL290" s="13"/>
      <c r="EM290" s="13"/>
      <c r="EN290" s="13"/>
      <c r="EO290" s="13"/>
      <c r="EP290" s="13"/>
      <c r="EQ290" s="13"/>
      <c r="ER290" s="13"/>
      <c r="ES290" s="13"/>
      <c r="ET290" s="13"/>
      <c r="EU290" s="13"/>
      <c r="EV290" s="13"/>
      <c r="EW290" s="13"/>
      <c r="EX290" s="13"/>
      <c r="EY290" s="13"/>
      <c r="EZ290" s="13"/>
      <c r="FA290" s="13"/>
      <c r="FB290" s="13"/>
      <c r="FC290" s="13"/>
      <c r="FD290" s="13"/>
      <c r="FE290" s="13"/>
      <c r="FF290" s="13"/>
      <c r="FG290" s="13"/>
      <c r="FH290" s="25"/>
      <c r="FI290" s="25"/>
      <c r="FJ290" s="25"/>
      <c r="FK290" s="25"/>
      <c r="FL290" s="25"/>
      <c r="FM290" s="25"/>
      <c r="FN290" s="25"/>
      <c r="FO290" s="25"/>
      <c r="FP290" s="25"/>
      <c r="FQ290" s="25"/>
      <c r="FR290" s="25"/>
      <c r="FS290" s="25"/>
      <c r="FT290" s="25"/>
      <c r="FU290" s="25"/>
      <c r="FV290" s="25">
        <v>0.9</v>
      </c>
      <c r="FW290" s="25">
        <v>0.9</v>
      </c>
      <c r="FX290" s="25">
        <v>0.9</v>
      </c>
      <c r="FY290" s="25">
        <v>0.9</v>
      </c>
      <c r="FZ290" s="25">
        <v>0.9</v>
      </c>
      <c r="GA290" s="25">
        <v>0.92</v>
      </c>
      <c r="GB290" s="25">
        <v>0.92</v>
      </c>
      <c r="GC290" s="25">
        <v>0.92</v>
      </c>
      <c r="GD290" s="25">
        <v>1</v>
      </c>
      <c r="GE290" s="25">
        <v>1</v>
      </c>
      <c r="GF290" s="25">
        <v>1</v>
      </c>
      <c r="GG290" s="25">
        <v>1</v>
      </c>
      <c r="GH290" s="25">
        <v>1</v>
      </c>
      <c r="GI290" s="25">
        <v>1</v>
      </c>
      <c r="GJ290" s="25">
        <v>1</v>
      </c>
      <c r="GK290" s="25">
        <v>1</v>
      </c>
      <c r="GL290" s="25">
        <v>1</v>
      </c>
      <c r="GM290" s="25">
        <v>1</v>
      </c>
      <c r="GN290" s="25">
        <v>1</v>
      </c>
      <c r="GO290" s="25">
        <v>1</v>
      </c>
      <c r="GP290" s="25">
        <v>1</v>
      </c>
      <c r="GQ290" s="25">
        <v>1</v>
      </c>
      <c r="GR290" s="25">
        <v>1</v>
      </c>
      <c r="GS290" s="25">
        <v>1</v>
      </c>
      <c r="GT290" s="25">
        <v>1</v>
      </c>
      <c r="GU290" s="25">
        <v>1</v>
      </c>
      <c r="GV290" s="25" t="s">
        <v>1588</v>
      </c>
      <c r="GW290" s="25" t="s">
        <v>1588</v>
      </c>
      <c r="GX290" s="25" t="s">
        <v>1588</v>
      </c>
      <c r="GY290" s="25" t="s">
        <v>1588</v>
      </c>
      <c r="GZ290" s="25" t="s">
        <v>1588</v>
      </c>
      <c r="HA290" s="25" t="s">
        <v>1588</v>
      </c>
      <c r="HB290" s="25" t="s">
        <v>1588</v>
      </c>
      <c r="HC290" s="25" t="s">
        <v>1588</v>
      </c>
      <c r="HD290" s="25" t="s">
        <v>1588</v>
      </c>
      <c r="HE290" s="25" t="s">
        <v>1588</v>
      </c>
      <c r="HF290" s="25" t="s">
        <v>1588</v>
      </c>
      <c r="HG290" s="25" t="s">
        <v>1588</v>
      </c>
      <c r="HH290" s="25" t="s">
        <v>1588</v>
      </c>
      <c r="HI290" s="13" t="s">
        <v>1639</v>
      </c>
      <c r="HJ290" s="25"/>
      <c r="HK290" s="25"/>
      <c r="HL290" s="25" t="s">
        <v>1713</v>
      </c>
      <c r="HM290" s="84" t="s">
        <v>1713</v>
      </c>
      <c r="HN290" s="84"/>
      <c r="HO290" s="84" t="s">
        <v>1859</v>
      </c>
      <c r="HP290" s="84"/>
      <c r="HQ290" s="84"/>
      <c r="HR290" s="84"/>
      <c r="HS290" s="84"/>
      <c r="HT290" s="84"/>
      <c r="HU290" s="13"/>
      <c r="HV290" s="13"/>
      <c r="HW290" s="32"/>
      <c r="HX290" s="55"/>
      <c r="HY290" s="55"/>
      <c r="HZ290" s="55"/>
      <c r="IA290" s="55"/>
      <c r="IB290" s="55"/>
      <c r="IC290" s="55"/>
      <c r="ID290" s="55"/>
      <c r="IE290" s="55"/>
      <c r="IF290" s="107">
        <v>85285.71</v>
      </c>
      <c r="IG290" s="107"/>
      <c r="IH290" s="250">
        <f t="shared" si="134"/>
        <v>0</v>
      </c>
      <c r="II290" s="55"/>
      <c r="IJ290" s="55"/>
      <c r="IK290" s="55"/>
      <c r="IL290" s="55"/>
      <c r="IM290" s="55"/>
      <c r="IN290" s="55"/>
      <c r="IO290" s="55"/>
      <c r="IP290" s="55"/>
      <c r="IQ290" s="55"/>
      <c r="IR290" s="55"/>
      <c r="IS290" s="55"/>
      <c r="IT290" s="55"/>
      <c r="IU290" s="55"/>
      <c r="IV290" s="55"/>
      <c r="IW290" s="55"/>
      <c r="IX290" s="55"/>
      <c r="IY290" s="55"/>
      <c r="IZ290" s="55"/>
      <c r="JA290" s="55"/>
      <c r="JB290" s="55"/>
      <c r="JC290" s="55"/>
      <c r="JD290" s="55">
        <v>2017</v>
      </c>
    </row>
    <row r="291" spans="1:264" s="5" customFormat="1" ht="20.100000000000001" hidden="1" customHeight="1">
      <c r="A291" s="26" t="s">
        <v>103</v>
      </c>
      <c r="B291" s="26" t="s">
        <v>203</v>
      </c>
      <c r="C291" s="13" t="s">
        <v>349</v>
      </c>
      <c r="D291" s="13" t="s">
        <v>380</v>
      </c>
      <c r="E291" s="16" t="s">
        <v>350</v>
      </c>
      <c r="F291" s="13" t="s">
        <v>356</v>
      </c>
      <c r="G291" s="26" t="s">
        <v>351</v>
      </c>
      <c r="H291" s="13" t="s">
        <v>1545</v>
      </c>
      <c r="I291" s="20" t="s">
        <v>107</v>
      </c>
      <c r="J291" s="26">
        <v>2</v>
      </c>
      <c r="K291" s="49" t="s">
        <v>375</v>
      </c>
      <c r="L291" s="314" t="s">
        <v>265</v>
      </c>
      <c r="M291" s="14" t="s">
        <v>266</v>
      </c>
      <c r="N291" s="43"/>
      <c r="O291" s="13" t="s">
        <v>206</v>
      </c>
      <c r="P291" s="13" t="s">
        <v>4</v>
      </c>
      <c r="Q291" s="22" t="s">
        <v>364</v>
      </c>
      <c r="R291" s="314" t="s">
        <v>265</v>
      </c>
      <c r="S291" s="13" t="s">
        <v>792</v>
      </c>
      <c r="T291" s="13" t="s">
        <v>1387</v>
      </c>
      <c r="U291" s="13" t="s">
        <v>477</v>
      </c>
      <c r="V291" s="24">
        <v>1303618027001</v>
      </c>
      <c r="W291" s="13" t="s">
        <v>570</v>
      </c>
      <c r="X291" s="13" t="s">
        <v>570</v>
      </c>
      <c r="Y291" s="13" t="s">
        <v>503</v>
      </c>
      <c r="Z291" s="13" t="s">
        <v>503</v>
      </c>
      <c r="AA291" s="29"/>
      <c r="AB291" s="29">
        <v>60428.57</v>
      </c>
      <c r="AC291" s="29">
        <v>0</v>
      </c>
      <c r="AD291" s="29">
        <v>31497.879216326259</v>
      </c>
      <c r="AE291" s="29">
        <v>0</v>
      </c>
      <c r="AF291" s="29">
        <f t="shared" si="121"/>
        <v>31497.879216326259</v>
      </c>
      <c r="AG291" s="25">
        <v>0.12</v>
      </c>
      <c r="AH291" s="29">
        <f t="shared" si="131"/>
        <v>3779.7455059591507</v>
      </c>
      <c r="AI291" s="29">
        <f t="shared" si="132"/>
        <v>0</v>
      </c>
      <c r="AJ291" s="29">
        <f t="shared" si="133"/>
        <v>35277.624722285414</v>
      </c>
      <c r="AK291" s="29"/>
      <c r="AL291" s="29"/>
      <c r="AM291" s="126">
        <f>AB291-AQ291</f>
        <v>28930.690783673741</v>
      </c>
      <c r="AN291" s="29"/>
      <c r="AO291" s="29">
        <v>31497.879216326259</v>
      </c>
      <c r="AP291" s="29"/>
      <c r="AQ291" s="29">
        <v>31497.879216326259</v>
      </c>
      <c r="AR291" s="29"/>
      <c r="AS291" s="29"/>
      <c r="AT291" s="29"/>
      <c r="AU291" s="29"/>
      <c r="AV291" s="29"/>
      <c r="AW291" s="29"/>
      <c r="AX291" s="29"/>
      <c r="AY291" s="29"/>
      <c r="AZ291" s="29"/>
      <c r="BA291" s="29"/>
      <c r="BB291" s="29"/>
      <c r="BC291" s="29"/>
      <c r="BD291" s="29"/>
      <c r="BE291" s="29"/>
      <c r="BF291" s="29">
        <f t="shared" si="137"/>
        <v>28930.690783673741</v>
      </c>
      <c r="BG291" s="29">
        <f t="shared" si="130"/>
        <v>28930.690783673741</v>
      </c>
      <c r="BH291" s="29"/>
      <c r="BI291" s="23" t="s">
        <v>570</v>
      </c>
      <c r="BJ291" s="23" t="s">
        <v>570</v>
      </c>
      <c r="BK291" s="23"/>
      <c r="BL291" s="23"/>
      <c r="BM291" s="23"/>
      <c r="BN291" s="13"/>
      <c r="BO291" s="13"/>
      <c r="BP291" s="13"/>
      <c r="BQ291" s="13"/>
      <c r="BR291" s="13"/>
      <c r="BS291" s="13"/>
      <c r="BT291" s="13"/>
      <c r="BU291" s="13"/>
      <c r="BV291" s="13"/>
      <c r="BW291" s="13" t="s">
        <v>570</v>
      </c>
      <c r="BX291" s="13"/>
      <c r="BY291" s="13"/>
      <c r="BZ291" s="13"/>
      <c r="CA291" s="23">
        <v>42632</v>
      </c>
      <c r="CB291" s="224" t="s">
        <v>570</v>
      </c>
      <c r="CC291" s="224" t="s">
        <v>570</v>
      </c>
      <c r="CD291" s="224" t="s">
        <v>570</v>
      </c>
      <c r="CE291" s="23"/>
      <c r="CF291" s="23"/>
      <c r="CG291" s="23"/>
      <c r="CH291" s="23"/>
      <c r="CI291" s="23"/>
      <c r="CJ291" s="23"/>
      <c r="CK291" s="23"/>
      <c r="CL291" s="23"/>
      <c r="CM291" s="23"/>
      <c r="CN291" s="23"/>
      <c r="CO291" s="23"/>
      <c r="CP291" s="23"/>
      <c r="CQ291" s="23"/>
      <c r="CR291" s="23"/>
      <c r="CS291" s="29" t="s">
        <v>570</v>
      </c>
      <c r="CT291" s="29" t="s">
        <v>570</v>
      </c>
      <c r="CU291" s="29" t="s">
        <v>570</v>
      </c>
      <c r="CV291" s="99"/>
      <c r="CW291" s="54"/>
      <c r="CX291" s="30" t="s">
        <v>1459</v>
      </c>
      <c r="CY291" s="99">
        <v>42864</v>
      </c>
      <c r="CZ291" s="54">
        <v>22048.52</v>
      </c>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92">
        <f t="shared" si="136"/>
        <v>22048.52</v>
      </c>
      <c r="DZ291" s="13"/>
      <c r="EA291" s="13"/>
      <c r="EB291" s="13"/>
      <c r="EC291" s="13"/>
      <c r="ED291" s="13"/>
      <c r="EE291" s="13"/>
      <c r="EF291" s="13"/>
      <c r="EG291" s="13">
        <v>210</v>
      </c>
      <c r="EH291" s="13" t="s">
        <v>548</v>
      </c>
      <c r="EI291" s="13" t="s">
        <v>503</v>
      </c>
      <c r="EJ291" s="13" t="s">
        <v>503</v>
      </c>
      <c r="EK291" s="13"/>
      <c r="EL291" s="13"/>
      <c r="EM291" s="13"/>
      <c r="EN291" s="13"/>
      <c r="EO291" s="13"/>
      <c r="EP291" s="13"/>
      <c r="EQ291" s="13"/>
      <c r="ER291" s="13"/>
      <c r="ES291" s="13"/>
      <c r="ET291" s="13"/>
      <c r="EU291" s="13"/>
      <c r="EV291" s="13"/>
      <c r="EW291" s="13"/>
      <c r="EX291" s="13"/>
      <c r="EY291" s="13"/>
      <c r="EZ291" s="13"/>
      <c r="FA291" s="13"/>
      <c r="FB291" s="13"/>
      <c r="FC291" s="13"/>
      <c r="FD291" s="13"/>
      <c r="FE291" s="13"/>
      <c r="FF291" s="13"/>
      <c r="FG291" s="13"/>
      <c r="FH291" s="25"/>
      <c r="FI291" s="25"/>
      <c r="FJ291" s="25"/>
      <c r="FK291" s="25"/>
      <c r="FL291" s="25"/>
      <c r="FM291" s="25"/>
      <c r="FN291" s="25"/>
      <c r="FO291" s="25"/>
      <c r="FP291" s="25"/>
      <c r="FQ291" s="25"/>
      <c r="FR291" s="25"/>
      <c r="FS291" s="25"/>
      <c r="FT291" s="25"/>
      <c r="FU291" s="25"/>
      <c r="FV291" s="25">
        <v>0.9</v>
      </c>
      <c r="FW291" s="25">
        <v>0.9</v>
      </c>
      <c r="FX291" s="25">
        <v>0.9</v>
      </c>
      <c r="FY291" s="25">
        <v>0.9</v>
      </c>
      <c r="FZ291" s="25">
        <v>0.9</v>
      </c>
      <c r="GA291" s="25">
        <v>0.9</v>
      </c>
      <c r="GB291" s="25">
        <v>0.9</v>
      </c>
      <c r="GC291" s="25">
        <v>0.9</v>
      </c>
      <c r="GD291" s="25">
        <v>1</v>
      </c>
      <c r="GE291" s="25">
        <v>1</v>
      </c>
      <c r="GF291" s="25">
        <v>1</v>
      </c>
      <c r="GG291" s="25">
        <v>1</v>
      </c>
      <c r="GH291" s="25">
        <v>1</v>
      </c>
      <c r="GI291" s="25">
        <v>1</v>
      </c>
      <c r="GJ291" s="25">
        <v>1</v>
      </c>
      <c r="GK291" s="25">
        <v>1</v>
      </c>
      <c r="GL291" s="25">
        <v>1</v>
      </c>
      <c r="GM291" s="25">
        <v>1</v>
      </c>
      <c r="GN291" s="25">
        <v>1</v>
      </c>
      <c r="GO291" s="25">
        <v>1</v>
      </c>
      <c r="GP291" s="25">
        <v>1</v>
      </c>
      <c r="GQ291" s="25">
        <v>1</v>
      </c>
      <c r="GR291" s="25">
        <v>1</v>
      </c>
      <c r="GS291" s="25">
        <v>1</v>
      </c>
      <c r="GT291" s="25">
        <v>1</v>
      </c>
      <c r="GU291" s="25">
        <v>1</v>
      </c>
      <c r="GV291" s="25" t="s">
        <v>1588</v>
      </c>
      <c r="GW291" s="25" t="s">
        <v>1588</v>
      </c>
      <c r="GX291" s="25" t="s">
        <v>1588</v>
      </c>
      <c r="GY291" s="25" t="s">
        <v>1588</v>
      </c>
      <c r="GZ291" s="25" t="s">
        <v>1588</v>
      </c>
      <c r="HA291" s="25" t="s">
        <v>1588</v>
      </c>
      <c r="HB291" s="25" t="s">
        <v>1588</v>
      </c>
      <c r="HC291" s="25" t="s">
        <v>1588</v>
      </c>
      <c r="HD291" s="25" t="s">
        <v>1588</v>
      </c>
      <c r="HE291" s="25" t="s">
        <v>1588</v>
      </c>
      <c r="HF291" s="25" t="s">
        <v>1588</v>
      </c>
      <c r="HG291" s="25" t="s">
        <v>1588</v>
      </c>
      <c r="HH291" s="25" t="s">
        <v>1588</v>
      </c>
      <c r="HI291" s="25" t="s">
        <v>1641</v>
      </c>
      <c r="HJ291" s="25"/>
      <c r="HK291" s="25"/>
      <c r="HL291" s="25" t="s">
        <v>1713</v>
      </c>
      <c r="HM291" s="84" t="s">
        <v>1713</v>
      </c>
      <c r="HN291" s="84"/>
      <c r="HO291" s="84" t="s">
        <v>1860</v>
      </c>
      <c r="HP291" s="84"/>
      <c r="HQ291" s="84"/>
      <c r="HR291" s="84"/>
      <c r="HS291" s="84"/>
      <c r="HT291" s="84"/>
      <c r="HU291" s="13"/>
      <c r="HV291" s="13"/>
      <c r="HW291" s="32"/>
      <c r="HX291" s="55"/>
      <c r="HY291" s="55"/>
      <c r="HZ291" s="55"/>
      <c r="IA291" s="55"/>
      <c r="IB291" s="55"/>
      <c r="IC291" s="55"/>
      <c r="ID291" s="55"/>
      <c r="IE291" s="55"/>
      <c r="IF291" s="107">
        <v>60428.57</v>
      </c>
      <c r="IG291" s="107"/>
      <c r="IH291" s="250">
        <f t="shared" si="134"/>
        <v>0</v>
      </c>
      <c r="II291" s="55"/>
      <c r="IJ291" s="55"/>
      <c r="IK291" s="55"/>
      <c r="IL291" s="55"/>
      <c r="IM291" s="55"/>
      <c r="IN291" s="55"/>
      <c r="IO291" s="55"/>
      <c r="IP291" s="55"/>
      <c r="IQ291" s="55"/>
      <c r="IR291" s="55"/>
      <c r="IS291" s="55"/>
      <c r="IT291" s="55"/>
      <c r="IU291" s="55"/>
      <c r="IV291" s="55"/>
      <c r="IW291" s="55"/>
      <c r="IX291" s="55"/>
      <c r="IY291" s="55"/>
      <c r="IZ291" s="55"/>
      <c r="JA291" s="55"/>
      <c r="JB291" s="55"/>
      <c r="JC291" s="55"/>
      <c r="JD291" s="55">
        <v>2017</v>
      </c>
    </row>
    <row r="292" spans="1:264" s="5" customFormat="1" ht="20.100000000000001" hidden="1" customHeight="1">
      <c r="A292" s="26" t="s">
        <v>103</v>
      </c>
      <c r="B292" s="26" t="s">
        <v>203</v>
      </c>
      <c r="C292" s="13" t="s">
        <v>349</v>
      </c>
      <c r="D292" s="13" t="s">
        <v>380</v>
      </c>
      <c r="E292" s="16" t="s">
        <v>350</v>
      </c>
      <c r="F292" s="13" t="s">
        <v>356</v>
      </c>
      <c r="G292" s="26" t="s">
        <v>351</v>
      </c>
      <c r="H292" s="13" t="s">
        <v>1516</v>
      </c>
      <c r="I292" s="313" t="s">
        <v>109</v>
      </c>
      <c r="J292" s="26">
        <v>3</v>
      </c>
      <c r="K292" s="49" t="s">
        <v>375</v>
      </c>
      <c r="L292" s="314" t="s">
        <v>267</v>
      </c>
      <c r="M292" s="14" t="s">
        <v>335</v>
      </c>
      <c r="N292" s="43"/>
      <c r="O292" s="13" t="s">
        <v>206</v>
      </c>
      <c r="P292" s="13" t="s">
        <v>4</v>
      </c>
      <c r="Q292" s="22" t="s">
        <v>1118</v>
      </c>
      <c r="R292" s="314" t="s">
        <v>267</v>
      </c>
      <c r="S292" s="22" t="s">
        <v>847</v>
      </c>
      <c r="T292" s="13" t="s">
        <v>1387</v>
      </c>
      <c r="U292" s="22" t="s">
        <v>477</v>
      </c>
      <c r="V292" s="22" t="s">
        <v>848</v>
      </c>
      <c r="W292" s="13" t="s">
        <v>570</v>
      </c>
      <c r="X292" s="13" t="s">
        <v>570</v>
      </c>
      <c r="Y292" s="13" t="s">
        <v>503</v>
      </c>
      <c r="Z292" s="13" t="s">
        <v>503</v>
      </c>
      <c r="AA292" s="29"/>
      <c r="AB292" s="29">
        <v>33385.4</v>
      </c>
      <c r="AC292" s="29">
        <v>0</v>
      </c>
      <c r="AD292" s="29">
        <v>30412.812766326257</v>
      </c>
      <c r="AE292" s="29">
        <v>0</v>
      </c>
      <c r="AF292" s="29">
        <f t="shared" si="121"/>
        <v>30412.812766326257</v>
      </c>
      <c r="AG292" s="25">
        <v>0.12</v>
      </c>
      <c r="AH292" s="29">
        <f t="shared" si="131"/>
        <v>3649.5375319591508</v>
      </c>
      <c r="AI292" s="29">
        <f t="shared" si="132"/>
        <v>0</v>
      </c>
      <c r="AJ292" s="29">
        <f t="shared" si="133"/>
        <v>34062.350298285412</v>
      </c>
      <c r="AK292" s="29">
        <v>30412.809999999998</v>
      </c>
      <c r="AL292" s="29">
        <f>AB292-AK292</f>
        <v>2972.5900000000038</v>
      </c>
      <c r="AM292" s="126"/>
      <c r="AN292" s="29"/>
      <c r="AO292" s="29">
        <v>30412.812766326257</v>
      </c>
      <c r="AP292" s="29"/>
      <c r="AQ292" s="29">
        <v>30412.812766326257</v>
      </c>
      <c r="AR292" s="29"/>
      <c r="AS292" s="29"/>
      <c r="AT292" s="29"/>
      <c r="AU292" s="29"/>
      <c r="AV292" s="29"/>
      <c r="AW292" s="29"/>
      <c r="AX292" s="29"/>
      <c r="AY292" s="29"/>
      <c r="AZ292" s="29"/>
      <c r="BA292" s="29"/>
      <c r="BB292" s="29"/>
      <c r="BC292" s="29"/>
      <c r="BD292" s="29"/>
      <c r="BE292" s="29"/>
      <c r="BF292" s="29">
        <f t="shared" si="137"/>
        <v>2972.5872336737448</v>
      </c>
      <c r="BG292" s="29">
        <f t="shared" si="130"/>
        <v>2972.5872336737448</v>
      </c>
      <c r="BH292" s="29"/>
      <c r="BI292" s="23" t="s">
        <v>570</v>
      </c>
      <c r="BJ292" s="23" t="s">
        <v>570</v>
      </c>
      <c r="BK292" s="23"/>
      <c r="BL292" s="23"/>
      <c r="BM292" s="23"/>
      <c r="BN292" s="13"/>
      <c r="BO292" s="13"/>
      <c r="BP292" s="13"/>
      <c r="BQ292" s="13"/>
      <c r="BR292" s="13"/>
      <c r="BS292" s="13"/>
      <c r="BT292" s="13"/>
      <c r="BU292" s="13"/>
      <c r="BV292" s="13"/>
      <c r="BW292" s="13" t="s">
        <v>570</v>
      </c>
      <c r="BX292" s="13"/>
      <c r="BY292" s="13"/>
      <c r="BZ292" s="13"/>
      <c r="CA292" s="23">
        <v>42590</v>
      </c>
      <c r="CB292" s="224" t="s">
        <v>570</v>
      </c>
      <c r="CC292" s="224" t="s">
        <v>570</v>
      </c>
      <c r="CD292" s="224" t="s">
        <v>570</v>
      </c>
      <c r="CE292" s="13"/>
      <c r="CF292" s="13"/>
      <c r="CG292" s="13"/>
      <c r="CH292" s="13"/>
      <c r="CI292" s="13"/>
      <c r="CJ292" s="13"/>
      <c r="CK292" s="13"/>
      <c r="CL292" s="13"/>
      <c r="CM292" s="13"/>
      <c r="CN292" s="13"/>
      <c r="CO292" s="13"/>
      <c r="CP292" s="13"/>
      <c r="CQ292" s="13"/>
      <c r="CR292" s="13"/>
      <c r="CS292" s="29" t="s">
        <v>570</v>
      </c>
      <c r="CT292" s="29" t="s">
        <v>570</v>
      </c>
      <c r="CU292" s="29" t="s">
        <v>570</v>
      </c>
      <c r="CV292" s="23"/>
      <c r="CW292" s="30"/>
      <c r="CX292" s="30" t="s">
        <v>1460</v>
      </c>
      <c r="CY292" s="23">
        <v>42733</v>
      </c>
      <c r="CZ292" s="30">
        <v>11274.03</v>
      </c>
      <c r="DA292" s="30" t="s">
        <v>1456</v>
      </c>
      <c r="DB292" s="99">
        <v>42808</v>
      </c>
      <c r="DC292" s="54">
        <v>19138.78</v>
      </c>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92">
        <f t="shared" si="136"/>
        <v>30412.809999999998</v>
      </c>
      <c r="DZ292" s="13"/>
      <c r="EA292" s="13"/>
      <c r="EB292" s="13"/>
      <c r="EC292" s="13"/>
      <c r="ED292" s="13"/>
      <c r="EE292" s="13"/>
      <c r="EF292" s="13"/>
      <c r="EG292" s="13">
        <v>210</v>
      </c>
      <c r="EH292" s="13" t="s">
        <v>548</v>
      </c>
      <c r="EI292" s="13" t="s">
        <v>503</v>
      </c>
      <c r="EJ292" s="13" t="s">
        <v>503</v>
      </c>
      <c r="EK292" s="13"/>
      <c r="EL292" s="13"/>
      <c r="EM292" s="13"/>
      <c r="EN292" s="13"/>
      <c r="EO292" s="13"/>
      <c r="EP292" s="13"/>
      <c r="EQ292" s="13"/>
      <c r="ER292" s="13"/>
      <c r="ES292" s="13"/>
      <c r="ET292" s="13"/>
      <c r="EU292" s="13"/>
      <c r="EV292" s="13"/>
      <c r="EW292" s="13"/>
      <c r="EX292" s="13"/>
      <c r="EY292" s="13"/>
      <c r="EZ292" s="13"/>
      <c r="FA292" s="13"/>
      <c r="FB292" s="13"/>
      <c r="FC292" s="13"/>
      <c r="FD292" s="13"/>
      <c r="FE292" s="13"/>
      <c r="FF292" s="13"/>
      <c r="FG292" s="13"/>
      <c r="FH292" s="25"/>
      <c r="FI292" s="25"/>
      <c r="FJ292" s="25"/>
      <c r="FK292" s="25"/>
      <c r="FL292" s="25"/>
      <c r="FM292" s="25"/>
      <c r="FN292" s="25"/>
      <c r="FO292" s="25"/>
      <c r="FP292" s="25"/>
      <c r="FQ292" s="25"/>
      <c r="FR292" s="25"/>
      <c r="FS292" s="25">
        <v>1</v>
      </c>
      <c r="FT292" s="25">
        <v>1</v>
      </c>
      <c r="FU292" s="25">
        <v>1</v>
      </c>
      <c r="FV292" s="25">
        <v>1</v>
      </c>
      <c r="FW292" s="25">
        <v>1</v>
      </c>
      <c r="FX292" s="25">
        <v>1</v>
      </c>
      <c r="FY292" s="25">
        <v>1</v>
      </c>
      <c r="FZ292" s="25">
        <v>1</v>
      </c>
      <c r="GA292" s="25">
        <v>1</v>
      </c>
      <c r="GB292" s="25">
        <v>1</v>
      </c>
      <c r="GC292" s="25">
        <v>1</v>
      </c>
      <c r="GD292" s="25">
        <v>1</v>
      </c>
      <c r="GE292" s="25">
        <v>1</v>
      </c>
      <c r="GF292" s="25">
        <v>1</v>
      </c>
      <c r="GG292" s="25">
        <v>1</v>
      </c>
      <c r="GH292" s="25">
        <v>1</v>
      </c>
      <c r="GI292" s="25">
        <v>1</v>
      </c>
      <c r="GJ292" s="25">
        <v>1</v>
      </c>
      <c r="GK292" s="25">
        <v>1</v>
      </c>
      <c r="GL292" s="25">
        <v>1</v>
      </c>
      <c r="GM292" s="25">
        <v>1</v>
      </c>
      <c r="GN292" s="25">
        <v>1</v>
      </c>
      <c r="GO292" s="25">
        <v>1</v>
      </c>
      <c r="GP292" s="25">
        <v>1</v>
      </c>
      <c r="GQ292" s="25">
        <v>1</v>
      </c>
      <c r="GR292" s="25">
        <v>1</v>
      </c>
      <c r="GS292" s="25">
        <v>1</v>
      </c>
      <c r="GT292" s="25">
        <v>1</v>
      </c>
      <c r="GU292" s="25">
        <v>1</v>
      </c>
      <c r="GV292" s="25" t="s">
        <v>455</v>
      </c>
      <c r="GW292" s="25" t="s">
        <v>455</v>
      </c>
      <c r="GX292" s="25" t="s">
        <v>455</v>
      </c>
      <c r="GY292" s="25" t="s">
        <v>455</v>
      </c>
      <c r="GZ292" s="25" t="s">
        <v>455</v>
      </c>
      <c r="HA292" s="25" t="s">
        <v>455</v>
      </c>
      <c r="HB292" s="25" t="s">
        <v>455</v>
      </c>
      <c r="HC292" s="25" t="s">
        <v>455</v>
      </c>
      <c r="HD292" s="25" t="s">
        <v>455</v>
      </c>
      <c r="HE292" s="25" t="s">
        <v>455</v>
      </c>
      <c r="HF292" s="25" t="s">
        <v>455</v>
      </c>
      <c r="HG292" s="25" t="s">
        <v>455</v>
      </c>
      <c r="HH292" s="25" t="s">
        <v>455</v>
      </c>
      <c r="HI292" s="25"/>
      <c r="HJ292" s="25"/>
      <c r="HK292" s="25"/>
      <c r="HL292" s="25"/>
      <c r="HM292" s="84"/>
      <c r="HN292" s="84"/>
      <c r="HO292" s="84"/>
      <c r="HP292" s="84"/>
      <c r="HQ292" s="84"/>
      <c r="HR292" s="84"/>
      <c r="HS292" s="84"/>
      <c r="HT292" s="84"/>
      <c r="HU292" s="13"/>
      <c r="HV292" s="13"/>
      <c r="HW292" s="32"/>
      <c r="HX292" s="55"/>
      <c r="HY292" s="55"/>
      <c r="HZ292" s="55"/>
      <c r="IA292" s="55"/>
      <c r="IB292" s="55"/>
      <c r="IC292" s="55"/>
      <c r="ID292" s="55"/>
      <c r="IE292" s="55"/>
      <c r="IF292" s="107">
        <v>33385.4</v>
      </c>
      <c r="IG292" s="107">
        <v>30412.809999999998</v>
      </c>
      <c r="IH292" s="250">
        <f t="shared" si="134"/>
        <v>0</v>
      </c>
      <c r="II292" s="55"/>
      <c r="IJ292" s="55"/>
      <c r="IK292" s="55"/>
      <c r="IL292" s="55"/>
      <c r="IM292" s="55"/>
      <c r="IN292" s="55"/>
      <c r="IO292" s="55"/>
      <c r="IP292" s="55"/>
      <c r="IQ292" s="55"/>
      <c r="IR292" s="55"/>
      <c r="IS292" s="55"/>
      <c r="IT292" s="55"/>
      <c r="IU292" s="55"/>
      <c r="IV292" s="55"/>
      <c r="IW292" s="55"/>
      <c r="IX292" s="55"/>
      <c r="IY292" s="55"/>
      <c r="IZ292" s="55"/>
      <c r="JA292" s="55"/>
      <c r="JB292" s="55"/>
      <c r="JC292" s="55"/>
      <c r="JD292" s="55">
        <v>2017</v>
      </c>
    </row>
    <row r="293" spans="1:264" s="5" customFormat="1" ht="20.100000000000001" hidden="1" customHeight="1">
      <c r="A293" s="26" t="s">
        <v>103</v>
      </c>
      <c r="B293" s="26" t="s">
        <v>203</v>
      </c>
      <c r="C293" s="13" t="s">
        <v>349</v>
      </c>
      <c r="D293" s="13" t="s">
        <v>380</v>
      </c>
      <c r="E293" s="16" t="s">
        <v>350</v>
      </c>
      <c r="F293" s="13" t="s">
        <v>383</v>
      </c>
      <c r="G293" s="26" t="s">
        <v>351</v>
      </c>
      <c r="H293" s="13" t="s">
        <v>1516</v>
      </c>
      <c r="I293" s="313" t="s">
        <v>109</v>
      </c>
      <c r="J293" s="26">
        <v>3</v>
      </c>
      <c r="K293" s="49" t="s">
        <v>375</v>
      </c>
      <c r="L293" s="314" t="s">
        <v>268</v>
      </c>
      <c r="M293" s="14" t="s">
        <v>269</v>
      </c>
      <c r="N293" s="43"/>
      <c r="O293" s="13" t="s">
        <v>206</v>
      </c>
      <c r="P293" s="13" t="s">
        <v>4</v>
      </c>
      <c r="Q293" s="22" t="s">
        <v>1118</v>
      </c>
      <c r="R293" s="314" t="s">
        <v>268</v>
      </c>
      <c r="S293" s="22" t="s">
        <v>849</v>
      </c>
      <c r="T293" s="13" t="s">
        <v>1387</v>
      </c>
      <c r="U293" s="22" t="s">
        <v>477</v>
      </c>
      <c r="V293" s="22" t="s">
        <v>850</v>
      </c>
      <c r="W293" s="13" t="s">
        <v>570</v>
      </c>
      <c r="X293" s="13" t="s">
        <v>570</v>
      </c>
      <c r="Y293" s="13" t="s">
        <v>503</v>
      </c>
      <c r="Z293" s="13" t="s">
        <v>503</v>
      </c>
      <c r="AA293" s="29"/>
      <c r="AB293" s="29">
        <v>27066.1</v>
      </c>
      <c r="AC293" s="29">
        <v>0</v>
      </c>
      <c r="AD293" s="29">
        <v>24093.505000000001</v>
      </c>
      <c r="AE293" s="29">
        <v>0</v>
      </c>
      <c r="AF293" s="29">
        <f t="shared" si="121"/>
        <v>24093.505000000001</v>
      </c>
      <c r="AG293" s="25">
        <v>0.12</v>
      </c>
      <c r="AH293" s="29">
        <f t="shared" si="131"/>
        <v>2891.2206000000001</v>
      </c>
      <c r="AI293" s="29">
        <f t="shared" si="132"/>
        <v>0</v>
      </c>
      <c r="AJ293" s="29">
        <f t="shared" si="133"/>
        <v>26984.725600000005</v>
      </c>
      <c r="AK293" s="29">
        <v>24093.510000000002</v>
      </c>
      <c r="AL293" s="29">
        <f>AB293-AK293</f>
        <v>2972.5899999999965</v>
      </c>
      <c r="AM293" s="126"/>
      <c r="AN293" s="29"/>
      <c r="AO293" s="29">
        <v>24093.505000000001</v>
      </c>
      <c r="AP293" s="29"/>
      <c r="AQ293" s="29">
        <v>24093.505000000001</v>
      </c>
      <c r="AR293" s="29"/>
      <c r="AS293" s="29"/>
      <c r="AT293" s="29"/>
      <c r="AU293" s="29"/>
      <c r="AV293" s="29"/>
      <c r="AW293" s="29"/>
      <c r="AX293" s="29"/>
      <c r="AY293" s="29"/>
      <c r="AZ293" s="29"/>
      <c r="BA293" s="29"/>
      <c r="BB293" s="29"/>
      <c r="BC293" s="29"/>
      <c r="BD293" s="29"/>
      <c r="BE293" s="29"/>
      <c r="BF293" s="29">
        <f t="shared" si="137"/>
        <v>2972.5949999999975</v>
      </c>
      <c r="BG293" s="29">
        <f t="shared" si="130"/>
        <v>2972.5949999999975</v>
      </c>
      <c r="BH293" s="29"/>
      <c r="BI293" s="23" t="s">
        <v>570</v>
      </c>
      <c r="BJ293" s="23" t="s">
        <v>570</v>
      </c>
      <c r="BK293" s="23"/>
      <c r="BL293" s="23"/>
      <c r="BM293" s="23"/>
      <c r="BN293" s="13"/>
      <c r="BO293" s="13"/>
      <c r="BP293" s="13"/>
      <c r="BQ293" s="13"/>
      <c r="BR293" s="13"/>
      <c r="BS293" s="13"/>
      <c r="BT293" s="13"/>
      <c r="BU293" s="13"/>
      <c r="BV293" s="13"/>
      <c r="BW293" s="13" t="s">
        <v>570</v>
      </c>
      <c r="BX293" s="13"/>
      <c r="BY293" s="13"/>
      <c r="BZ293" s="13"/>
      <c r="CA293" s="23">
        <v>42387</v>
      </c>
      <c r="CB293" s="224" t="s">
        <v>570</v>
      </c>
      <c r="CC293" s="224" t="s">
        <v>570</v>
      </c>
      <c r="CD293" s="224" t="s">
        <v>570</v>
      </c>
      <c r="CE293" s="13"/>
      <c r="CF293" s="13"/>
      <c r="CG293" s="13"/>
      <c r="CH293" s="13"/>
      <c r="CI293" s="13"/>
      <c r="CJ293" s="13"/>
      <c r="CK293" s="13"/>
      <c r="CL293" s="13"/>
      <c r="CM293" s="13"/>
      <c r="CN293" s="13"/>
      <c r="CO293" s="13"/>
      <c r="CP293" s="13"/>
      <c r="CQ293" s="13"/>
      <c r="CR293" s="13"/>
      <c r="CS293" s="29" t="s">
        <v>570</v>
      </c>
      <c r="CT293" s="29" t="s">
        <v>570</v>
      </c>
      <c r="CU293" s="29" t="s">
        <v>570</v>
      </c>
      <c r="CV293" s="23"/>
      <c r="CW293" s="13"/>
      <c r="CX293" s="30" t="s">
        <v>1458</v>
      </c>
      <c r="CY293" s="155">
        <v>42733</v>
      </c>
      <c r="CZ293" s="93">
        <v>13767.72</v>
      </c>
      <c r="DA293" s="134" t="s">
        <v>1457</v>
      </c>
      <c r="DB293" s="99">
        <v>42828</v>
      </c>
      <c r="DC293" s="54">
        <v>10325.790000000001</v>
      </c>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92">
        <f t="shared" si="136"/>
        <v>24093.510000000002</v>
      </c>
      <c r="DZ293" s="13"/>
      <c r="EA293" s="13"/>
      <c r="EB293" s="13"/>
      <c r="EC293" s="13"/>
      <c r="ED293" s="13"/>
      <c r="EE293" s="13"/>
      <c r="EF293" s="13"/>
      <c r="EG293" s="13">
        <v>210</v>
      </c>
      <c r="EH293" s="13" t="s">
        <v>548</v>
      </c>
      <c r="EI293" s="13" t="s">
        <v>503</v>
      </c>
      <c r="EJ293" s="13" t="s">
        <v>503</v>
      </c>
      <c r="EK293" s="13"/>
      <c r="EL293" s="13"/>
      <c r="EM293" s="13"/>
      <c r="EN293" s="13"/>
      <c r="EO293" s="13"/>
      <c r="EP293" s="13"/>
      <c r="EQ293" s="13"/>
      <c r="ER293" s="13"/>
      <c r="ES293" s="13"/>
      <c r="ET293" s="13"/>
      <c r="EU293" s="13"/>
      <c r="EV293" s="13"/>
      <c r="EW293" s="13"/>
      <c r="EX293" s="13"/>
      <c r="EY293" s="13"/>
      <c r="EZ293" s="13"/>
      <c r="FA293" s="13"/>
      <c r="FB293" s="13"/>
      <c r="FC293" s="13"/>
      <c r="FD293" s="13"/>
      <c r="FE293" s="13"/>
      <c r="FF293" s="13"/>
      <c r="FG293" s="13"/>
      <c r="FH293" s="25"/>
      <c r="FI293" s="25"/>
      <c r="FJ293" s="25"/>
      <c r="FK293" s="25"/>
      <c r="FL293" s="25"/>
      <c r="FM293" s="25"/>
      <c r="FN293" s="25"/>
      <c r="FO293" s="25"/>
      <c r="FP293" s="25"/>
      <c r="FQ293" s="25"/>
      <c r="FR293" s="25"/>
      <c r="FS293" s="25">
        <v>1</v>
      </c>
      <c r="FT293" s="25">
        <v>1</v>
      </c>
      <c r="FU293" s="25">
        <v>1</v>
      </c>
      <c r="FV293" s="25">
        <v>1</v>
      </c>
      <c r="FW293" s="25">
        <v>1</v>
      </c>
      <c r="FX293" s="25">
        <v>1</v>
      </c>
      <c r="FY293" s="25">
        <v>1</v>
      </c>
      <c r="FZ293" s="25">
        <v>1</v>
      </c>
      <c r="GA293" s="25">
        <v>1</v>
      </c>
      <c r="GB293" s="25">
        <v>1</v>
      </c>
      <c r="GC293" s="25">
        <v>1</v>
      </c>
      <c r="GD293" s="25">
        <v>1</v>
      </c>
      <c r="GE293" s="25">
        <v>1</v>
      </c>
      <c r="GF293" s="25">
        <v>1</v>
      </c>
      <c r="GG293" s="25">
        <v>1</v>
      </c>
      <c r="GH293" s="25">
        <v>1</v>
      </c>
      <c r="GI293" s="25">
        <v>1</v>
      </c>
      <c r="GJ293" s="25">
        <v>1</v>
      </c>
      <c r="GK293" s="25">
        <v>1</v>
      </c>
      <c r="GL293" s="25">
        <v>1</v>
      </c>
      <c r="GM293" s="25">
        <v>1</v>
      </c>
      <c r="GN293" s="25">
        <v>1</v>
      </c>
      <c r="GO293" s="25">
        <v>1</v>
      </c>
      <c r="GP293" s="25">
        <v>1</v>
      </c>
      <c r="GQ293" s="25">
        <v>1</v>
      </c>
      <c r="GR293" s="25">
        <v>1</v>
      </c>
      <c r="GS293" s="25">
        <v>1</v>
      </c>
      <c r="GT293" s="25">
        <v>1</v>
      </c>
      <c r="GU293" s="25">
        <v>1</v>
      </c>
      <c r="GV293" s="25" t="s">
        <v>455</v>
      </c>
      <c r="GW293" s="25" t="s">
        <v>455</v>
      </c>
      <c r="GX293" s="25" t="s">
        <v>455</v>
      </c>
      <c r="GY293" s="25" t="s">
        <v>455</v>
      </c>
      <c r="GZ293" s="25" t="s">
        <v>455</v>
      </c>
      <c r="HA293" s="25" t="s">
        <v>455</v>
      </c>
      <c r="HB293" s="25" t="s">
        <v>455</v>
      </c>
      <c r="HC293" s="25" t="s">
        <v>455</v>
      </c>
      <c r="HD293" s="25" t="s">
        <v>455</v>
      </c>
      <c r="HE293" s="25" t="s">
        <v>455</v>
      </c>
      <c r="HF293" s="25" t="s">
        <v>455</v>
      </c>
      <c r="HG293" s="25" t="s">
        <v>455</v>
      </c>
      <c r="HH293" s="25" t="s">
        <v>455</v>
      </c>
      <c r="HI293" s="25"/>
      <c r="HJ293" s="25"/>
      <c r="HK293" s="25"/>
      <c r="HL293" s="25"/>
      <c r="HM293" s="84"/>
      <c r="HN293" s="84"/>
      <c r="HO293" s="84"/>
      <c r="HP293" s="84"/>
      <c r="HQ293" s="84"/>
      <c r="HR293" s="84"/>
      <c r="HS293" s="84"/>
      <c r="HT293" s="84"/>
      <c r="HU293" s="13"/>
      <c r="HV293" s="13"/>
      <c r="HW293" s="32"/>
      <c r="HX293" s="55"/>
      <c r="HY293" s="55"/>
      <c r="HZ293" s="55"/>
      <c r="IA293" s="55"/>
      <c r="IB293" s="55"/>
      <c r="IC293" s="55"/>
      <c r="ID293" s="55"/>
      <c r="IE293" s="55"/>
      <c r="IF293" s="107">
        <v>27066.1</v>
      </c>
      <c r="IG293" s="107">
        <v>24093.510000000002</v>
      </c>
      <c r="IH293" s="250">
        <f t="shared" si="134"/>
        <v>0</v>
      </c>
      <c r="II293" s="55"/>
      <c r="IJ293" s="55"/>
      <c r="IK293" s="55"/>
      <c r="IL293" s="55"/>
      <c r="IM293" s="55"/>
      <c r="IN293" s="55"/>
      <c r="IO293" s="55"/>
      <c r="IP293" s="55"/>
      <c r="IQ293" s="55"/>
      <c r="IR293" s="55"/>
      <c r="IS293" s="55"/>
      <c r="IT293" s="55"/>
      <c r="IU293" s="55"/>
      <c r="IV293" s="55"/>
      <c r="IW293" s="55"/>
      <c r="IX293" s="55"/>
      <c r="IY293" s="55"/>
      <c r="IZ293" s="55"/>
      <c r="JA293" s="55"/>
      <c r="JB293" s="55"/>
      <c r="JC293" s="55"/>
      <c r="JD293" s="55">
        <v>2017</v>
      </c>
    </row>
    <row r="294" spans="1:264" s="5" customFormat="1" ht="20.100000000000001" hidden="1" customHeight="1">
      <c r="A294" s="26" t="s">
        <v>103</v>
      </c>
      <c r="B294" s="26" t="s">
        <v>203</v>
      </c>
      <c r="C294" s="13" t="s">
        <v>349</v>
      </c>
      <c r="D294" s="13" t="s">
        <v>380</v>
      </c>
      <c r="E294" s="16" t="s">
        <v>350</v>
      </c>
      <c r="F294" s="13" t="s">
        <v>356</v>
      </c>
      <c r="G294" s="26" t="s">
        <v>351</v>
      </c>
      <c r="H294" s="13" t="s">
        <v>1545</v>
      </c>
      <c r="I294" s="313" t="s">
        <v>111</v>
      </c>
      <c r="J294" s="26">
        <v>4</v>
      </c>
      <c r="K294" s="49" t="s">
        <v>375</v>
      </c>
      <c r="L294" s="314" t="s">
        <v>270</v>
      </c>
      <c r="M294" s="14" t="s">
        <v>271</v>
      </c>
      <c r="N294" s="43"/>
      <c r="O294" s="13" t="s">
        <v>206</v>
      </c>
      <c r="P294" s="13" t="s">
        <v>4</v>
      </c>
      <c r="Q294" s="22" t="s">
        <v>1118</v>
      </c>
      <c r="R294" s="314" t="s">
        <v>270</v>
      </c>
      <c r="S294" s="22" t="s">
        <v>843</v>
      </c>
      <c r="T294" s="13" t="s">
        <v>1387</v>
      </c>
      <c r="U294" s="22" t="s">
        <v>477</v>
      </c>
      <c r="V294" s="22" t="s">
        <v>844</v>
      </c>
      <c r="W294" s="13" t="s">
        <v>570</v>
      </c>
      <c r="X294" s="13" t="s">
        <v>570</v>
      </c>
      <c r="Y294" s="13" t="s">
        <v>503</v>
      </c>
      <c r="Z294" s="13" t="s">
        <v>503</v>
      </c>
      <c r="AA294" s="29"/>
      <c r="AB294" s="29">
        <v>15000</v>
      </c>
      <c r="AC294" s="29">
        <v>0</v>
      </c>
      <c r="AD294" s="29">
        <v>15765.554766326259</v>
      </c>
      <c r="AE294" s="29">
        <v>765.55</v>
      </c>
      <c r="AF294" s="29">
        <f t="shared" si="121"/>
        <v>16531.104766326258</v>
      </c>
      <c r="AG294" s="25">
        <v>0.12</v>
      </c>
      <c r="AH294" s="29">
        <f t="shared" si="131"/>
        <v>1891.8665719591509</v>
      </c>
      <c r="AI294" s="29">
        <f t="shared" si="132"/>
        <v>91.865999999999985</v>
      </c>
      <c r="AJ294" s="29">
        <f t="shared" si="133"/>
        <v>18514.837338285412</v>
      </c>
      <c r="AK294" s="29">
        <v>15765.55</v>
      </c>
      <c r="AL294" s="29">
        <v>0</v>
      </c>
      <c r="AM294" s="126"/>
      <c r="AN294" s="29"/>
      <c r="AO294" s="29">
        <v>15765.554766326259</v>
      </c>
      <c r="AP294" s="29"/>
      <c r="AQ294" s="29">
        <v>15765.554766326259</v>
      </c>
      <c r="AR294" s="29"/>
      <c r="AS294" s="29"/>
      <c r="AT294" s="29"/>
      <c r="AU294" s="29"/>
      <c r="AV294" s="29"/>
      <c r="AW294" s="29"/>
      <c r="AX294" s="29"/>
      <c r="AY294" s="29"/>
      <c r="AZ294" s="29"/>
      <c r="BA294" s="29"/>
      <c r="BB294" s="29"/>
      <c r="BC294" s="29"/>
      <c r="BD294" s="29"/>
      <c r="BE294" s="29"/>
      <c r="BF294" s="29">
        <f t="shared" si="137"/>
        <v>-765.55476632625869</v>
      </c>
      <c r="BG294" s="29">
        <f t="shared" si="130"/>
        <v>-765.55476632625869</v>
      </c>
      <c r="BH294" s="29"/>
      <c r="BI294" s="23" t="s">
        <v>570</v>
      </c>
      <c r="BJ294" s="23" t="s">
        <v>570</v>
      </c>
      <c r="BK294" s="23"/>
      <c r="BL294" s="23"/>
      <c r="BM294" s="23"/>
      <c r="BN294" s="13"/>
      <c r="BO294" s="13"/>
      <c r="BP294" s="13"/>
      <c r="BQ294" s="13"/>
      <c r="BR294" s="13"/>
      <c r="BS294" s="13"/>
      <c r="BT294" s="13"/>
      <c r="BU294" s="13"/>
      <c r="BV294" s="13"/>
      <c r="BW294" s="13" t="s">
        <v>570</v>
      </c>
      <c r="BX294" s="13"/>
      <c r="BY294" s="13"/>
      <c r="BZ294" s="13"/>
      <c r="CA294" s="23">
        <v>42389</v>
      </c>
      <c r="CB294" s="224" t="s">
        <v>570</v>
      </c>
      <c r="CC294" s="224" t="s">
        <v>570</v>
      </c>
      <c r="CD294" s="224" t="s">
        <v>570</v>
      </c>
      <c r="CE294" s="13"/>
      <c r="CF294" s="13"/>
      <c r="CG294" s="13"/>
      <c r="CH294" s="13"/>
      <c r="CI294" s="13"/>
      <c r="CJ294" s="13"/>
      <c r="CK294" s="13"/>
      <c r="CL294" s="13"/>
      <c r="CM294" s="13"/>
      <c r="CN294" s="13"/>
      <c r="CO294" s="13"/>
      <c r="CP294" s="13"/>
      <c r="CQ294" s="13"/>
      <c r="CR294" s="13"/>
      <c r="CS294" s="29" t="s">
        <v>570</v>
      </c>
      <c r="CT294" s="29" t="s">
        <v>570</v>
      </c>
      <c r="CU294" s="29" t="s">
        <v>570</v>
      </c>
      <c r="CV294" s="23"/>
      <c r="CW294" s="13"/>
      <c r="CX294" s="134" t="s">
        <v>1461</v>
      </c>
      <c r="CY294" s="99">
        <v>42800</v>
      </c>
      <c r="CZ294" s="54">
        <v>15765.55</v>
      </c>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92">
        <f t="shared" si="136"/>
        <v>15765.55</v>
      </c>
      <c r="DZ294" s="13"/>
      <c r="EA294" s="13"/>
      <c r="EB294" s="13"/>
      <c r="EC294" s="13"/>
      <c r="ED294" s="13"/>
      <c r="EE294" s="13"/>
      <c r="EF294" s="13"/>
      <c r="EG294" s="13">
        <v>180</v>
      </c>
      <c r="EH294" s="13" t="s">
        <v>548</v>
      </c>
      <c r="EI294" s="13" t="s">
        <v>503</v>
      </c>
      <c r="EJ294" s="13" t="s">
        <v>503</v>
      </c>
      <c r="EK294" s="13"/>
      <c r="EL294" s="13"/>
      <c r="EM294" s="13"/>
      <c r="EN294" s="13"/>
      <c r="EO294" s="13"/>
      <c r="EP294" s="13"/>
      <c r="EQ294" s="13"/>
      <c r="ER294" s="13"/>
      <c r="ES294" s="13"/>
      <c r="ET294" s="13"/>
      <c r="EU294" s="13"/>
      <c r="EV294" s="13"/>
      <c r="EW294" s="13"/>
      <c r="EX294" s="13"/>
      <c r="EY294" s="13"/>
      <c r="EZ294" s="13"/>
      <c r="FA294" s="13"/>
      <c r="FB294" s="13"/>
      <c r="FC294" s="13"/>
      <c r="FD294" s="13"/>
      <c r="FE294" s="13"/>
      <c r="FF294" s="13"/>
      <c r="FG294" s="13"/>
      <c r="FH294" s="25"/>
      <c r="FI294" s="25"/>
      <c r="FJ294" s="25"/>
      <c r="FK294" s="25"/>
      <c r="FL294" s="25"/>
      <c r="FM294" s="25"/>
      <c r="FN294" s="25"/>
      <c r="FO294" s="25"/>
      <c r="FP294" s="25"/>
      <c r="FQ294" s="25"/>
      <c r="FR294" s="25"/>
      <c r="FS294" s="25">
        <v>1</v>
      </c>
      <c r="FT294" s="25">
        <v>1</v>
      </c>
      <c r="FU294" s="25">
        <v>1</v>
      </c>
      <c r="FV294" s="25">
        <v>1</v>
      </c>
      <c r="FW294" s="25">
        <v>1</v>
      </c>
      <c r="FX294" s="25">
        <v>1</v>
      </c>
      <c r="FY294" s="25">
        <v>1</v>
      </c>
      <c r="FZ294" s="25">
        <v>1</v>
      </c>
      <c r="GA294" s="25">
        <v>1</v>
      </c>
      <c r="GB294" s="25">
        <v>1</v>
      </c>
      <c r="GC294" s="25">
        <v>1</v>
      </c>
      <c r="GD294" s="25">
        <v>1</v>
      </c>
      <c r="GE294" s="25">
        <v>1</v>
      </c>
      <c r="GF294" s="25">
        <v>1</v>
      </c>
      <c r="GG294" s="25">
        <v>1</v>
      </c>
      <c r="GH294" s="25">
        <v>1</v>
      </c>
      <c r="GI294" s="25">
        <v>1</v>
      </c>
      <c r="GJ294" s="25">
        <v>1</v>
      </c>
      <c r="GK294" s="25">
        <v>1</v>
      </c>
      <c r="GL294" s="25">
        <v>1</v>
      </c>
      <c r="GM294" s="25">
        <v>1</v>
      </c>
      <c r="GN294" s="25">
        <v>1</v>
      </c>
      <c r="GO294" s="25">
        <v>1</v>
      </c>
      <c r="GP294" s="25">
        <v>1</v>
      </c>
      <c r="GQ294" s="25">
        <v>1</v>
      </c>
      <c r="GR294" s="25">
        <v>1</v>
      </c>
      <c r="GS294" s="25">
        <v>1</v>
      </c>
      <c r="GT294" s="25">
        <v>1</v>
      </c>
      <c r="GU294" s="25">
        <v>1</v>
      </c>
      <c r="GV294" s="25" t="s">
        <v>455</v>
      </c>
      <c r="GW294" s="25" t="s">
        <v>455</v>
      </c>
      <c r="GX294" s="25" t="s">
        <v>455</v>
      </c>
      <c r="GY294" s="25" t="s">
        <v>455</v>
      </c>
      <c r="GZ294" s="25" t="s">
        <v>455</v>
      </c>
      <c r="HA294" s="25" t="s">
        <v>455</v>
      </c>
      <c r="HB294" s="25" t="s">
        <v>455</v>
      </c>
      <c r="HC294" s="25" t="s">
        <v>455</v>
      </c>
      <c r="HD294" s="25" t="s">
        <v>455</v>
      </c>
      <c r="HE294" s="25" t="s">
        <v>455</v>
      </c>
      <c r="HF294" s="25" t="s">
        <v>455</v>
      </c>
      <c r="HG294" s="25" t="s">
        <v>455</v>
      </c>
      <c r="HH294" s="25" t="s">
        <v>455</v>
      </c>
      <c r="HI294" s="25"/>
      <c r="HJ294" s="25"/>
      <c r="HK294" s="25"/>
      <c r="HL294" s="25"/>
      <c r="HM294" s="84"/>
      <c r="HN294" s="84"/>
      <c r="HO294" s="84"/>
      <c r="HP294" s="84"/>
      <c r="HQ294" s="84"/>
      <c r="HR294" s="84"/>
      <c r="HS294" s="84"/>
      <c r="HT294" s="84"/>
      <c r="HU294" s="13"/>
      <c r="HV294" s="13"/>
      <c r="HW294" s="32"/>
      <c r="HX294" s="55"/>
      <c r="HY294" s="55"/>
      <c r="HZ294" s="55"/>
      <c r="IA294" s="55"/>
      <c r="IB294" s="55"/>
      <c r="IC294" s="55"/>
      <c r="ID294" s="55"/>
      <c r="IE294" s="55"/>
      <c r="IF294" s="107">
        <v>15000</v>
      </c>
      <c r="IG294" s="107">
        <v>15765.55</v>
      </c>
      <c r="IH294" s="250">
        <f t="shared" si="134"/>
        <v>0</v>
      </c>
      <c r="II294" s="55"/>
      <c r="IJ294" s="55"/>
      <c r="IK294" s="55"/>
      <c r="IL294" s="55"/>
      <c r="IM294" s="55"/>
      <c r="IN294" s="55"/>
      <c r="IO294" s="55"/>
      <c r="IP294" s="55"/>
      <c r="IQ294" s="55"/>
      <c r="IR294" s="55"/>
      <c r="IS294" s="55"/>
      <c r="IT294" s="55"/>
      <c r="IU294" s="55"/>
      <c r="IV294" s="55"/>
      <c r="IW294" s="55"/>
      <c r="IX294" s="55"/>
      <c r="IY294" s="55"/>
      <c r="IZ294" s="55"/>
      <c r="JA294" s="55"/>
      <c r="JB294" s="55"/>
      <c r="JC294" s="55"/>
      <c r="JD294" s="55">
        <v>2017</v>
      </c>
    </row>
    <row r="295" spans="1:264" s="5" customFormat="1" ht="20.100000000000001" hidden="1" customHeight="1">
      <c r="A295" s="26" t="s">
        <v>103</v>
      </c>
      <c r="B295" s="26" t="s">
        <v>203</v>
      </c>
      <c r="C295" s="13" t="s">
        <v>349</v>
      </c>
      <c r="D295" s="13" t="s">
        <v>380</v>
      </c>
      <c r="E295" s="16" t="s">
        <v>350</v>
      </c>
      <c r="F295" s="13" t="s">
        <v>383</v>
      </c>
      <c r="G295" s="26" t="s">
        <v>351</v>
      </c>
      <c r="H295" s="13" t="s">
        <v>1545</v>
      </c>
      <c r="I295" s="313" t="s">
        <v>111</v>
      </c>
      <c r="J295" s="26">
        <v>4</v>
      </c>
      <c r="K295" s="49" t="s">
        <v>375</v>
      </c>
      <c r="L295" s="314" t="s">
        <v>272</v>
      </c>
      <c r="M295" s="14" t="s">
        <v>273</v>
      </c>
      <c r="N295" s="43"/>
      <c r="O295" s="13" t="s">
        <v>206</v>
      </c>
      <c r="P295" s="13" t="s">
        <v>4</v>
      </c>
      <c r="Q295" s="22" t="s">
        <v>1118</v>
      </c>
      <c r="R295" s="314" t="s">
        <v>272</v>
      </c>
      <c r="S295" s="22" t="s">
        <v>851</v>
      </c>
      <c r="T295" s="13" t="s">
        <v>1387</v>
      </c>
      <c r="U295" s="22" t="s">
        <v>477</v>
      </c>
      <c r="V295" s="22" t="s">
        <v>852</v>
      </c>
      <c r="W295" s="13" t="s">
        <v>570</v>
      </c>
      <c r="X295" s="13" t="s">
        <v>570</v>
      </c>
      <c r="Y295" s="13" t="s">
        <v>503</v>
      </c>
      <c r="Z295" s="13" t="s">
        <v>503</v>
      </c>
      <c r="AA295" s="29"/>
      <c r="AB295" s="29">
        <v>5202.71</v>
      </c>
      <c r="AC295" s="29">
        <v>0</v>
      </c>
      <c r="AD295" s="29">
        <v>9446.2470000000012</v>
      </c>
      <c r="AE295" s="29">
        <v>1094.79</v>
      </c>
      <c r="AF295" s="29">
        <f t="shared" si="121"/>
        <v>10541.037</v>
      </c>
      <c r="AG295" s="25">
        <v>0.12</v>
      </c>
      <c r="AH295" s="29">
        <f t="shared" si="131"/>
        <v>1133.5496400000002</v>
      </c>
      <c r="AI295" s="29">
        <f t="shared" si="132"/>
        <v>131.37479999999999</v>
      </c>
      <c r="AJ295" s="29">
        <f t="shared" si="133"/>
        <v>11805.961440000001</v>
      </c>
      <c r="AK295" s="29">
        <v>6297.5</v>
      </c>
      <c r="AL295" s="29">
        <v>0</v>
      </c>
      <c r="AM295" s="126"/>
      <c r="AN295" s="29"/>
      <c r="AO295" s="29">
        <v>9446.2470000000012</v>
      </c>
      <c r="AP295" s="29"/>
      <c r="AQ295" s="29">
        <v>9446.2470000000012</v>
      </c>
      <c r="AR295" s="29"/>
      <c r="AS295" s="29"/>
      <c r="AT295" s="29"/>
      <c r="AU295" s="29"/>
      <c r="AV295" s="29"/>
      <c r="AW295" s="29"/>
      <c r="AX295" s="29"/>
      <c r="AY295" s="29"/>
      <c r="AZ295" s="29"/>
      <c r="BA295" s="29"/>
      <c r="BB295" s="29"/>
      <c r="BC295" s="29"/>
      <c r="BD295" s="29"/>
      <c r="BE295" s="29"/>
      <c r="BF295" s="29">
        <f t="shared" si="137"/>
        <v>-4243.5370000000012</v>
      </c>
      <c r="BG295" s="29">
        <f t="shared" si="130"/>
        <v>-4243.5370000000012</v>
      </c>
      <c r="BH295" s="29"/>
      <c r="BI295" s="23" t="s">
        <v>570</v>
      </c>
      <c r="BJ295" s="23" t="s">
        <v>570</v>
      </c>
      <c r="BK295" s="23"/>
      <c r="BL295" s="23"/>
      <c r="BM295" s="23"/>
      <c r="BN295" s="13"/>
      <c r="BO295" s="13"/>
      <c r="BP295" s="13"/>
      <c r="BQ295" s="13"/>
      <c r="BR295" s="13"/>
      <c r="BS295" s="13"/>
      <c r="BT295" s="13"/>
      <c r="BU295" s="13"/>
      <c r="BV295" s="13"/>
      <c r="BW295" s="13" t="s">
        <v>570</v>
      </c>
      <c r="BX295" s="13"/>
      <c r="BY295" s="13"/>
      <c r="BZ295" s="13"/>
      <c r="CA295" s="23">
        <v>42590</v>
      </c>
      <c r="CB295" s="224" t="s">
        <v>570</v>
      </c>
      <c r="CC295" s="224" t="s">
        <v>570</v>
      </c>
      <c r="CD295" s="224" t="s">
        <v>570</v>
      </c>
      <c r="CE295" s="13"/>
      <c r="CF295" s="13"/>
      <c r="CG295" s="13"/>
      <c r="CH295" s="13"/>
      <c r="CI295" s="13"/>
      <c r="CJ295" s="13"/>
      <c r="CK295" s="13"/>
      <c r="CL295" s="13"/>
      <c r="CM295" s="13"/>
      <c r="CN295" s="13"/>
      <c r="CO295" s="13"/>
      <c r="CP295" s="13"/>
      <c r="CQ295" s="13"/>
      <c r="CR295" s="13"/>
      <c r="CS295" s="29" t="s">
        <v>570</v>
      </c>
      <c r="CT295" s="29" t="s">
        <v>570</v>
      </c>
      <c r="CU295" s="29" t="s">
        <v>570</v>
      </c>
      <c r="CV295" s="23"/>
      <c r="CW295" s="13"/>
      <c r="CX295" s="13"/>
      <c r="CY295" s="13"/>
      <c r="CZ295" s="9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92">
        <f t="shared" si="136"/>
        <v>0</v>
      </c>
      <c r="DZ295" s="13"/>
      <c r="EA295" s="13"/>
      <c r="EB295" s="13"/>
      <c r="EC295" s="13"/>
      <c r="ED295" s="13"/>
      <c r="EE295" s="13"/>
      <c r="EF295" s="13"/>
      <c r="EG295" s="13">
        <v>180</v>
      </c>
      <c r="EH295" s="13" t="s">
        <v>548</v>
      </c>
      <c r="EI295" s="13" t="s">
        <v>503</v>
      </c>
      <c r="EJ295" s="13" t="s">
        <v>503</v>
      </c>
      <c r="EK295" s="13"/>
      <c r="EL295" s="13"/>
      <c r="EM295" s="13"/>
      <c r="EN295" s="13"/>
      <c r="EO295" s="13"/>
      <c r="EP295" s="13"/>
      <c r="EQ295" s="13"/>
      <c r="ER295" s="13"/>
      <c r="ES295" s="13"/>
      <c r="ET295" s="13"/>
      <c r="EU295" s="13"/>
      <c r="EV295" s="13"/>
      <c r="EW295" s="13"/>
      <c r="EX295" s="13"/>
      <c r="EY295" s="13"/>
      <c r="EZ295" s="13"/>
      <c r="FA295" s="13"/>
      <c r="FB295" s="13"/>
      <c r="FC295" s="13"/>
      <c r="FD295" s="13"/>
      <c r="FE295" s="13"/>
      <c r="FF295" s="13"/>
      <c r="FG295" s="13"/>
      <c r="FH295" s="25"/>
      <c r="FI295" s="25"/>
      <c r="FJ295" s="25"/>
      <c r="FK295" s="25"/>
      <c r="FL295" s="25"/>
      <c r="FM295" s="25"/>
      <c r="FN295" s="25"/>
      <c r="FO295" s="25"/>
      <c r="FP295" s="25"/>
      <c r="FQ295" s="25"/>
      <c r="FR295" s="25"/>
      <c r="FS295" s="25">
        <v>1</v>
      </c>
      <c r="FT295" s="25">
        <v>1</v>
      </c>
      <c r="FU295" s="25">
        <v>1</v>
      </c>
      <c r="FV295" s="25">
        <v>1</v>
      </c>
      <c r="FW295" s="25">
        <v>1</v>
      </c>
      <c r="FX295" s="25">
        <v>1</v>
      </c>
      <c r="FY295" s="25">
        <v>1</v>
      </c>
      <c r="FZ295" s="25">
        <v>1</v>
      </c>
      <c r="GA295" s="25">
        <v>1</v>
      </c>
      <c r="GB295" s="25">
        <v>1</v>
      </c>
      <c r="GC295" s="25">
        <v>1</v>
      </c>
      <c r="GD295" s="25">
        <v>1</v>
      </c>
      <c r="GE295" s="25">
        <v>1</v>
      </c>
      <c r="GF295" s="25">
        <v>1</v>
      </c>
      <c r="GG295" s="25">
        <v>1</v>
      </c>
      <c r="GH295" s="25">
        <v>1</v>
      </c>
      <c r="GI295" s="25">
        <v>1</v>
      </c>
      <c r="GJ295" s="25">
        <v>1</v>
      </c>
      <c r="GK295" s="25">
        <v>1</v>
      </c>
      <c r="GL295" s="25">
        <v>1</v>
      </c>
      <c r="GM295" s="25">
        <v>1</v>
      </c>
      <c r="GN295" s="25">
        <v>1</v>
      </c>
      <c r="GO295" s="25">
        <v>1</v>
      </c>
      <c r="GP295" s="25">
        <v>1</v>
      </c>
      <c r="GQ295" s="25">
        <v>1</v>
      </c>
      <c r="GR295" s="25">
        <v>1</v>
      </c>
      <c r="GS295" s="25">
        <v>1</v>
      </c>
      <c r="GT295" s="25">
        <v>1</v>
      </c>
      <c r="GU295" s="25">
        <v>1</v>
      </c>
      <c r="GV295" s="25" t="s">
        <v>455</v>
      </c>
      <c r="GW295" s="25" t="s">
        <v>455</v>
      </c>
      <c r="GX295" s="25" t="s">
        <v>455</v>
      </c>
      <c r="GY295" s="25" t="s">
        <v>455</v>
      </c>
      <c r="GZ295" s="25" t="s">
        <v>455</v>
      </c>
      <c r="HA295" s="25" t="s">
        <v>455</v>
      </c>
      <c r="HB295" s="25" t="s">
        <v>455</v>
      </c>
      <c r="HC295" s="25" t="s">
        <v>455</v>
      </c>
      <c r="HD295" s="25" t="s">
        <v>455</v>
      </c>
      <c r="HE295" s="25" t="s">
        <v>455</v>
      </c>
      <c r="HF295" s="25" t="s">
        <v>455</v>
      </c>
      <c r="HG295" s="25" t="s">
        <v>455</v>
      </c>
      <c r="HH295" s="25" t="s">
        <v>455</v>
      </c>
      <c r="HI295" s="25"/>
      <c r="HJ295" s="25"/>
      <c r="HK295" s="25"/>
      <c r="HL295" s="25"/>
      <c r="HM295" s="84"/>
      <c r="HN295" s="84"/>
      <c r="HO295" s="84"/>
      <c r="HP295" s="84"/>
      <c r="HQ295" s="84"/>
      <c r="HR295" s="84"/>
      <c r="HS295" s="84"/>
      <c r="HT295" s="84"/>
      <c r="HU295" s="13"/>
      <c r="HV295" s="13"/>
      <c r="HW295" s="32"/>
      <c r="HX295" s="55"/>
      <c r="HY295" s="55"/>
      <c r="HZ295" s="55"/>
      <c r="IA295" s="55"/>
      <c r="IB295" s="55"/>
      <c r="IC295" s="55"/>
      <c r="ID295" s="55"/>
      <c r="IE295" s="55"/>
      <c r="IF295" s="107">
        <v>5202.71</v>
      </c>
      <c r="IG295" s="107">
        <v>6297.5</v>
      </c>
      <c r="IH295" s="250">
        <f t="shared" si="134"/>
        <v>0</v>
      </c>
      <c r="II295" s="55"/>
      <c r="IJ295" s="55"/>
      <c r="IK295" s="55"/>
      <c r="IL295" s="55"/>
      <c r="IM295" s="55"/>
      <c r="IN295" s="55"/>
      <c r="IO295" s="55"/>
      <c r="IP295" s="55"/>
      <c r="IQ295" s="55"/>
      <c r="IR295" s="55"/>
      <c r="IS295" s="55"/>
      <c r="IT295" s="55"/>
      <c r="IU295" s="55"/>
      <c r="IV295" s="55"/>
      <c r="IW295" s="55"/>
      <c r="IX295" s="55"/>
      <c r="IY295" s="55"/>
      <c r="IZ295" s="55"/>
      <c r="JA295" s="55"/>
      <c r="JB295" s="55"/>
      <c r="JC295" s="55"/>
      <c r="JD295" s="55">
        <v>2017</v>
      </c>
    </row>
    <row r="296" spans="1:264" s="5" customFormat="1" ht="24.95" hidden="1" customHeight="1">
      <c r="A296" s="26" t="s">
        <v>103</v>
      </c>
      <c r="B296" s="26" t="s">
        <v>203</v>
      </c>
      <c r="C296" s="13" t="s">
        <v>349</v>
      </c>
      <c r="D296" s="13" t="s">
        <v>380</v>
      </c>
      <c r="E296" s="16" t="s">
        <v>360</v>
      </c>
      <c r="F296" s="13" t="s">
        <v>356</v>
      </c>
      <c r="G296" s="26" t="s">
        <v>354</v>
      </c>
      <c r="H296" s="13" t="s">
        <v>1545</v>
      </c>
      <c r="I296" s="313" t="s">
        <v>113</v>
      </c>
      <c r="J296" s="26">
        <v>5</v>
      </c>
      <c r="K296" s="49" t="s">
        <v>375</v>
      </c>
      <c r="L296" s="314" t="s">
        <v>274</v>
      </c>
      <c r="M296" s="15" t="s">
        <v>275</v>
      </c>
      <c r="N296" s="43"/>
      <c r="O296" s="13" t="s">
        <v>206</v>
      </c>
      <c r="P296" s="13" t="s">
        <v>4</v>
      </c>
      <c r="Q296" s="22" t="s">
        <v>364</v>
      </c>
      <c r="R296" s="314" t="s">
        <v>274</v>
      </c>
      <c r="S296" s="13" t="s">
        <v>851</v>
      </c>
      <c r="T296" s="13" t="s">
        <v>1387</v>
      </c>
      <c r="U296" s="13" t="s">
        <v>477</v>
      </c>
      <c r="V296" s="22" t="s">
        <v>852</v>
      </c>
      <c r="W296" s="13" t="s">
        <v>570</v>
      </c>
      <c r="X296" s="13" t="s">
        <v>570</v>
      </c>
      <c r="Y296" s="13"/>
      <c r="Z296" s="13"/>
      <c r="AA296" s="29"/>
      <c r="AB296" s="29">
        <v>78328.800000000003</v>
      </c>
      <c r="AC296" s="29">
        <v>0</v>
      </c>
      <c r="AD296" s="29">
        <v>38956.307766326252</v>
      </c>
      <c r="AE296" s="29">
        <v>0</v>
      </c>
      <c r="AF296" s="29">
        <f t="shared" si="121"/>
        <v>38956.307766326252</v>
      </c>
      <c r="AG296" s="25">
        <v>0.12</v>
      </c>
      <c r="AH296" s="29">
        <f t="shared" si="131"/>
        <v>4674.7569319591503</v>
      </c>
      <c r="AI296" s="29">
        <f t="shared" si="132"/>
        <v>0</v>
      </c>
      <c r="AJ296" s="29">
        <f t="shared" si="133"/>
        <v>43631.064698285409</v>
      </c>
      <c r="AK296" s="29"/>
      <c r="AL296" s="29"/>
      <c r="AM296" s="126">
        <f>AB296-AQ296</f>
        <v>39372.492233673751</v>
      </c>
      <c r="AN296" s="29"/>
      <c r="AO296" s="29">
        <v>38956.307766326252</v>
      </c>
      <c r="AP296" s="29"/>
      <c r="AQ296" s="29">
        <v>38956.307766326252</v>
      </c>
      <c r="AR296" s="25">
        <v>0.14000000000000001</v>
      </c>
      <c r="AS296" s="29">
        <f>AQ296*0.14</f>
        <v>5453.8830872856761</v>
      </c>
      <c r="AT296" s="29">
        <f>AQ296*1.14</f>
        <v>44410.190853611923</v>
      </c>
      <c r="AU296" s="29"/>
      <c r="AV296" s="29"/>
      <c r="AW296" s="29"/>
      <c r="AX296" s="29"/>
      <c r="AY296" s="29"/>
      <c r="AZ296" s="29"/>
      <c r="BA296" s="29"/>
      <c r="BB296" s="29"/>
      <c r="BC296" s="29"/>
      <c r="BD296" s="29"/>
      <c r="BE296" s="29"/>
      <c r="BF296" s="29">
        <f t="shared" si="137"/>
        <v>39372.492233673751</v>
      </c>
      <c r="BG296" s="29">
        <f t="shared" si="130"/>
        <v>39372.492233673751</v>
      </c>
      <c r="BH296" s="29"/>
      <c r="BI296" s="23" t="s">
        <v>570</v>
      </c>
      <c r="BJ296" s="23" t="s">
        <v>570</v>
      </c>
      <c r="BK296" s="23"/>
      <c r="BL296" s="23"/>
      <c r="BM296" s="23"/>
      <c r="BN296" s="13"/>
      <c r="BO296" s="13"/>
      <c r="BP296" s="13"/>
      <c r="BQ296" s="13"/>
      <c r="BR296" s="13"/>
      <c r="BS296" s="13"/>
      <c r="BT296" s="13"/>
      <c r="BU296" s="13"/>
      <c r="BV296" s="13"/>
      <c r="BW296" s="13" t="s">
        <v>570</v>
      </c>
      <c r="BX296" s="23">
        <v>42643</v>
      </c>
      <c r="BY296" s="13" t="s">
        <v>570</v>
      </c>
      <c r="BZ296" s="23">
        <v>42648</v>
      </c>
      <c r="CA296" s="23">
        <v>42926</v>
      </c>
      <c r="CB296" s="224" t="s">
        <v>570</v>
      </c>
      <c r="CC296" s="224" t="s">
        <v>570</v>
      </c>
      <c r="CD296" s="224" t="s">
        <v>570</v>
      </c>
      <c r="CE296" s="13"/>
      <c r="CF296" s="13"/>
      <c r="CG296" s="13"/>
      <c r="CH296" s="13"/>
      <c r="CI296" s="13"/>
      <c r="CJ296" s="13"/>
      <c r="CK296" s="13"/>
      <c r="CL296" s="13"/>
      <c r="CM296" s="13"/>
      <c r="CN296" s="13"/>
      <c r="CO296" s="13"/>
      <c r="CP296" s="13"/>
      <c r="CQ296" s="13"/>
      <c r="CR296" s="13"/>
      <c r="CS296" s="29" t="s">
        <v>570</v>
      </c>
      <c r="CT296" s="29" t="s">
        <v>570</v>
      </c>
      <c r="CU296" s="29" t="s">
        <v>570</v>
      </c>
      <c r="CV296" s="23"/>
      <c r="CW296" s="13"/>
      <c r="CX296" s="13"/>
      <c r="CY296" s="13"/>
      <c r="CZ296" s="9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92">
        <f t="shared" si="136"/>
        <v>0</v>
      </c>
      <c r="DZ296" s="13"/>
      <c r="EA296" s="13"/>
      <c r="EB296" s="13"/>
      <c r="EC296" s="13"/>
      <c r="ED296" s="13"/>
      <c r="EE296" s="13"/>
      <c r="EF296" s="13"/>
      <c r="EG296" s="13"/>
      <c r="EH296" s="13"/>
      <c r="EI296" s="13"/>
      <c r="EJ296" s="13"/>
      <c r="EK296" s="13"/>
      <c r="EL296" s="13"/>
      <c r="EM296" s="13"/>
      <c r="EN296" s="13"/>
      <c r="EO296" s="13"/>
      <c r="EP296" s="13"/>
      <c r="EQ296" s="13"/>
      <c r="ER296" s="13"/>
      <c r="ES296" s="13"/>
      <c r="ET296" s="13"/>
      <c r="EU296" s="13"/>
      <c r="EV296" s="13"/>
      <c r="EW296" s="13"/>
      <c r="EX296" s="13"/>
      <c r="EY296" s="13"/>
      <c r="EZ296" s="13"/>
      <c r="FA296" s="13"/>
      <c r="FB296" s="13"/>
      <c r="FC296" s="13"/>
      <c r="FD296" s="13"/>
      <c r="FE296" s="13"/>
      <c r="FF296" s="13"/>
      <c r="FG296" s="13"/>
      <c r="FH296" s="25"/>
      <c r="FI296" s="25"/>
      <c r="FJ296" s="25"/>
      <c r="FK296" s="25"/>
      <c r="FL296" s="25"/>
      <c r="FM296" s="25"/>
      <c r="FN296" s="25"/>
      <c r="FO296" s="25"/>
      <c r="FP296" s="25"/>
      <c r="FQ296" s="25"/>
      <c r="FR296" s="25"/>
      <c r="FS296" s="25"/>
      <c r="FT296" s="25"/>
      <c r="FU296" s="25"/>
      <c r="FV296" s="25"/>
      <c r="FW296" s="25"/>
      <c r="FX296" s="25"/>
      <c r="FY296" s="25"/>
      <c r="FZ296" s="25"/>
      <c r="GA296" s="25"/>
      <c r="GB296" s="25"/>
      <c r="GC296" s="25"/>
      <c r="GD296" s="25">
        <v>0.5</v>
      </c>
      <c r="GE296" s="25">
        <v>0.5</v>
      </c>
      <c r="GF296" s="25">
        <v>0.5</v>
      </c>
      <c r="GG296" s="25">
        <v>0.5</v>
      </c>
      <c r="GH296" s="25">
        <v>0.5</v>
      </c>
      <c r="GI296" s="25">
        <v>0.99</v>
      </c>
      <c r="GJ296" s="25">
        <v>0.99</v>
      </c>
      <c r="GK296" s="25">
        <v>1</v>
      </c>
      <c r="GL296" s="25">
        <v>1</v>
      </c>
      <c r="GM296" s="25">
        <v>1</v>
      </c>
      <c r="GN296" s="25">
        <v>1</v>
      </c>
      <c r="GO296" s="25">
        <v>1</v>
      </c>
      <c r="GP296" s="25">
        <v>1</v>
      </c>
      <c r="GQ296" s="25">
        <v>1</v>
      </c>
      <c r="GR296" s="25">
        <v>1</v>
      </c>
      <c r="GS296" s="25">
        <v>1</v>
      </c>
      <c r="GT296" s="25">
        <v>1</v>
      </c>
      <c r="GU296" s="25">
        <v>1</v>
      </c>
      <c r="GV296" s="25" t="s">
        <v>1588</v>
      </c>
      <c r="GW296" s="25" t="s">
        <v>1588</v>
      </c>
      <c r="GX296" s="25" t="s">
        <v>1588</v>
      </c>
      <c r="GY296" s="25" t="s">
        <v>1588</v>
      </c>
      <c r="GZ296" s="25" t="s">
        <v>1588</v>
      </c>
      <c r="HA296" s="25" t="s">
        <v>1588</v>
      </c>
      <c r="HB296" s="25" t="s">
        <v>1588</v>
      </c>
      <c r="HC296" s="25" t="s">
        <v>1588</v>
      </c>
      <c r="HD296" s="25" t="s">
        <v>1588</v>
      </c>
      <c r="HE296" s="25" t="s">
        <v>1588</v>
      </c>
      <c r="HF296" s="25" t="s">
        <v>1588</v>
      </c>
      <c r="HG296" s="25" t="s">
        <v>1588</v>
      </c>
      <c r="HH296" s="25" t="s">
        <v>1588</v>
      </c>
      <c r="HI296" s="25" t="s">
        <v>1640</v>
      </c>
      <c r="HJ296" s="25"/>
      <c r="HK296" s="25"/>
      <c r="HL296" s="25" t="s">
        <v>1714</v>
      </c>
      <c r="HM296" s="84" t="s">
        <v>1744</v>
      </c>
      <c r="HN296" s="84"/>
      <c r="HO296" s="84" t="s">
        <v>1861</v>
      </c>
      <c r="HP296" s="84"/>
      <c r="HQ296" s="84"/>
      <c r="HR296" s="84"/>
      <c r="HS296" s="84"/>
      <c r="HT296" s="84"/>
      <c r="HU296" s="13"/>
      <c r="HV296" s="13"/>
      <c r="HW296" s="13" t="s">
        <v>1202</v>
      </c>
      <c r="HX296" s="55"/>
      <c r="HY296" s="55"/>
      <c r="HZ296" s="55"/>
      <c r="IA296" s="55"/>
      <c r="IB296" s="55"/>
      <c r="IC296" s="55"/>
      <c r="ID296" s="55"/>
      <c r="IE296" s="55"/>
      <c r="IF296" s="107">
        <v>78328.800000000003</v>
      </c>
      <c r="IG296" s="107"/>
      <c r="IH296" s="250">
        <f t="shared" si="134"/>
        <v>0</v>
      </c>
      <c r="II296" s="55"/>
      <c r="IJ296" s="55"/>
      <c r="IK296" s="55"/>
      <c r="IL296" s="55"/>
      <c r="IM296" s="55"/>
      <c r="IN296" s="55"/>
      <c r="IO296" s="55"/>
      <c r="IP296" s="55"/>
      <c r="IQ296" s="55"/>
      <c r="IR296" s="55"/>
      <c r="IS296" s="55"/>
      <c r="IT296" s="55"/>
      <c r="IU296" s="55"/>
      <c r="IV296" s="55"/>
      <c r="IW296" s="55"/>
      <c r="IX296" s="55"/>
      <c r="IY296" s="55"/>
      <c r="IZ296" s="55"/>
      <c r="JA296" s="55"/>
      <c r="JB296" s="55"/>
      <c r="JC296" s="55"/>
      <c r="JD296" s="55">
        <v>2019</v>
      </c>
    </row>
    <row r="297" spans="1:264" s="5" customFormat="1" ht="20.100000000000001" hidden="1" customHeight="1">
      <c r="A297" s="26" t="s">
        <v>103</v>
      </c>
      <c r="B297" s="26" t="s">
        <v>203</v>
      </c>
      <c r="C297" s="13" t="s">
        <v>349</v>
      </c>
      <c r="D297" s="13" t="s">
        <v>380</v>
      </c>
      <c r="E297" s="16" t="s">
        <v>360</v>
      </c>
      <c r="F297" s="13" t="s">
        <v>356</v>
      </c>
      <c r="G297" s="39" t="s">
        <v>354</v>
      </c>
      <c r="H297" s="13" t="s">
        <v>1516</v>
      </c>
      <c r="I297" s="313" t="s">
        <v>115</v>
      </c>
      <c r="J297" s="26">
        <v>6</v>
      </c>
      <c r="K297" s="49" t="s">
        <v>375</v>
      </c>
      <c r="L297" s="314" t="s">
        <v>276</v>
      </c>
      <c r="M297" s="14" t="s">
        <v>277</v>
      </c>
      <c r="N297" s="43"/>
      <c r="O297" s="13" t="s">
        <v>206</v>
      </c>
      <c r="P297" s="13" t="s">
        <v>4</v>
      </c>
      <c r="Q297" s="22" t="s">
        <v>1118</v>
      </c>
      <c r="R297" s="314" t="s">
        <v>276</v>
      </c>
      <c r="S297" s="22" t="s">
        <v>845</v>
      </c>
      <c r="T297" s="13" t="s">
        <v>1387</v>
      </c>
      <c r="U297" s="22" t="s">
        <v>477</v>
      </c>
      <c r="V297" s="22" t="s">
        <v>846</v>
      </c>
      <c r="W297" s="13" t="s">
        <v>570</v>
      </c>
      <c r="X297" s="13" t="s">
        <v>570</v>
      </c>
      <c r="Y297" s="13" t="s">
        <v>503</v>
      </c>
      <c r="Z297" s="13" t="s">
        <v>503</v>
      </c>
      <c r="AA297" s="29"/>
      <c r="AB297" s="29">
        <v>20595.689999999999</v>
      </c>
      <c r="AC297" s="29">
        <v>0</v>
      </c>
      <c r="AD297" s="29">
        <v>24002.411766326299</v>
      </c>
      <c r="AE297" s="29">
        <f>AK297-AB297</f>
        <v>3406.7200000000012</v>
      </c>
      <c r="AF297" s="29">
        <f t="shared" si="121"/>
        <v>27409.1317663263</v>
      </c>
      <c r="AG297" s="25">
        <v>0.12</v>
      </c>
      <c r="AH297" s="29">
        <f t="shared" si="131"/>
        <v>2880.2894119591556</v>
      </c>
      <c r="AI297" s="29">
        <f t="shared" si="132"/>
        <v>408.80640000000011</v>
      </c>
      <c r="AJ297" s="29">
        <f t="shared" si="133"/>
        <v>30698.227578285459</v>
      </c>
      <c r="AK297" s="29">
        <v>24002.41</v>
      </c>
      <c r="AL297" s="29">
        <v>0</v>
      </c>
      <c r="AM297" s="126"/>
      <c r="AN297" s="29"/>
      <c r="AO297" s="29">
        <v>24002.411766326299</v>
      </c>
      <c r="AP297" s="29"/>
      <c r="AQ297" s="29">
        <v>24002.41</v>
      </c>
      <c r="AR297" s="29"/>
      <c r="AS297" s="29"/>
      <c r="AT297" s="29"/>
      <c r="AU297" s="29"/>
      <c r="AV297" s="29"/>
      <c r="AW297" s="29"/>
      <c r="AX297" s="29"/>
      <c r="AY297" s="29"/>
      <c r="AZ297" s="29"/>
      <c r="BA297" s="29"/>
      <c r="BB297" s="29"/>
      <c r="BC297" s="29"/>
      <c r="BD297" s="29"/>
      <c r="BE297" s="29"/>
      <c r="BF297" s="29">
        <f t="shared" si="137"/>
        <v>-3406.7200000000012</v>
      </c>
      <c r="BG297" s="29">
        <f t="shared" si="130"/>
        <v>-3406.7200000000012</v>
      </c>
      <c r="BH297" s="29"/>
      <c r="BI297" s="23" t="s">
        <v>570</v>
      </c>
      <c r="BJ297" s="23" t="s">
        <v>570</v>
      </c>
      <c r="BK297" s="23"/>
      <c r="BL297" s="23"/>
      <c r="BM297" s="23"/>
      <c r="BN297" s="13"/>
      <c r="BO297" s="13"/>
      <c r="BP297" s="13"/>
      <c r="BQ297" s="13"/>
      <c r="BR297" s="13"/>
      <c r="BS297" s="13"/>
      <c r="BT297" s="13"/>
      <c r="BU297" s="13"/>
      <c r="BV297" s="13"/>
      <c r="BW297" s="13" t="s">
        <v>570</v>
      </c>
      <c r="BX297" s="13"/>
      <c r="BY297" s="13"/>
      <c r="BZ297" s="13"/>
      <c r="CA297" s="23">
        <v>42597</v>
      </c>
      <c r="CB297" s="224" t="s">
        <v>570</v>
      </c>
      <c r="CC297" s="224" t="s">
        <v>570</v>
      </c>
      <c r="CD297" s="224" t="s">
        <v>570</v>
      </c>
      <c r="CE297" s="13"/>
      <c r="CF297" s="13"/>
      <c r="CG297" s="13"/>
      <c r="CH297" s="13"/>
      <c r="CI297" s="13"/>
      <c r="CJ297" s="13"/>
      <c r="CK297" s="13"/>
      <c r="CL297" s="13"/>
      <c r="CM297" s="13"/>
      <c r="CN297" s="13"/>
      <c r="CO297" s="13"/>
      <c r="CP297" s="13"/>
      <c r="CQ297" s="13"/>
      <c r="CR297" s="13"/>
      <c r="CS297" s="29" t="s">
        <v>570</v>
      </c>
      <c r="CT297" s="29" t="s">
        <v>570</v>
      </c>
      <c r="CU297" s="29" t="s">
        <v>570</v>
      </c>
      <c r="CV297" s="23"/>
      <c r="CW297" s="13"/>
      <c r="CX297" s="184" t="s">
        <v>1459</v>
      </c>
      <c r="CY297" s="99">
        <v>42828</v>
      </c>
      <c r="CZ297" s="79">
        <v>16001.6</v>
      </c>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92">
        <f t="shared" si="136"/>
        <v>16001.6</v>
      </c>
      <c r="DZ297" s="13"/>
      <c r="EA297" s="13"/>
      <c r="EB297" s="13"/>
      <c r="EC297" s="13"/>
      <c r="ED297" s="13"/>
      <c r="EE297" s="13"/>
      <c r="EF297" s="13"/>
      <c r="EG297" s="13">
        <v>180</v>
      </c>
      <c r="EH297" s="13" t="s">
        <v>548</v>
      </c>
      <c r="EI297" s="13" t="s">
        <v>503</v>
      </c>
      <c r="EJ297" s="13" t="s">
        <v>503</v>
      </c>
      <c r="EK297" s="13"/>
      <c r="EL297" s="13"/>
      <c r="EM297" s="13"/>
      <c r="EN297" s="13"/>
      <c r="EO297" s="13"/>
      <c r="EP297" s="13"/>
      <c r="EQ297" s="13"/>
      <c r="ER297" s="13"/>
      <c r="ES297" s="13"/>
      <c r="ET297" s="13"/>
      <c r="EU297" s="13"/>
      <c r="EV297" s="13"/>
      <c r="EW297" s="13"/>
      <c r="EX297" s="13"/>
      <c r="EY297" s="13"/>
      <c r="EZ297" s="13"/>
      <c r="FA297" s="13"/>
      <c r="FB297" s="13"/>
      <c r="FC297" s="13"/>
      <c r="FD297" s="13"/>
      <c r="FE297" s="13"/>
      <c r="FF297" s="13"/>
      <c r="FG297" s="13"/>
      <c r="FH297" s="25"/>
      <c r="FI297" s="25"/>
      <c r="FJ297" s="25"/>
      <c r="FK297" s="25"/>
      <c r="FL297" s="25"/>
      <c r="FM297" s="25"/>
      <c r="FN297" s="25"/>
      <c r="FO297" s="25"/>
      <c r="FP297" s="25"/>
      <c r="FQ297" s="25"/>
      <c r="FR297" s="25"/>
      <c r="FS297" s="25"/>
      <c r="FT297" s="25"/>
      <c r="FU297" s="25">
        <v>0.6</v>
      </c>
      <c r="FV297" s="25">
        <v>0.6</v>
      </c>
      <c r="FW297" s="25">
        <v>0.6</v>
      </c>
      <c r="FX297" s="25">
        <v>0.6</v>
      </c>
      <c r="FY297" s="25">
        <v>1</v>
      </c>
      <c r="FZ297" s="25">
        <v>1</v>
      </c>
      <c r="GA297" s="25">
        <v>1</v>
      </c>
      <c r="GB297" s="25">
        <v>1</v>
      </c>
      <c r="GC297" s="25">
        <v>1</v>
      </c>
      <c r="GD297" s="25">
        <v>1</v>
      </c>
      <c r="GE297" s="25">
        <v>1</v>
      </c>
      <c r="GF297" s="25">
        <v>1</v>
      </c>
      <c r="GG297" s="25">
        <v>1</v>
      </c>
      <c r="GH297" s="25">
        <v>1</v>
      </c>
      <c r="GI297" s="25">
        <v>1</v>
      </c>
      <c r="GJ297" s="25">
        <v>1</v>
      </c>
      <c r="GK297" s="25">
        <v>1</v>
      </c>
      <c r="GL297" s="25">
        <v>1</v>
      </c>
      <c r="GM297" s="25">
        <v>1</v>
      </c>
      <c r="GN297" s="25">
        <v>1</v>
      </c>
      <c r="GO297" s="25">
        <v>1</v>
      </c>
      <c r="GP297" s="25">
        <v>1</v>
      </c>
      <c r="GQ297" s="25">
        <v>1</v>
      </c>
      <c r="GR297" s="25">
        <v>1</v>
      </c>
      <c r="GS297" s="25">
        <v>1</v>
      </c>
      <c r="GT297" s="25">
        <v>1</v>
      </c>
      <c r="GU297" s="25">
        <v>1</v>
      </c>
      <c r="GV297" s="25" t="s">
        <v>452</v>
      </c>
      <c r="GW297" s="25" t="s">
        <v>452</v>
      </c>
      <c r="GX297" s="25" t="s">
        <v>452</v>
      </c>
      <c r="GY297" s="25" t="s">
        <v>452</v>
      </c>
      <c r="GZ297" s="25" t="s">
        <v>452</v>
      </c>
      <c r="HA297" s="25" t="s">
        <v>452</v>
      </c>
      <c r="HB297" s="25" t="s">
        <v>452</v>
      </c>
      <c r="HC297" s="25" t="s">
        <v>452</v>
      </c>
      <c r="HD297" s="25" t="s">
        <v>452</v>
      </c>
      <c r="HE297" s="25" t="s">
        <v>452</v>
      </c>
      <c r="HF297" s="25" t="s">
        <v>452</v>
      </c>
      <c r="HG297" s="25" t="s">
        <v>452</v>
      </c>
      <c r="HH297" s="25" t="s">
        <v>452</v>
      </c>
      <c r="HI297" s="25"/>
      <c r="HJ297" s="25"/>
      <c r="HK297" s="25"/>
      <c r="HL297" s="25"/>
      <c r="HM297" s="84"/>
      <c r="HN297" s="84"/>
      <c r="HO297" s="84"/>
      <c r="HP297" s="84"/>
      <c r="HQ297" s="84"/>
      <c r="HR297" s="84"/>
      <c r="HS297" s="84"/>
      <c r="HT297" s="84"/>
      <c r="HU297" s="13"/>
      <c r="HV297" s="13"/>
      <c r="HW297" s="32"/>
      <c r="HX297" s="55"/>
      <c r="HY297" s="55"/>
      <c r="HZ297" s="55"/>
      <c r="IA297" s="55"/>
      <c r="IB297" s="55"/>
      <c r="IC297" s="55"/>
      <c r="ID297" s="55"/>
      <c r="IE297" s="55"/>
      <c r="IF297" s="107">
        <v>20595.689999999999</v>
      </c>
      <c r="IG297" s="107">
        <v>24002.41</v>
      </c>
      <c r="IH297" s="250">
        <f t="shared" si="134"/>
        <v>0</v>
      </c>
      <c r="II297" s="55"/>
      <c r="IJ297" s="55"/>
      <c r="IK297" s="55"/>
      <c r="IL297" s="55"/>
      <c r="IM297" s="55"/>
      <c r="IN297" s="55"/>
      <c r="IO297" s="55"/>
      <c r="IP297" s="55"/>
      <c r="IQ297" s="55"/>
      <c r="IR297" s="55"/>
      <c r="IS297" s="55"/>
      <c r="IT297" s="55"/>
      <c r="IU297" s="55"/>
      <c r="IV297" s="55"/>
      <c r="IW297" s="55"/>
      <c r="IX297" s="55"/>
      <c r="IY297" s="55"/>
      <c r="IZ297" s="55"/>
      <c r="JA297" s="55"/>
      <c r="JB297" s="55"/>
      <c r="JC297" s="55"/>
      <c r="JD297" s="55">
        <v>2017</v>
      </c>
    </row>
    <row r="298" spans="1:264" s="5" customFormat="1" ht="20.100000000000001" hidden="1" customHeight="1">
      <c r="A298" s="26" t="s">
        <v>103</v>
      </c>
      <c r="B298" s="26" t="s">
        <v>203</v>
      </c>
      <c r="C298" s="13" t="s">
        <v>349</v>
      </c>
      <c r="D298" s="13" t="s">
        <v>380</v>
      </c>
      <c r="E298" s="16" t="s">
        <v>360</v>
      </c>
      <c r="F298" s="13" t="s">
        <v>383</v>
      </c>
      <c r="G298" s="39" t="s">
        <v>354</v>
      </c>
      <c r="H298" s="13" t="s">
        <v>1516</v>
      </c>
      <c r="I298" s="313" t="s">
        <v>115</v>
      </c>
      <c r="J298" s="26">
        <v>6</v>
      </c>
      <c r="K298" s="49" t="s">
        <v>375</v>
      </c>
      <c r="L298" s="314" t="s">
        <v>278</v>
      </c>
      <c r="M298" s="14" t="s">
        <v>279</v>
      </c>
      <c r="N298" s="43"/>
      <c r="O298" s="13" t="s">
        <v>206</v>
      </c>
      <c r="P298" s="13" t="s">
        <v>4</v>
      </c>
      <c r="Q298" s="22" t="s">
        <v>1118</v>
      </c>
      <c r="R298" s="314" t="s">
        <v>278</v>
      </c>
      <c r="S298" s="22" t="s">
        <v>853</v>
      </c>
      <c r="T298" s="13" t="s">
        <v>1387</v>
      </c>
      <c r="U298" s="22" t="s">
        <v>477</v>
      </c>
      <c r="V298" s="24">
        <v>131197984001</v>
      </c>
      <c r="W298" s="13" t="s">
        <v>570</v>
      </c>
      <c r="X298" s="13" t="s">
        <v>570</v>
      </c>
      <c r="Y298" s="13" t="s">
        <v>503</v>
      </c>
      <c r="Z298" s="13" t="s">
        <v>503</v>
      </c>
      <c r="AA298" s="29"/>
      <c r="AB298" s="29">
        <v>17000</v>
      </c>
      <c r="AC298" s="29">
        <v>0</v>
      </c>
      <c r="AD298" s="29">
        <v>17683.103999999999</v>
      </c>
      <c r="AE298" s="29">
        <f>AK298-AB298</f>
        <v>683.09999999999854</v>
      </c>
      <c r="AF298" s="29">
        <f t="shared" si="121"/>
        <v>18366.203999999998</v>
      </c>
      <c r="AG298" s="25">
        <v>0.12</v>
      </c>
      <c r="AH298" s="29">
        <f t="shared" si="131"/>
        <v>2121.9724799999999</v>
      </c>
      <c r="AI298" s="29">
        <f t="shared" si="132"/>
        <v>81.971999999999824</v>
      </c>
      <c r="AJ298" s="29">
        <f t="shared" si="133"/>
        <v>20570.14848</v>
      </c>
      <c r="AK298" s="29">
        <v>17683.099999999999</v>
      </c>
      <c r="AL298" s="29">
        <v>0</v>
      </c>
      <c r="AM298" s="126"/>
      <c r="AN298" s="29"/>
      <c r="AO298" s="29">
        <v>17683.103999999999</v>
      </c>
      <c r="AP298" s="29"/>
      <c r="AQ298" s="29">
        <v>17683.103999999999</v>
      </c>
      <c r="AR298" s="29"/>
      <c r="AS298" s="29"/>
      <c r="AT298" s="29"/>
      <c r="AU298" s="29"/>
      <c r="AV298" s="29"/>
      <c r="AW298" s="29"/>
      <c r="AX298" s="29"/>
      <c r="AY298" s="29"/>
      <c r="AZ298" s="29"/>
      <c r="BA298" s="29"/>
      <c r="BB298" s="29"/>
      <c r="BC298" s="29"/>
      <c r="BD298" s="29"/>
      <c r="BE298" s="29"/>
      <c r="BF298" s="29">
        <f t="shared" si="137"/>
        <v>-683.10399999999936</v>
      </c>
      <c r="BG298" s="29">
        <f t="shared" si="130"/>
        <v>-683.10399999999936</v>
      </c>
      <c r="BH298" s="29"/>
      <c r="BI298" s="23" t="s">
        <v>570</v>
      </c>
      <c r="BJ298" s="23" t="s">
        <v>570</v>
      </c>
      <c r="BK298" s="23"/>
      <c r="BL298" s="23"/>
      <c r="BM298" s="23"/>
      <c r="BN298" s="13"/>
      <c r="BO298" s="13"/>
      <c r="BP298" s="13"/>
      <c r="BQ298" s="13"/>
      <c r="BR298" s="13"/>
      <c r="BS298" s="13"/>
      <c r="BT298" s="13"/>
      <c r="BU298" s="13"/>
      <c r="BV298" s="13"/>
      <c r="BW298" s="13" t="s">
        <v>570</v>
      </c>
      <c r="BX298" s="13"/>
      <c r="BY298" s="13"/>
      <c r="BZ298" s="13"/>
      <c r="CA298" s="23">
        <v>42590</v>
      </c>
      <c r="CB298" s="224" t="s">
        <v>570</v>
      </c>
      <c r="CC298" s="224" t="s">
        <v>570</v>
      </c>
      <c r="CD298" s="224" t="s">
        <v>570</v>
      </c>
      <c r="CE298" s="13"/>
      <c r="CF298" s="13"/>
      <c r="CG298" s="13"/>
      <c r="CH298" s="13"/>
      <c r="CI298" s="13"/>
      <c r="CJ298" s="13"/>
      <c r="CK298" s="13"/>
      <c r="CL298" s="13"/>
      <c r="CM298" s="13"/>
      <c r="CN298" s="13"/>
      <c r="CO298" s="13"/>
      <c r="CP298" s="13"/>
      <c r="CQ298" s="13"/>
      <c r="CR298" s="13"/>
      <c r="CS298" s="29" t="s">
        <v>570</v>
      </c>
      <c r="CT298" s="29" t="s">
        <v>570</v>
      </c>
      <c r="CU298" s="29" t="s">
        <v>570</v>
      </c>
      <c r="CV298" s="23"/>
      <c r="CW298" s="13"/>
      <c r="CX298" s="184" t="s">
        <v>1459</v>
      </c>
      <c r="CY298" s="99">
        <v>42832</v>
      </c>
      <c r="CZ298" s="79">
        <v>11788.72</v>
      </c>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92">
        <f t="shared" si="136"/>
        <v>11788.72</v>
      </c>
      <c r="DZ298" s="13"/>
      <c r="EA298" s="13"/>
      <c r="EB298" s="13"/>
      <c r="EC298" s="13"/>
      <c r="ED298" s="13"/>
      <c r="EE298" s="13"/>
      <c r="EF298" s="13"/>
      <c r="EG298" s="13">
        <v>180</v>
      </c>
      <c r="EH298" s="13" t="s">
        <v>548</v>
      </c>
      <c r="EI298" s="13" t="s">
        <v>503</v>
      </c>
      <c r="EJ298" s="13" t="s">
        <v>503</v>
      </c>
      <c r="EK298" s="13"/>
      <c r="EL298" s="13"/>
      <c r="EM298" s="13"/>
      <c r="EN298" s="13"/>
      <c r="EO298" s="13"/>
      <c r="EP298" s="13"/>
      <c r="EQ298" s="13"/>
      <c r="ER298" s="13"/>
      <c r="ES298" s="13"/>
      <c r="ET298" s="13"/>
      <c r="EU298" s="13"/>
      <c r="EV298" s="13"/>
      <c r="EW298" s="13"/>
      <c r="EX298" s="13"/>
      <c r="EY298" s="13"/>
      <c r="EZ298" s="13"/>
      <c r="FA298" s="13"/>
      <c r="FB298" s="13"/>
      <c r="FC298" s="13"/>
      <c r="FD298" s="13"/>
      <c r="FE298" s="13"/>
      <c r="FF298" s="13"/>
      <c r="FG298" s="13"/>
      <c r="FH298" s="25"/>
      <c r="FI298" s="25"/>
      <c r="FJ298" s="25"/>
      <c r="FK298" s="25"/>
      <c r="FL298" s="25"/>
      <c r="FM298" s="25"/>
      <c r="FN298" s="25"/>
      <c r="FO298" s="25"/>
      <c r="FP298" s="25"/>
      <c r="FQ298" s="25"/>
      <c r="FR298" s="25"/>
      <c r="FS298" s="25"/>
      <c r="FT298" s="25"/>
      <c r="FU298" s="25">
        <v>0.6</v>
      </c>
      <c r="FV298" s="25">
        <v>0.6</v>
      </c>
      <c r="FW298" s="25">
        <v>0.6</v>
      </c>
      <c r="FX298" s="25">
        <v>0.6</v>
      </c>
      <c r="FY298" s="25">
        <v>1</v>
      </c>
      <c r="FZ298" s="25">
        <v>1</v>
      </c>
      <c r="GA298" s="25">
        <v>1</v>
      </c>
      <c r="GB298" s="25">
        <v>1</v>
      </c>
      <c r="GC298" s="25">
        <v>1</v>
      </c>
      <c r="GD298" s="25">
        <v>1</v>
      </c>
      <c r="GE298" s="25">
        <v>1</v>
      </c>
      <c r="GF298" s="25">
        <v>1</v>
      </c>
      <c r="GG298" s="25">
        <v>1</v>
      </c>
      <c r="GH298" s="25">
        <v>1</v>
      </c>
      <c r="GI298" s="25">
        <v>1</v>
      </c>
      <c r="GJ298" s="25">
        <v>1</v>
      </c>
      <c r="GK298" s="25">
        <v>1</v>
      </c>
      <c r="GL298" s="25">
        <v>1</v>
      </c>
      <c r="GM298" s="25">
        <v>1</v>
      </c>
      <c r="GN298" s="25">
        <v>1</v>
      </c>
      <c r="GO298" s="25">
        <v>1</v>
      </c>
      <c r="GP298" s="25">
        <v>1</v>
      </c>
      <c r="GQ298" s="25">
        <v>1</v>
      </c>
      <c r="GR298" s="25">
        <v>1</v>
      </c>
      <c r="GS298" s="25">
        <v>1</v>
      </c>
      <c r="GT298" s="25">
        <v>1</v>
      </c>
      <c r="GU298" s="25">
        <v>1</v>
      </c>
      <c r="GV298" s="25" t="s">
        <v>1588</v>
      </c>
      <c r="GW298" s="25" t="s">
        <v>455</v>
      </c>
      <c r="GX298" s="25" t="s">
        <v>455</v>
      </c>
      <c r="GY298" s="25" t="s">
        <v>455</v>
      </c>
      <c r="GZ298" s="25" t="s">
        <v>455</v>
      </c>
      <c r="HA298" s="25" t="s">
        <v>455</v>
      </c>
      <c r="HB298" s="25" t="s">
        <v>455</v>
      </c>
      <c r="HC298" s="25" t="s">
        <v>455</v>
      </c>
      <c r="HD298" s="25" t="s">
        <v>455</v>
      </c>
      <c r="HE298" s="25" t="s">
        <v>455</v>
      </c>
      <c r="HF298" s="25" t="s">
        <v>455</v>
      </c>
      <c r="HG298" s="25" t="s">
        <v>455</v>
      </c>
      <c r="HH298" s="25" t="s">
        <v>455</v>
      </c>
      <c r="HI298" s="25"/>
      <c r="HJ298" s="25"/>
      <c r="HK298" s="25"/>
      <c r="HL298" s="25"/>
      <c r="HM298" s="84"/>
      <c r="HN298" s="84"/>
      <c r="HO298" s="84"/>
      <c r="HP298" s="84"/>
      <c r="HQ298" s="84"/>
      <c r="HR298" s="84"/>
      <c r="HS298" s="84"/>
      <c r="HT298" s="84"/>
      <c r="HU298" s="13"/>
      <c r="HV298" s="13"/>
      <c r="HW298" s="32"/>
      <c r="HX298" s="55"/>
      <c r="HY298" s="55"/>
      <c r="HZ298" s="55"/>
      <c r="IA298" s="55"/>
      <c r="IB298" s="55"/>
      <c r="IC298" s="55"/>
      <c r="ID298" s="55"/>
      <c r="IE298" s="55"/>
      <c r="IF298" s="107">
        <v>17000</v>
      </c>
      <c r="IG298" s="107">
        <v>17683.099999999999</v>
      </c>
      <c r="IH298" s="250">
        <f t="shared" si="134"/>
        <v>0</v>
      </c>
      <c r="II298" s="55"/>
      <c r="IJ298" s="55"/>
      <c r="IK298" s="55"/>
      <c r="IL298" s="55"/>
      <c r="IM298" s="55"/>
      <c r="IN298" s="55"/>
      <c r="IO298" s="55"/>
      <c r="IP298" s="55"/>
      <c r="IQ298" s="55"/>
      <c r="IR298" s="55"/>
      <c r="IS298" s="55"/>
      <c r="IT298" s="55"/>
      <c r="IU298" s="55"/>
      <c r="IV298" s="55"/>
      <c r="IW298" s="55"/>
      <c r="IX298" s="55"/>
      <c r="IY298" s="55"/>
      <c r="IZ298" s="55"/>
      <c r="JA298" s="55"/>
      <c r="JB298" s="55"/>
      <c r="JC298" s="55"/>
      <c r="JD298" s="55">
        <v>2017</v>
      </c>
    </row>
    <row r="299" spans="1:264" s="5" customFormat="1" ht="58.5" hidden="1" customHeight="1">
      <c r="A299" s="26" t="s">
        <v>103</v>
      </c>
      <c r="B299" s="26" t="s">
        <v>203</v>
      </c>
      <c r="C299" s="13" t="s">
        <v>349</v>
      </c>
      <c r="D299" s="13" t="s">
        <v>380</v>
      </c>
      <c r="E299" s="16" t="s">
        <v>360</v>
      </c>
      <c r="F299" s="13" t="s">
        <v>356</v>
      </c>
      <c r="G299" s="39" t="s">
        <v>354</v>
      </c>
      <c r="H299" s="13" t="s">
        <v>1516</v>
      </c>
      <c r="I299" s="313" t="s">
        <v>117</v>
      </c>
      <c r="J299" s="26">
        <v>7</v>
      </c>
      <c r="K299" s="49" t="s">
        <v>375</v>
      </c>
      <c r="L299" s="314" t="s">
        <v>280</v>
      </c>
      <c r="M299" s="15" t="s">
        <v>281</v>
      </c>
      <c r="N299" s="15"/>
      <c r="O299" s="13" t="s">
        <v>206</v>
      </c>
      <c r="P299" s="13" t="s">
        <v>4</v>
      </c>
      <c r="Q299" s="22" t="s">
        <v>794</v>
      </c>
      <c r="R299" s="22"/>
      <c r="S299" s="13"/>
      <c r="T299" s="13"/>
      <c r="U299" s="13"/>
      <c r="V299" s="13"/>
      <c r="W299" s="13" t="s">
        <v>570</v>
      </c>
      <c r="X299" s="13" t="s">
        <v>570</v>
      </c>
      <c r="Y299" s="13"/>
      <c r="Z299" s="13"/>
      <c r="AA299" s="29"/>
      <c r="AB299" s="29">
        <v>20000</v>
      </c>
      <c r="AC299" s="29">
        <v>0</v>
      </c>
      <c r="AD299" s="29">
        <v>24221.452566326301</v>
      </c>
      <c r="AE299" s="29">
        <v>0</v>
      </c>
      <c r="AF299" s="29">
        <f t="shared" si="121"/>
        <v>24221.452566326301</v>
      </c>
      <c r="AG299" s="25">
        <v>0.12</v>
      </c>
      <c r="AH299" s="29">
        <f t="shared" si="131"/>
        <v>2906.5743079591562</v>
      </c>
      <c r="AI299" s="29">
        <f t="shared" si="132"/>
        <v>0</v>
      </c>
      <c r="AJ299" s="29">
        <f t="shared" si="133"/>
        <v>27128.026874285461</v>
      </c>
      <c r="AK299" s="29">
        <v>0</v>
      </c>
      <c r="AL299" s="29">
        <f>AB299-AK299</f>
        <v>20000</v>
      </c>
      <c r="AM299" s="126"/>
      <c r="AN299" s="29"/>
      <c r="AO299" s="29">
        <v>24221.452566326258</v>
      </c>
      <c r="AP299" s="29"/>
      <c r="AQ299" s="29"/>
      <c r="AR299" s="29"/>
      <c r="AS299" s="29"/>
      <c r="AT299" s="29"/>
      <c r="AU299" s="29"/>
      <c r="AV299" s="29"/>
      <c r="AW299" s="29"/>
      <c r="AX299" s="29"/>
      <c r="AY299" s="29"/>
      <c r="AZ299" s="29"/>
      <c r="BA299" s="29"/>
      <c r="BB299" s="29"/>
      <c r="BC299" s="29"/>
      <c r="BD299" s="29"/>
      <c r="BE299" s="29"/>
      <c r="BF299" s="93"/>
      <c r="BG299" s="29">
        <f t="shared" si="130"/>
        <v>0</v>
      </c>
      <c r="BH299" s="29"/>
      <c r="BI299" s="29"/>
      <c r="BJ299" s="23" t="s">
        <v>570</v>
      </c>
      <c r="BK299" s="29"/>
      <c r="BL299" s="29"/>
      <c r="BM299" s="29"/>
      <c r="BN299" s="13"/>
      <c r="BO299" s="13"/>
      <c r="BP299" s="13"/>
      <c r="BQ299" s="13"/>
      <c r="BR299" s="13"/>
      <c r="BS299" s="13"/>
      <c r="BT299" s="13"/>
      <c r="BU299" s="13"/>
      <c r="BV299" s="13"/>
      <c r="BW299" s="13"/>
      <c r="BX299" s="13"/>
      <c r="BY299" s="13"/>
      <c r="BZ299" s="13"/>
      <c r="CA299" s="13"/>
      <c r="CB299" s="224" t="s">
        <v>570</v>
      </c>
      <c r="CC299" s="224" t="s">
        <v>570</v>
      </c>
      <c r="CD299" s="224" t="s">
        <v>570</v>
      </c>
      <c r="CE299" s="13"/>
      <c r="CF299" s="13"/>
      <c r="CG299" s="13"/>
      <c r="CH299" s="13"/>
      <c r="CI299" s="13"/>
      <c r="CJ299" s="13"/>
      <c r="CK299" s="13"/>
      <c r="CL299" s="13"/>
      <c r="CM299" s="13"/>
      <c r="CN299" s="13"/>
      <c r="CO299" s="13"/>
      <c r="CP299" s="13"/>
      <c r="CQ299" s="13"/>
      <c r="CR299" s="13"/>
      <c r="CS299" s="29" t="s">
        <v>570</v>
      </c>
      <c r="CT299" s="29" t="s">
        <v>570</v>
      </c>
      <c r="CU299" s="29" t="s">
        <v>570</v>
      </c>
      <c r="CV299" s="23"/>
      <c r="CW299" s="13"/>
      <c r="CX299" s="13"/>
      <c r="CY299" s="13"/>
      <c r="CZ299" s="9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92">
        <f t="shared" si="136"/>
        <v>0</v>
      </c>
      <c r="DZ299" s="13"/>
      <c r="EA299" s="13"/>
      <c r="EB299" s="13"/>
      <c r="EC299" s="13"/>
      <c r="ED299" s="13"/>
      <c r="EE299" s="13"/>
      <c r="EF299" s="13"/>
      <c r="EG299" s="13"/>
      <c r="EH299" s="13"/>
      <c r="EI299" s="13"/>
      <c r="EJ299" s="13"/>
      <c r="EK299" s="13"/>
      <c r="EL299" s="13"/>
      <c r="EM299" s="13"/>
      <c r="EN299" s="13"/>
      <c r="EO299" s="13"/>
      <c r="EP299" s="13"/>
      <c r="EQ299" s="13"/>
      <c r="ER299" s="13"/>
      <c r="ES299" s="13"/>
      <c r="ET299" s="13"/>
      <c r="EU299" s="13"/>
      <c r="EV299" s="13"/>
      <c r="EW299" s="13"/>
      <c r="EX299" s="13"/>
      <c r="EY299" s="13"/>
      <c r="EZ299" s="13"/>
      <c r="FA299" s="13"/>
      <c r="FB299" s="13"/>
      <c r="FC299" s="13"/>
      <c r="FD299" s="13"/>
      <c r="FE299" s="13"/>
      <c r="FF299" s="13"/>
      <c r="FG299" s="13"/>
      <c r="FH299" s="25"/>
      <c r="FI299" s="25"/>
      <c r="FJ299" s="25"/>
      <c r="FK299" s="25"/>
      <c r="FL299" s="25"/>
      <c r="FM299" s="25"/>
      <c r="FN299" s="25"/>
      <c r="FO299" s="25"/>
      <c r="FP299" s="25"/>
      <c r="FQ299" s="25"/>
      <c r="FR299" s="25"/>
      <c r="FS299" s="25">
        <v>1</v>
      </c>
      <c r="FT299" s="25">
        <v>1</v>
      </c>
      <c r="FU299" s="25">
        <v>1</v>
      </c>
      <c r="FV299" s="25">
        <v>1</v>
      </c>
      <c r="FW299" s="25">
        <v>1</v>
      </c>
      <c r="FX299" s="25">
        <v>1</v>
      </c>
      <c r="FY299" s="25">
        <v>1</v>
      </c>
      <c r="FZ299" s="25">
        <v>1</v>
      </c>
      <c r="GA299" s="25">
        <v>1</v>
      </c>
      <c r="GB299" s="25">
        <v>1</v>
      </c>
      <c r="GC299" s="25">
        <v>1</v>
      </c>
      <c r="GD299" s="25">
        <v>1</v>
      </c>
      <c r="GE299" s="25">
        <v>1</v>
      </c>
      <c r="GF299" s="25">
        <v>1</v>
      </c>
      <c r="GG299" s="25">
        <v>1</v>
      </c>
      <c r="GH299" s="25">
        <v>1</v>
      </c>
      <c r="GI299" s="25">
        <v>1</v>
      </c>
      <c r="GJ299" s="25">
        <v>1</v>
      </c>
      <c r="GK299" s="25">
        <v>1</v>
      </c>
      <c r="GL299" s="25">
        <v>1</v>
      </c>
      <c r="GM299" s="25">
        <v>1</v>
      </c>
      <c r="GN299" s="25">
        <v>1</v>
      </c>
      <c r="GO299" s="25">
        <v>1</v>
      </c>
      <c r="GP299" s="25">
        <v>1</v>
      </c>
      <c r="GQ299" s="25">
        <v>1</v>
      </c>
      <c r="GR299" s="25">
        <v>1</v>
      </c>
      <c r="GS299" s="25">
        <v>1</v>
      </c>
      <c r="GT299" s="25">
        <v>1</v>
      </c>
      <c r="GU299" s="25">
        <v>1</v>
      </c>
      <c r="GV299" s="25" t="s">
        <v>1588</v>
      </c>
      <c r="GW299" s="25" t="s">
        <v>1588</v>
      </c>
      <c r="GX299" s="25" t="s">
        <v>1588</v>
      </c>
      <c r="GY299" s="25" t="s">
        <v>1588</v>
      </c>
      <c r="GZ299" s="25" t="s">
        <v>1588</v>
      </c>
      <c r="HA299" s="25" t="s">
        <v>1588</v>
      </c>
      <c r="HB299" s="25" t="s">
        <v>1588</v>
      </c>
      <c r="HC299" s="25" t="s">
        <v>1889</v>
      </c>
      <c r="HD299" s="25" t="s">
        <v>1889</v>
      </c>
      <c r="HE299" s="25" t="s">
        <v>1889</v>
      </c>
      <c r="HF299" s="25" t="s">
        <v>1889</v>
      </c>
      <c r="HG299" s="25" t="s">
        <v>1889</v>
      </c>
      <c r="HH299" s="25" t="s">
        <v>1889</v>
      </c>
      <c r="HI299" s="25"/>
      <c r="HJ299" s="25"/>
      <c r="HK299" s="25"/>
      <c r="HL299" s="25"/>
      <c r="HM299" s="84"/>
      <c r="HN299" s="84"/>
      <c r="HO299" s="84"/>
      <c r="HP299" s="84"/>
      <c r="HQ299" s="84"/>
      <c r="HR299" s="84"/>
      <c r="HS299" s="84"/>
      <c r="HT299" s="84"/>
      <c r="HU299" s="13" t="s">
        <v>838</v>
      </c>
      <c r="HV299" s="13"/>
      <c r="HW299" s="32"/>
      <c r="HX299" s="55"/>
      <c r="HY299" s="55"/>
      <c r="HZ299" s="55"/>
      <c r="IA299" s="55"/>
      <c r="IB299" s="55"/>
      <c r="IC299" s="55"/>
      <c r="ID299" s="55"/>
      <c r="IE299" s="55"/>
      <c r="IF299" s="107">
        <v>20000</v>
      </c>
      <c r="IG299" s="107">
        <v>0</v>
      </c>
      <c r="IH299" s="250">
        <f t="shared" si="134"/>
        <v>0</v>
      </c>
      <c r="II299" s="55"/>
      <c r="IJ299" s="55"/>
      <c r="IK299" s="55"/>
      <c r="IL299" s="55"/>
      <c r="IM299" s="55"/>
      <c r="IN299" s="55"/>
      <c r="IO299" s="55"/>
      <c r="IP299" s="55"/>
      <c r="IQ299" s="55"/>
      <c r="IR299" s="55"/>
      <c r="IS299" s="55"/>
      <c r="IT299" s="55"/>
      <c r="IU299" s="55"/>
      <c r="IV299" s="55"/>
      <c r="IW299" s="55"/>
      <c r="IX299" s="55"/>
      <c r="IY299" s="55"/>
      <c r="IZ299" s="55"/>
      <c r="JA299" s="55"/>
      <c r="JB299" s="55"/>
      <c r="JC299" s="55"/>
      <c r="JD299" s="55">
        <v>2016</v>
      </c>
    </row>
    <row r="300" spans="1:264" s="5" customFormat="1" ht="63" hidden="1" customHeight="1">
      <c r="A300" s="26" t="s">
        <v>103</v>
      </c>
      <c r="B300" s="26" t="s">
        <v>203</v>
      </c>
      <c r="C300" s="13" t="s">
        <v>349</v>
      </c>
      <c r="D300" s="13" t="s">
        <v>380</v>
      </c>
      <c r="E300" s="16" t="s">
        <v>360</v>
      </c>
      <c r="F300" s="13" t="s">
        <v>383</v>
      </c>
      <c r="G300" s="39" t="s">
        <v>354</v>
      </c>
      <c r="H300" s="13" t="s">
        <v>1516</v>
      </c>
      <c r="I300" s="313" t="s">
        <v>117</v>
      </c>
      <c r="J300" s="26">
        <v>7</v>
      </c>
      <c r="K300" s="49" t="s">
        <v>375</v>
      </c>
      <c r="L300" s="314" t="s">
        <v>282</v>
      </c>
      <c r="M300" s="15" t="s">
        <v>283</v>
      </c>
      <c r="N300" s="43"/>
      <c r="O300" s="13" t="s">
        <v>206</v>
      </c>
      <c r="P300" s="13" t="s">
        <v>4</v>
      </c>
      <c r="Q300" s="22" t="s">
        <v>1118</v>
      </c>
      <c r="R300" s="314" t="s">
        <v>282</v>
      </c>
      <c r="S300" s="22" t="s">
        <v>854</v>
      </c>
      <c r="T300" s="13" t="s">
        <v>1387</v>
      </c>
      <c r="U300" s="22" t="s">
        <v>477</v>
      </c>
      <c r="V300" s="24">
        <v>1204753527001</v>
      </c>
      <c r="W300" s="13" t="s">
        <v>570</v>
      </c>
      <c r="X300" s="13" t="s">
        <v>570</v>
      </c>
      <c r="Y300" s="13"/>
      <c r="Z300" s="13"/>
      <c r="AA300" s="29"/>
      <c r="AB300" s="29">
        <v>9984.52</v>
      </c>
      <c r="AC300" s="29">
        <v>0</v>
      </c>
      <c r="AD300" s="29">
        <v>17902.144800000002</v>
      </c>
      <c r="AE300" s="29">
        <f>AK300-AB300</f>
        <v>7917.619999999999</v>
      </c>
      <c r="AF300" s="29">
        <f t="shared" si="121"/>
        <v>25819.764800000001</v>
      </c>
      <c r="AG300" s="25">
        <v>0.12</v>
      </c>
      <c r="AH300" s="29">
        <f t="shared" si="131"/>
        <v>2148.257376</v>
      </c>
      <c r="AI300" s="29">
        <f t="shared" si="132"/>
        <v>950.11439999999982</v>
      </c>
      <c r="AJ300" s="29">
        <f t="shared" si="133"/>
        <v>28918.136576000004</v>
      </c>
      <c r="AK300" s="29">
        <v>17902.14</v>
      </c>
      <c r="AL300" s="29">
        <v>0</v>
      </c>
      <c r="AM300" s="126"/>
      <c r="AN300" s="29"/>
      <c r="AO300" s="29">
        <v>17902.144800000002</v>
      </c>
      <c r="AP300" s="29"/>
      <c r="AQ300" s="29">
        <v>17902.144800000002</v>
      </c>
      <c r="AR300" s="29"/>
      <c r="AS300" s="29"/>
      <c r="AT300" s="29"/>
      <c r="AU300" s="29"/>
      <c r="AV300" s="29"/>
      <c r="AW300" s="29"/>
      <c r="AX300" s="29"/>
      <c r="AY300" s="29"/>
      <c r="AZ300" s="29"/>
      <c r="BA300" s="29"/>
      <c r="BB300" s="29"/>
      <c r="BC300" s="29"/>
      <c r="BD300" s="29"/>
      <c r="BE300" s="29"/>
      <c r="BF300" s="29">
        <f>AB300-AQ300</f>
        <v>-7917.6248000000014</v>
      </c>
      <c r="BG300" s="29">
        <f t="shared" si="130"/>
        <v>-7917.6248000000014</v>
      </c>
      <c r="BH300" s="29"/>
      <c r="BI300" s="23" t="s">
        <v>570</v>
      </c>
      <c r="BJ300" s="23" t="s">
        <v>570</v>
      </c>
      <c r="BK300" s="23"/>
      <c r="BL300" s="23"/>
      <c r="BM300" s="23"/>
      <c r="BN300" s="13"/>
      <c r="BO300" s="13"/>
      <c r="BP300" s="13"/>
      <c r="BQ300" s="13"/>
      <c r="BR300" s="13"/>
      <c r="BS300" s="13"/>
      <c r="BT300" s="13"/>
      <c r="BU300" s="13"/>
      <c r="BV300" s="13"/>
      <c r="BW300" s="13" t="s">
        <v>570</v>
      </c>
      <c r="BX300" s="13"/>
      <c r="BY300" s="13"/>
      <c r="BZ300" s="13"/>
      <c r="CA300" s="23">
        <v>42389</v>
      </c>
      <c r="CB300" s="224" t="s">
        <v>570</v>
      </c>
      <c r="CC300" s="224" t="s">
        <v>570</v>
      </c>
      <c r="CD300" s="224" t="s">
        <v>570</v>
      </c>
      <c r="CE300" s="13"/>
      <c r="CF300" s="13"/>
      <c r="CG300" s="13"/>
      <c r="CH300" s="13"/>
      <c r="CI300" s="13"/>
      <c r="CJ300" s="13"/>
      <c r="CK300" s="13"/>
      <c r="CL300" s="13"/>
      <c r="CM300" s="13"/>
      <c r="CN300" s="13"/>
      <c r="CO300" s="13"/>
      <c r="CP300" s="13"/>
      <c r="CQ300" s="13"/>
      <c r="CR300" s="13"/>
      <c r="CS300" s="29" t="s">
        <v>570</v>
      </c>
      <c r="CT300" s="29" t="s">
        <v>570</v>
      </c>
      <c r="CU300" s="29" t="s">
        <v>570</v>
      </c>
      <c r="CV300" s="23"/>
      <c r="CW300" s="13"/>
      <c r="CX300" s="23"/>
      <c r="CY300" s="23">
        <v>42673</v>
      </c>
      <c r="CZ300" s="93">
        <v>17902.14</v>
      </c>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92">
        <f t="shared" si="136"/>
        <v>17902.14</v>
      </c>
      <c r="DZ300" s="13"/>
      <c r="EA300" s="13"/>
      <c r="EB300" s="13"/>
      <c r="EC300" s="13"/>
      <c r="ED300" s="13"/>
      <c r="EE300" s="13"/>
      <c r="EF300" s="13"/>
      <c r="EG300" s="13">
        <v>180</v>
      </c>
      <c r="EH300" s="13" t="s">
        <v>548</v>
      </c>
      <c r="EI300" s="13" t="s">
        <v>503</v>
      </c>
      <c r="EJ300" s="13" t="s">
        <v>503</v>
      </c>
      <c r="EK300" s="13"/>
      <c r="EL300" s="13"/>
      <c r="EM300" s="13"/>
      <c r="EN300" s="13"/>
      <c r="EO300" s="13"/>
      <c r="EP300" s="13"/>
      <c r="EQ300" s="13"/>
      <c r="ER300" s="13"/>
      <c r="ES300" s="13"/>
      <c r="ET300" s="13"/>
      <c r="EU300" s="13"/>
      <c r="EV300" s="13"/>
      <c r="EW300" s="13"/>
      <c r="EX300" s="13"/>
      <c r="EY300" s="13"/>
      <c r="EZ300" s="13"/>
      <c r="FA300" s="13"/>
      <c r="FB300" s="13"/>
      <c r="FC300" s="13"/>
      <c r="FD300" s="13"/>
      <c r="FE300" s="13"/>
      <c r="FF300" s="13"/>
      <c r="FG300" s="13"/>
      <c r="FH300" s="25"/>
      <c r="FI300" s="25"/>
      <c r="FJ300" s="25"/>
      <c r="FK300" s="25"/>
      <c r="FL300" s="25"/>
      <c r="FM300" s="25"/>
      <c r="FN300" s="25"/>
      <c r="FO300" s="25"/>
      <c r="FP300" s="25"/>
      <c r="FQ300" s="25"/>
      <c r="FR300" s="25"/>
      <c r="FS300" s="25">
        <v>1</v>
      </c>
      <c r="FT300" s="25">
        <v>1</v>
      </c>
      <c r="FU300" s="25">
        <v>1</v>
      </c>
      <c r="FV300" s="25">
        <v>1</v>
      </c>
      <c r="FW300" s="25">
        <v>1</v>
      </c>
      <c r="FX300" s="25">
        <v>1</v>
      </c>
      <c r="FY300" s="25">
        <v>1</v>
      </c>
      <c r="FZ300" s="25">
        <v>1</v>
      </c>
      <c r="GA300" s="25">
        <v>1</v>
      </c>
      <c r="GB300" s="25">
        <v>1</v>
      </c>
      <c r="GC300" s="25">
        <v>1</v>
      </c>
      <c r="GD300" s="25">
        <v>1</v>
      </c>
      <c r="GE300" s="25">
        <v>1</v>
      </c>
      <c r="GF300" s="25">
        <v>1</v>
      </c>
      <c r="GG300" s="25">
        <v>1</v>
      </c>
      <c r="GH300" s="25">
        <v>1</v>
      </c>
      <c r="GI300" s="25">
        <v>1</v>
      </c>
      <c r="GJ300" s="25">
        <v>1</v>
      </c>
      <c r="GK300" s="25">
        <v>1</v>
      </c>
      <c r="GL300" s="25">
        <v>1</v>
      </c>
      <c r="GM300" s="25">
        <v>1</v>
      </c>
      <c r="GN300" s="25">
        <v>1</v>
      </c>
      <c r="GO300" s="25">
        <v>1</v>
      </c>
      <c r="GP300" s="25">
        <v>1</v>
      </c>
      <c r="GQ300" s="25">
        <v>1</v>
      </c>
      <c r="GR300" s="25">
        <v>1</v>
      </c>
      <c r="GS300" s="25">
        <v>1</v>
      </c>
      <c r="GT300" s="25">
        <v>1</v>
      </c>
      <c r="GU300" s="25">
        <v>1</v>
      </c>
      <c r="GV300" s="25" t="s">
        <v>455</v>
      </c>
      <c r="GW300" s="25" t="s">
        <v>455</v>
      </c>
      <c r="GX300" s="25" t="s">
        <v>455</v>
      </c>
      <c r="GY300" s="25" t="s">
        <v>455</v>
      </c>
      <c r="GZ300" s="25" t="s">
        <v>455</v>
      </c>
      <c r="HA300" s="25" t="s">
        <v>455</v>
      </c>
      <c r="HB300" s="25" t="s">
        <v>455</v>
      </c>
      <c r="HC300" s="25" t="s">
        <v>455</v>
      </c>
      <c r="HD300" s="25" t="s">
        <v>455</v>
      </c>
      <c r="HE300" s="25" t="s">
        <v>455</v>
      </c>
      <c r="HF300" s="25" t="s">
        <v>455</v>
      </c>
      <c r="HG300" s="25" t="s">
        <v>455</v>
      </c>
      <c r="HH300" s="25" t="s">
        <v>455</v>
      </c>
      <c r="HI300" s="25"/>
      <c r="HJ300" s="25"/>
      <c r="HK300" s="25"/>
      <c r="HL300" s="25"/>
      <c r="HM300" s="84"/>
      <c r="HN300" s="84"/>
      <c r="HO300" s="84"/>
      <c r="HP300" s="84"/>
      <c r="HQ300" s="84"/>
      <c r="HR300" s="84"/>
      <c r="HS300" s="84"/>
      <c r="HT300" s="84"/>
      <c r="HU300" s="13"/>
      <c r="HV300" s="13"/>
      <c r="HW300" s="32"/>
      <c r="HX300" s="55"/>
      <c r="HY300" s="55"/>
      <c r="HZ300" s="55"/>
      <c r="IA300" s="55"/>
      <c r="IB300" s="55"/>
      <c r="IC300" s="55"/>
      <c r="ID300" s="55"/>
      <c r="IE300" s="55"/>
      <c r="IF300" s="107">
        <v>9984.52</v>
      </c>
      <c r="IG300" s="107">
        <v>17902.14</v>
      </c>
      <c r="IH300" s="250">
        <f t="shared" si="134"/>
        <v>0</v>
      </c>
      <c r="II300" s="55"/>
      <c r="IJ300" s="55"/>
      <c r="IK300" s="55"/>
      <c r="IL300" s="55"/>
      <c r="IM300" s="55"/>
      <c r="IN300" s="55"/>
      <c r="IO300" s="55"/>
      <c r="IP300" s="55"/>
      <c r="IQ300" s="55"/>
      <c r="IR300" s="55"/>
      <c r="IS300" s="55"/>
      <c r="IT300" s="55"/>
      <c r="IU300" s="55"/>
      <c r="IV300" s="55"/>
      <c r="IW300" s="55"/>
      <c r="IX300" s="55"/>
      <c r="IY300" s="55"/>
      <c r="IZ300" s="55"/>
      <c r="JA300" s="55"/>
      <c r="JB300" s="55"/>
      <c r="JC300" s="55"/>
      <c r="JD300" s="55">
        <v>2016</v>
      </c>
    </row>
    <row r="301" spans="1:264" s="5" customFormat="1" ht="19.5" hidden="1" customHeight="1">
      <c r="A301" s="26" t="s">
        <v>9</v>
      </c>
      <c r="B301" s="26" t="s">
        <v>203</v>
      </c>
      <c r="C301" s="13" t="s">
        <v>349</v>
      </c>
      <c r="D301" s="13" t="s">
        <v>380</v>
      </c>
      <c r="E301" s="16" t="s">
        <v>360</v>
      </c>
      <c r="F301" s="13" t="s">
        <v>383</v>
      </c>
      <c r="G301" s="39" t="s">
        <v>354</v>
      </c>
      <c r="H301" s="28" t="s">
        <v>1559</v>
      </c>
      <c r="I301" s="69" t="s">
        <v>137</v>
      </c>
      <c r="J301" s="40">
        <v>7</v>
      </c>
      <c r="K301" s="49" t="s">
        <v>375</v>
      </c>
      <c r="L301" s="314" t="s">
        <v>627</v>
      </c>
      <c r="M301" s="14" t="s">
        <v>632</v>
      </c>
      <c r="N301" s="43"/>
      <c r="O301" s="13" t="s">
        <v>206</v>
      </c>
      <c r="P301" s="13" t="s">
        <v>4</v>
      </c>
      <c r="Q301" s="22" t="s">
        <v>794</v>
      </c>
      <c r="R301" s="314"/>
      <c r="S301" s="13"/>
      <c r="T301" s="13"/>
      <c r="U301" s="13"/>
      <c r="V301" s="13"/>
      <c r="W301" s="13" t="s">
        <v>570</v>
      </c>
      <c r="X301" s="13" t="s">
        <v>570</v>
      </c>
      <c r="Y301" s="13"/>
      <c r="Z301" s="13"/>
      <c r="AA301" s="29"/>
      <c r="AB301" s="29">
        <v>0</v>
      </c>
      <c r="AC301" s="29">
        <v>0</v>
      </c>
      <c r="AD301" s="29"/>
      <c r="AE301" s="29">
        <v>0</v>
      </c>
      <c r="AF301" s="29">
        <f t="shared" si="121"/>
        <v>0</v>
      </c>
      <c r="AG301" s="25">
        <v>0.12</v>
      </c>
      <c r="AH301" s="29">
        <f t="shared" si="131"/>
        <v>0</v>
      </c>
      <c r="AI301" s="29">
        <f t="shared" si="132"/>
        <v>0</v>
      </c>
      <c r="AJ301" s="29">
        <f t="shared" si="133"/>
        <v>0</v>
      </c>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f t="shared" si="130"/>
        <v>0</v>
      </c>
      <c r="BH301" s="29"/>
      <c r="BI301" s="29"/>
      <c r="BJ301" s="23" t="s">
        <v>570</v>
      </c>
      <c r="BK301" s="29"/>
      <c r="BL301" s="29"/>
      <c r="BM301" s="29"/>
      <c r="BN301" s="13"/>
      <c r="BO301" s="13"/>
      <c r="BP301" s="13"/>
      <c r="BQ301" s="13"/>
      <c r="BR301" s="13"/>
      <c r="BS301" s="13"/>
      <c r="BT301" s="13"/>
      <c r="BU301" s="13"/>
      <c r="BV301" s="13"/>
      <c r="BW301" s="13"/>
      <c r="BX301" s="13"/>
      <c r="BY301" s="13"/>
      <c r="BZ301" s="13"/>
      <c r="CA301" s="13"/>
      <c r="CB301" s="224" t="s">
        <v>570</v>
      </c>
      <c r="CC301" s="224" t="s">
        <v>570</v>
      </c>
      <c r="CD301" s="224" t="s">
        <v>570</v>
      </c>
      <c r="CE301" s="13"/>
      <c r="CF301" s="13"/>
      <c r="CG301" s="13"/>
      <c r="CH301" s="13"/>
      <c r="CI301" s="13"/>
      <c r="CJ301" s="13"/>
      <c r="CK301" s="13"/>
      <c r="CL301" s="13"/>
      <c r="CM301" s="13"/>
      <c r="CN301" s="13"/>
      <c r="CO301" s="13"/>
      <c r="CP301" s="13"/>
      <c r="CQ301" s="13"/>
      <c r="CR301" s="13"/>
      <c r="CS301" s="29" t="s">
        <v>570</v>
      </c>
      <c r="CT301" s="29" t="s">
        <v>570</v>
      </c>
      <c r="CU301" s="29" t="s">
        <v>570</v>
      </c>
      <c r="CV301" s="23"/>
      <c r="CW301" s="13"/>
      <c r="CX301" s="13"/>
      <c r="CY301" s="13"/>
      <c r="CZ301" s="9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92">
        <f t="shared" si="136"/>
        <v>0</v>
      </c>
      <c r="DZ301" s="13"/>
      <c r="EA301" s="13"/>
      <c r="EB301" s="13"/>
      <c r="EC301" s="13"/>
      <c r="ED301" s="13"/>
      <c r="EE301" s="13"/>
      <c r="EF301" s="13"/>
      <c r="EG301" s="13"/>
      <c r="EH301" s="13"/>
      <c r="EI301" s="13"/>
      <c r="EJ301" s="13"/>
      <c r="EK301" s="13"/>
      <c r="EL301" s="13"/>
      <c r="EM301" s="13"/>
      <c r="EN301" s="13"/>
      <c r="EO301" s="13"/>
      <c r="EP301" s="13"/>
      <c r="EQ301" s="13"/>
      <c r="ER301" s="13"/>
      <c r="ES301" s="13"/>
      <c r="ET301" s="13"/>
      <c r="EU301" s="13"/>
      <c r="EV301" s="13"/>
      <c r="EW301" s="13"/>
      <c r="EX301" s="13"/>
      <c r="EY301" s="13"/>
      <c r="EZ301" s="13"/>
      <c r="FA301" s="13"/>
      <c r="FB301" s="13"/>
      <c r="FC301" s="13"/>
      <c r="FD301" s="13"/>
      <c r="FE301" s="13"/>
      <c r="FF301" s="13"/>
      <c r="FG301" s="13"/>
      <c r="FH301" s="13"/>
      <c r="FI301" s="13"/>
      <c r="FJ301" s="13"/>
      <c r="FK301" s="13"/>
      <c r="FL301" s="13"/>
      <c r="FM301" s="13"/>
      <c r="FN301" s="13"/>
      <c r="FO301" s="13"/>
      <c r="FP301" s="13"/>
      <c r="FQ301" s="13"/>
      <c r="FR301" s="13"/>
      <c r="FS301" s="25">
        <v>1</v>
      </c>
      <c r="FT301" s="25">
        <v>1</v>
      </c>
      <c r="FU301" s="25">
        <v>1</v>
      </c>
      <c r="FV301" s="25">
        <v>1</v>
      </c>
      <c r="FW301" s="25">
        <v>1</v>
      </c>
      <c r="FX301" s="25">
        <v>1</v>
      </c>
      <c r="FY301" s="25">
        <v>1</v>
      </c>
      <c r="FZ301" s="25">
        <v>1</v>
      </c>
      <c r="GA301" s="25">
        <v>1</v>
      </c>
      <c r="GB301" s="25">
        <v>1</v>
      </c>
      <c r="GC301" s="25">
        <v>1</v>
      </c>
      <c r="GD301" s="25">
        <v>1</v>
      </c>
      <c r="GE301" s="25">
        <v>1</v>
      </c>
      <c r="GF301" s="25">
        <v>1</v>
      </c>
      <c r="GG301" s="25">
        <v>1</v>
      </c>
      <c r="GH301" s="25">
        <v>1</v>
      </c>
      <c r="GI301" s="25">
        <v>1</v>
      </c>
      <c r="GJ301" s="25">
        <v>1</v>
      </c>
      <c r="GK301" s="25">
        <v>1</v>
      </c>
      <c r="GL301" s="25">
        <v>1</v>
      </c>
      <c r="GM301" s="25">
        <v>1</v>
      </c>
      <c r="GN301" s="25">
        <v>1</v>
      </c>
      <c r="GO301" s="25">
        <v>1</v>
      </c>
      <c r="GP301" s="25">
        <v>1</v>
      </c>
      <c r="GQ301" s="25">
        <v>1</v>
      </c>
      <c r="GR301" s="25">
        <v>1</v>
      </c>
      <c r="GS301" s="25">
        <v>1</v>
      </c>
      <c r="GT301" s="25">
        <v>1</v>
      </c>
      <c r="GU301" s="25">
        <v>1</v>
      </c>
      <c r="GV301" s="25" t="s">
        <v>1588</v>
      </c>
      <c r="GW301" s="25" t="s">
        <v>1588</v>
      </c>
      <c r="GX301" s="25" t="s">
        <v>1588</v>
      </c>
      <c r="GY301" s="25" t="s">
        <v>1588</v>
      </c>
      <c r="GZ301" s="25" t="s">
        <v>1588</v>
      </c>
      <c r="HA301" s="25" t="s">
        <v>1588</v>
      </c>
      <c r="HB301" s="25" t="s">
        <v>1588</v>
      </c>
      <c r="HC301" s="25" t="s">
        <v>1588</v>
      </c>
      <c r="HD301" s="25" t="s">
        <v>1588</v>
      </c>
      <c r="HE301" s="25" t="s">
        <v>1588</v>
      </c>
      <c r="HF301" s="25" t="s">
        <v>1588</v>
      </c>
      <c r="HG301" s="25" t="s">
        <v>1588</v>
      </c>
      <c r="HH301" s="25" t="s">
        <v>1588</v>
      </c>
      <c r="HI301" s="25"/>
      <c r="HJ301" s="25"/>
      <c r="HK301" s="25"/>
      <c r="HL301" s="25"/>
      <c r="HM301" s="84"/>
      <c r="HN301" s="84"/>
      <c r="HO301" s="84"/>
      <c r="HP301" s="84"/>
      <c r="HQ301" s="84"/>
      <c r="HR301" s="84"/>
      <c r="HS301" s="84"/>
      <c r="HT301" s="84"/>
      <c r="HU301" s="13" t="s">
        <v>642</v>
      </c>
      <c r="HV301" s="13"/>
      <c r="HW301" s="32"/>
      <c r="HX301" s="23"/>
      <c r="HY301" s="55"/>
      <c r="HZ301" s="55"/>
      <c r="IA301" s="55"/>
      <c r="IB301" s="55"/>
      <c r="IC301" s="55"/>
      <c r="ID301" s="55"/>
      <c r="IE301" s="55"/>
      <c r="IF301" s="107">
        <v>0</v>
      </c>
      <c r="IG301" s="107"/>
      <c r="IH301" s="250">
        <f t="shared" si="134"/>
        <v>0</v>
      </c>
      <c r="II301" s="55"/>
      <c r="IJ301" s="55"/>
      <c r="IK301" s="55"/>
      <c r="IL301" s="55"/>
      <c r="IM301" s="55"/>
      <c r="IN301" s="55"/>
      <c r="IO301" s="55"/>
      <c r="IP301" s="55"/>
      <c r="IQ301" s="55"/>
      <c r="IR301" s="55"/>
      <c r="IS301" s="55"/>
      <c r="IT301" s="55"/>
      <c r="IU301" s="55"/>
      <c r="IV301" s="55"/>
      <c r="IW301" s="55"/>
      <c r="IX301" s="55"/>
      <c r="IY301" s="55"/>
      <c r="IZ301" s="55"/>
      <c r="JA301" s="55"/>
      <c r="JB301" s="55"/>
      <c r="JC301" s="55"/>
      <c r="JD301" s="55">
        <v>2017</v>
      </c>
    </row>
    <row r="302" spans="1:264" s="10" customFormat="1" ht="19.5" hidden="1" customHeight="1">
      <c r="A302" s="26" t="s">
        <v>9</v>
      </c>
      <c r="B302" s="26" t="s">
        <v>203</v>
      </c>
      <c r="C302" s="13" t="s">
        <v>349</v>
      </c>
      <c r="D302" s="13" t="s">
        <v>380</v>
      </c>
      <c r="E302" s="16" t="s">
        <v>360</v>
      </c>
      <c r="F302" s="13" t="s">
        <v>383</v>
      </c>
      <c r="G302" s="39" t="s">
        <v>354</v>
      </c>
      <c r="H302" s="28" t="s">
        <v>1559</v>
      </c>
      <c r="I302" s="20" t="s">
        <v>131</v>
      </c>
      <c r="J302" s="40">
        <v>4</v>
      </c>
      <c r="K302" s="49" t="s">
        <v>375</v>
      </c>
      <c r="L302" s="314" t="s">
        <v>627</v>
      </c>
      <c r="M302" s="14" t="s">
        <v>1805</v>
      </c>
      <c r="N302" s="43"/>
      <c r="O302" s="13" t="s">
        <v>206</v>
      </c>
      <c r="P302" s="13" t="s">
        <v>4</v>
      </c>
      <c r="Q302" s="22" t="s">
        <v>794</v>
      </c>
      <c r="R302" s="314"/>
      <c r="S302" s="13"/>
      <c r="T302" s="13"/>
      <c r="U302" s="13"/>
      <c r="V302" s="13"/>
      <c r="W302" s="13" t="s">
        <v>570</v>
      </c>
      <c r="X302" s="13" t="s">
        <v>570</v>
      </c>
      <c r="Y302" s="13"/>
      <c r="Z302" s="13"/>
      <c r="AA302" s="29"/>
      <c r="AB302" s="29">
        <v>0</v>
      </c>
      <c r="AC302" s="29">
        <v>0</v>
      </c>
      <c r="AD302" s="29"/>
      <c r="AE302" s="29">
        <v>0</v>
      </c>
      <c r="AF302" s="29">
        <f t="shared" si="121"/>
        <v>0</v>
      </c>
      <c r="AG302" s="25">
        <v>0.12</v>
      </c>
      <c r="AH302" s="29">
        <f t="shared" si="131"/>
        <v>0</v>
      </c>
      <c r="AI302" s="29">
        <f t="shared" si="132"/>
        <v>0</v>
      </c>
      <c r="AJ302" s="29">
        <f t="shared" si="133"/>
        <v>0</v>
      </c>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f t="shared" si="130"/>
        <v>0</v>
      </c>
      <c r="BH302" s="29"/>
      <c r="BI302" s="29"/>
      <c r="BJ302" s="23" t="s">
        <v>570</v>
      </c>
      <c r="BK302" s="29"/>
      <c r="BL302" s="29"/>
      <c r="BM302" s="29"/>
      <c r="BN302" s="13"/>
      <c r="BO302" s="13"/>
      <c r="BP302" s="13"/>
      <c r="BQ302" s="13"/>
      <c r="BR302" s="13"/>
      <c r="BS302" s="13"/>
      <c r="BT302" s="13"/>
      <c r="BU302" s="13"/>
      <c r="BV302" s="13"/>
      <c r="BW302" s="13"/>
      <c r="BX302" s="13"/>
      <c r="BY302" s="13"/>
      <c r="BZ302" s="13"/>
      <c r="CA302" s="13"/>
      <c r="CB302" s="224" t="s">
        <v>570</v>
      </c>
      <c r="CC302" s="224" t="s">
        <v>570</v>
      </c>
      <c r="CD302" s="224" t="s">
        <v>570</v>
      </c>
      <c r="CE302" s="13"/>
      <c r="CF302" s="13"/>
      <c r="CG302" s="13"/>
      <c r="CH302" s="13"/>
      <c r="CI302" s="13"/>
      <c r="CJ302" s="13"/>
      <c r="CK302" s="13"/>
      <c r="CL302" s="13"/>
      <c r="CM302" s="13"/>
      <c r="CN302" s="13"/>
      <c r="CO302" s="13"/>
      <c r="CP302" s="13"/>
      <c r="CQ302" s="13"/>
      <c r="CR302" s="13"/>
      <c r="CS302" s="29" t="s">
        <v>570</v>
      </c>
      <c r="CT302" s="29" t="s">
        <v>570</v>
      </c>
      <c r="CU302" s="29" t="s">
        <v>570</v>
      </c>
      <c r="CV302" s="23"/>
      <c r="CW302" s="13"/>
      <c r="CX302" s="13"/>
      <c r="CY302" s="13"/>
      <c r="CZ302" s="9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92">
        <f t="shared" si="136"/>
        <v>0</v>
      </c>
      <c r="DZ302" s="13"/>
      <c r="EA302" s="13"/>
      <c r="EB302" s="13"/>
      <c r="EC302" s="13"/>
      <c r="ED302" s="13"/>
      <c r="EE302" s="13"/>
      <c r="EF302" s="13"/>
      <c r="EG302" s="13"/>
      <c r="EH302" s="13"/>
      <c r="EI302" s="13"/>
      <c r="EJ302" s="13"/>
      <c r="EK302" s="13"/>
      <c r="EL302" s="13"/>
      <c r="EM302" s="13"/>
      <c r="EN302" s="13"/>
      <c r="EO302" s="13"/>
      <c r="EP302" s="13"/>
      <c r="EQ302" s="13"/>
      <c r="ER302" s="13"/>
      <c r="ES302" s="13"/>
      <c r="ET302" s="13"/>
      <c r="EU302" s="13"/>
      <c r="EV302" s="13"/>
      <c r="EW302" s="13"/>
      <c r="EX302" s="13"/>
      <c r="EY302" s="13"/>
      <c r="EZ302" s="13"/>
      <c r="FA302" s="13"/>
      <c r="FB302" s="13"/>
      <c r="FC302" s="13"/>
      <c r="FD302" s="13"/>
      <c r="FE302" s="13"/>
      <c r="FF302" s="13"/>
      <c r="FG302" s="13"/>
      <c r="FH302" s="13"/>
      <c r="FI302" s="13"/>
      <c r="FJ302" s="13"/>
      <c r="FK302" s="13"/>
      <c r="FL302" s="13"/>
      <c r="FM302" s="13"/>
      <c r="FN302" s="13"/>
      <c r="FO302" s="13"/>
      <c r="FP302" s="13"/>
      <c r="FQ302" s="13"/>
      <c r="FR302" s="13"/>
      <c r="FS302" s="25">
        <v>1</v>
      </c>
      <c r="FT302" s="25">
        <v>1</v>
      </c>
      <c r="FU302" s="25">
        <v>1</v>
      </c>
      <c r="FV302" s="25">
        <v>1</v>
      </c>
      <c r="FW302" s="25">
        <v>1</v>
      </c>
      <c r="FX302" s="25">
        <v>1</v>
      </c>
      <c r="FY302" s="25">
        <v>1</v>
      </c>
      <c r="FZ302" s="25">
        <v>1</v>
      </c>
      <c r="GA302" s="25">
        <v>1</v>
      </c>
      <c r="GB302" s="25">
        <v>1</v>
      </c>
      <c r="GC302" s="25">
        <v>1</v>
      </c>
      <c r="GD302" s="25">
        <v>1</v>
      </c>
      <c r="GE302" s="25">
        <v>1</v>
      </c>
      <c r="GF302" s="25">
        <v>1</v>
      </c>
      <c r="GG302" s="25">
        <v>1</v>
      </c>
      <c r="GH302" s="25">
        <v>1</v>
      </c>
      <c r="GI302" s="25">
        <v>1</v>
      </c>
      <c r="GJ302" s="25">
        <v>1</v>
      </c>
      <c r="GK302" s="25">
        <v>1</v>
      </c>
      <c r="GL302" s="25">
        <v>1</v>
      </c>
      <c r="GM302" s="25">
        <v>1</v>
      </c>
      <c r="GN302" s="25">
        <v>1</v>
      </c>
      <c r="GO302" s="25">
        <v>1</v>
      </c>
      <c r="GP302" s="25">
        <v>1</v>
      </c>
      <c r="GQ302" s="25">
        <v>1</v>
      </c>
      <c r="GR302" s="25">
        <v>1</v>
      </c>
      <c r="GS302" s="25">
        <v>1</v>
      </c>
      <c r="GT302" s="25">
        <v>1</v>
      </c>
      <c r="GU302" s="25">
        <v>1</v>
      </c>
      <c r="GV302" s="25" t="s">
        <v>1588</v>
      </c>
      <c r="GW302" s="25" t="s">
        <v>1588</v>
      </c>
      <c r="GX302" s="25" t="s">
        <v>1588</v>
      </c>
      <c r="GY302" s="25" t="s">
        <v>1588</v>
      </c>
      <c r="GZ302" s="25" t="s">
        <v>1588</v>
      </c>
      <c r="HA302" s="25" t="s">
        <v>1588</v>
      </c>
      <c r="HB302" s="25" t="s">
        <v>1588</v>
      </c>
      <c r="HC302" s="25" t="s">
        <v>1588</v>
      </c>
      <c r="HD302" s="25" t="s">
        <v>1588</v>
      </c>
      <c r="HE302" s="25" t="s">
        <v>1588</v>
      </c>
      <c r="HF302" s="25" t="s">
        <v>1588</v>
      </c>
      <c r="HG302" s="25" t="s">
        <v>1588</v>
      </c>
      <c r="HH302" s="25" t="s">
        <v>1588</v>
      </c>
      <c r="HI302" s="25"/>
      <c r="HJ302" s="25"/>
      <c r="HK302" s="25"/>
      <c r="HL302" s="25"/>
      <c r="HM302" s="84"/>
      <c r="HN302" s="84"/>
      <c r="HO302" s="84"/>
      <c r="HP302" s="84"/>
      <c r="HQ302" s="84"/>
      <c r="HR302" s="84"/>
      <c r="HS302" s="84"/>
      <c r="HT302" s="84"/>
      <c r="HU302" s="13" t="s">
        <v>642</v>
      </c>
      <c r="HV302" s="13"/>
      <c r="HW302" s="32"/>
      <c r="HX302" s="23"/>
      <c r="HY302" s="55"/>
      <c r="HZ302" s="55"/>
      <c r="IA302" s="251"/>
      <c r="IB302" s="251"/>
      <c r="IC302" s="251"/>
      <c r="ID302" s="251"/>
      <c r="IE302" s="251"/>
      <c r="IF302" s="107">
        <v>0</v>
      </c>
      <c r="IG302" s="107"/>
      <c r="IH302" s="250">
        <f t="shared" si="134"/>
        <v>0</v>
      </c>
      <c r="II302" s="251"/>
      <c r="IJ302" s="251"/>
      <c r="IK302" s="251"/>
      <c r="IL302" s="251"/>
      <c r="IM302" s="251"/>
      <c r="IN302" s="251"/>
      <c r="IO302" s="251"/>
      <c r="IP302" s="251"/>
      <c r="IQ302" s="251"/>
      <c r="IR302" s="251"/>
      <c r="IS302" s="251"/>
      <c r="IT302" s="251"/>
      <c r="IU302" s="251"/>
      <c r="IV302" s="251"/>
      <c r="IW302" s="251"/>
      <c r="IX302" s="251"/>
      <c r="IY302" s="251"/>
      <c r="IZ302" s="251"/>
      <c r="JA302" s="251"/>
      <c r="JB302" s="251"/>
      <c r="JC302" s="251"/>
      <c r="JD302" s="251">
        <v>2017</v>
      </c>
    </row>
    <row r="303" spans="1:264" s="10" customFormat="1" ht="27.75" hidden="1" customHeight="1">
      <c r="A303" s="26" t="s">
        <v>9</v>
      </c>
      <c r="B303" s="26" t="s">
        <v>203</v>
      </c>
      <c r="C303" s="13" t="s">
        <v>349</v>
      </c>
      <c r="D303" s="13" t="s">
        <v>380</v>
      </c>
      <c r="E303" s="16" t="s">
        <v>360</v>
      </c>
      <c r="F303" s="13" t="s">
        <v>383</v>
      </c>
      <c r="G303" s="39" t="s">
        <v>354</v>
      </c>
      <c r="H303" s="28" t="s">
        <v>1559</v>
      </c>
      <c r="I303" s="20" t="s">
        <v>133</v>
      </c>
      <c r="J303" s="40">
        <v>5</v>
      </c>
      <c r="K303" s="49" t="s">
        <v>375</v>
      </c>
      <c r="L303" s="314" t="s">
        <v>627</v>
      </c>
      <c r="M303" s="14" t="s">
        <v>1806</v>
      </c>
      <c r="N303" s="43"/>
      <c r="O303" s="13" t="s">
        <v>206</v>
      </c>
      <c r="P303" s="13" t="s">
        <v>4</v>
      </c>
      <c r="Q303" s="22" t="s">
        <v>794</v>
      </c>
      <c r="R303" s="314"/>
      <c r="S303" s="13"/>
      <c r="T303" s="13"/>
      <c r="U303" s="13"/>
      <c r="V303" s="13"/>
      <c r="W303" s="13" t="s">
        <v>570</v>
      </c>
      <c r="X303" s="13" t="s">
        <v>570</v>
      </c>
      <c r="Y303" s="13"/>
      <c r="Z303" s="13"/>
      <c r="AA303" s="29"/>
      <c r="AB303" s="29">
        <v>0</v>
      </c>
      <c r="AC303" s="29">
        <v>0</v>
      </c>
      <c r="AD303" s="29"/>
      <c r="AE303" s="29">
        <v>0</v>
      </c>
      <c r="AF303" s="29">
        <f t="shared" si="121"/>
        <v>0</v>
      </c>
      <c r="AG303" s="25">
        <v>0.12</v>
      </c>
      <c r="AH303" s="29">
        <f t="shared" si="131"/>
        <v>0</v>
      </c>
      <c r="AI303" s="29">
        <f t="shared" si="132"/>
        <v>0</v>
      </c>
      <c r="AJ303" s="29">
        <f t="shared" si="133"/>
        <v>0</v>
      </c>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f t="shared" si="130"/>
        <v>0</v>
      </c>
      <c r="BH303" s="29"/>
      <c r="BI303" s="29"/>
      <c r="BJ303" s="23" t="s">
        <v>570</v>
      </c>
      <c r="BK303" s="29"/>
      <c r="BL303" s="29"/>
      <c r="BM303" s="29"/>
      <c r="BN303" s="13"/>
      <c r="BO303" s="13"/>
      <c r="BP303" s="13"/>
      <c r="BQ303" s="13"/>
      <c r="BR303" s="13"/>
      <c r="BS303" s="13"/>
      <c r="BT303" s="13"/>
      <c r="BU303" s="13"/>
      <c r="BV303" s="13"/>
      <c r="BW303" s="13"/>
      <c r="BX303" s="13"/>
      <c r="BY303" s="13"/>
      <c r="BZ303" s="13"/>
      <c r="CA303" s="13"/>
      <c r="CB303" s="224" t="s">
        <v>570</v>
      </c>
      <c r="CC303" s="224" t="s">
        <v>570</v>
      </c>
      <c r="CD303" s="224" t="s">
        <v>570</v>
      </c>
      <c r="CE303" s="13"/>
      <c r="CF303" s="13"/>
      <c r="CG303" s="13"/>
      <c r="CH303" s="13"/>
      <c r="CI303" s="13"/>
      <c r="CJ303" s="13"/>
      <c r="CK303" s="13"/>
      <c r="CL303" s="13"/>
      <c r="CM303" s="13"/>
      <c r="CN303" s="13"/>
      <c r="CO303" s="13"/>
      <c r="CP303" s="13"/>
      <c r="CQ303" s="13"/>
      <c r="CR303" s="13"/>
      <c r="CS303" s="29" t="s">
        <v>570</v>
      </c>
      <c r="CT303" s="29" t="s">
        <v>570</v>
      </c>
      <c r="CU303" s="29" t="s">
        <v>570</v>
      </c>
      <c r="CV303" s="23"/>
      <c r="CW303" s="13"/>
      <c r="CX303" s="13"/>
      <c r="CY303" s="13"/>
      <c r="CZ303" s="9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92">
        <f t="shared" si="136"/>
        <v>0</v>
      </c>
      <c r="DZ303" s="13"/>
      <c r="EA303" s="13"/>
      <c r="EB303" s="13"/>
      <c r="EC303" s="13"/>
      <c r="ED303" s="13"/>
      <c r="EE303" s="13"/>
      <c r="EF303" s="13"/>
      <c r="EG303" s="13"/>
      <c r="EH303" s="13"/>
      <c r="EI303" s="13"/>
      <c r="EJ303" s="13"/>
      <c r="EK303" s="13"/>
      <c r="EL303" s="13"/>
      <c r="EM303" s="13"/>
      <c r="EN303" s="13"/>
      <c r="EO303" s="13"/>
      <c r="EP303" s="13"/>
      <c r="EQ303" s="13"/>
      <c r="ER303" s="13"/>
      <c r="ES303" s="13"/>
      <c r="ET303" s="13"/>
      <c r="EU303" s="13"/>
      <c r="EV303" s="13"/>
      <c r="EW303" s="13"/>
      <c r="EX303" s="13"/>
      <c r="EY303" s="13"/>
      <c r="EZ303" s="13"/>
      <c r="FA303" s="13"/>
      <c r="FB303" s="13"/>
      <c r="FC303" s="13"/>
      <c r="FD303" s="13"/>
      <c r="FE303" s="13"/>
      <c r="FF303" s="13"/>
      <c r="FG303" s="13"/>
      <c r="FH303" s="13"/>
      <c r="FI303" s="13"/>
      <c r="FJ303" s="13"/>
      <c r="FK303" s="13"/>
      <c r="FL303" s="13"/>
      <c r="FM303" s="13"/>
      <c r="FN303" s="13"/>
      <c r="FO303" s="13"/>
      <c r="FP303" s="13"/>
      <c r="FQ303" s="13"/>
      <c r="FR303" s="13"/>
      <c r="FS303" s="25">
        <v>1</v>
      </c>
      <c r="FT303" s="25">
        <v>1</v>
      </c>
      <c r="FU303" s="25">
        <v>1</v>
      </c>
      <c r="FV303" s="25">
        <v>1</v>
      </c>
      <c r="FW303" s="25">
        <v>1</v>
      </c>
      <c r="FX303" s="25">
        <v>1</v>
      </c>
      <c r="FY303" s="25">
        <v>1</v>
      </c>
      <c r="FZ303" s="25">
        <v>1</v>
      </c>
      <c r="GA303" s="25">
        <v>1</v>
      </c>
      <c r="GB303" s="25">
        <v>1</v>
      </c>
      <c r="GC303" s="25">
        <v>1</v>
      </c>
      <c r="GD303" s="25">
        <v>1</v>
      </c>
      <c r="GE303" s="25">
        <v>1</v>
      </c>
      <c r="GF303" s="25">
        <v>1</v>
      </c>
      <c r="GG303" s="25">
        <v>1</v>
      </c>
      <c r="GH303" s="25">
        <v>1</v>
      </c>
      <c r="GI303" s="25">
        <v>1</v>
      </c>
      <c r="GJ303" s="25">
        <v>1</v>
      </c>
      <c r="GK303" s="25">
        <v>1</v>
      </c>
      <c r="GL303" s="25">
        <v>1</v>
      </c>
      <c r="GM303" s="25">
        <v>1</v>
      </c>
      <c r="GN303" s="25">
        <v>1</v>
      </c>
      <c r="GO303" s="25">
        <v>1</v>
      </c>
      <c r="GP303" s="25">
        <v>1</v>
      </c>
      <c r="GQ303" s="25">
        <v>1</v>
      </c>
      <c r="GR303" s="25">
        <v>1</v>
      </c>
      <c r="GS303" s="25">
        <v>1</v>
      </c>
      <c r="GT303" s="25">
        <v>1</v>
      </c>
      <c r="GU303" s="25">
        <v>1</v>
      </c>
      <c r="GV303" s="25" t="s">
        <v>1588</v>
      </c>
      <c r="GW303" s="25" t="s">
        <v>1588</v>
      </c>
      <c r="GX303" s="25" t="s">
        <v>1588</v>
      </c>
      <c r="GY303" s="25" t="s">
        <v>1588</v>
      </c>
      <c r="GZ303" s="25" t="s">
        <v>1588</v>
      </c>
      <c r="HA303" s="25" t="s">
        <v>1588</v>
      </c>
      <c r="HB303" s="25" t="s">
        <v>1588</v>
      </c>
      <c r="HC303" s="25" t="s">
        <v>1588</v>
      </c>
      <c r="HD303" s="25" t="s">
        <v>1588</v>
      </c>
      <c r="HE303" s="25" t="s">
        <v>1588</v>
      </c>
      <c r="HF303" s="25" t="s">
        <v>1588</v>
      </c>
      <c r="HG303" s="25" t="s">
        <v>1588</v>
      </c>
      <c r="HH303" s="25" t="s">
        <v>1588</v>
      </c>
      <c r="HI303" s="25"/>
      <c r="HJ303" s="25"/>
      <c r="HK303" s="25"/>
      <c r="HL303" s="25"/>
      <c r="HM303" s="84"/>
      <c r="HN303" s="84"/>
      <c r="HO303" s="84"/>
      <c r="HP303" s="84"/>
      <c r="HQ303" s="84"/>
      <c r="HR303" s="84"/>
      <c r="HS303" s="84"/>
      <c r="HT303" s="84"/>
      <c r="HU303" s="13" t="s">
        <v>642</v>
      </c>
      <c r="HV303" s="13"/>
      <c r="HW303" s="32"/>
      <c r="HX303" s="23"/>
      <c r="HY303" s="55"/>
      <c r="HZ303" s="55"/>
      <c r="IA303" s="251"/>
      <c r="IB303" s="251"/>
      <c r="IC303" s="251"/>
      <c r="ID303" s="251"/>
      <c r="IE303" s="251"/>
      <c r="IF303" s="107">
        <v>0</v>
      </c>
      <c r="IG303" s="107"/>
      <c r="IH303" s="250">
        <f t="shared" si="134"/>
        <v>0</v>
      </c>
      <c r="II303" s="251"/>
      <c r="IJ303" s="251"/>
      <c r="IK303" s="251"/>
      <c r="IL303" s="251"/>
      <c r="IM303" s="251"/>
      <c r="IN303" s="251"/>
      <c r="IO303" s="251"/>
      <c r="IP303" s="251"/>
      <c r="IQ303" s="251"/>
      <c r="IR303" s="251"/>
      <c r="IS303" s="251"/>
      <c r="IT303" s="251"/>
      <c r="IU303" s="251"/>
      <c r="IV303" s="251"/>
      <c r="IW303" s="251"/>
      <c r="IX303" s="251"/>
      <c r="IY303" s="251"/>
      <c r="IZ303" s="251"/>
      <c r="JA303" s="251"/>
      <c r="JB303" s="251"/>
      <c r="JC303" s="251"/>
      <c r="JD303" s="251">
        <v>2017</v>
      </c>
    </row>
    <row r="304" spans="1:264" s="5" customFormat="1" ht="20.100000000000001" hidden="1" customHeight="1">
      <c r="A304" s="26" t="s">
        <v>9</v>
      </c>
      <c r="B304" s="26" t="s">
        <v>203</v>
      </c>
      <c r="C304" s="13" t="s">
        <v>349</v>
      </c>
      <c r="D304" s="13" t="s">
        <v>380</v>
      </c>
      <c r="E304" s="16" t="s">
        <v>360</v>
      </c>
      <c r="F304" s="13" t="s">
        <v>356</v>
      </c>
      <c r="G304" s="39" t="s">
        <v>354</v>
      </c>
      <c r="H304" s="28" t="s">
        <v>1559</v>
      </c>
      <c r="I304" s="20" t="s">
        <v>131</v>
      </c>
      <c r="J304" s="40">
        <v>4</v>
      </c>
      <c r="K304" s="49" t="s">
        <v>375</v>
      </c>
      <c r="L304" s="314" t="s">
        <v>628</v>
      </c>
      <c r="M304" s="14" t="s">
        <v>1809</v>
      </c>
      <c r="N304" s="43"/>
      <c r="O304" s="13" t="s">
        <v>206</v>
      </c>
      <c r="P304" s="13" t="s">
        <v>4</v>
      </c>
      <c r="Q304" s="22" t="s">
        <v>794</v>
      </c>
      <c r="R304" s="314"/>
      <c r="S304" s="13"/>
      <c r="T304" s="13"/>
      <c r="U304" s="13"/>
      <c r="V304" s="13"/>
      <c r="W304" s="13" t="s">
        <v>570</v>
      </c>
      <c r="X304" s="13" t="s">
        <v>570</v>
      </c>
      <c r="Y304" s="13"/>
      <c r="Z304" s="13"/>
      <c r="AA304" s="29"/>
      <c r="AB304" s="29">
        <v>0</v>
      </c>
      <c r="AC304" s="29">
        <v>0</v>
      </c>
      <c r="AD304" s="29"/>
      <c r="AE304" s="29">
        <v>0</v>
      </c>
      <c r="AF304" s="29">
        <f t="shared" ref="AF304:AF355" si="138">AD304+AE304</f>
        <v>0</v>
      </c>
      <c r="AG304" s="25">
        <v>0.12</v>
      </c>
      <c r="AH304" s="29">
        <f t="shared" si="131"/>
        <v>0</v>
      </c>
      <c r="AI304" s="29">
        <f t="shared" si="132"/>
        <v>0</v>
      </c>
      <c r="AJ304" s="29">
        <f t="shared" si="133"/>
        <v>0</v>
      </c>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f t="shared" si="130"/>
        <v>0</v>
      </c>
      <c r="BH304" s="29"/>
      <c r="BI304" s="29"/>
      <c r="BJ304" s="23" t="s">
        <v>570</v>
      </c>
      <c r="BK304" s="29"/>
      <c r="BL304" s="29"/>
      <c r="BM304" s="29"/>
      <c r="BN304" s="13"/>
      <c r="BO304" s="13"/>
      <c r="BP304" s="13"/>
      <c r="BQ304" s="13"/>
      <c r="BR304" s="13"/>
      <c r="BS304" s="13"/>
      <c r="BT304" s="13"/>
      <c r="BU304" s="13"/>
      <c r="BV304" s="13"/>
      <c r="BW304" s="13"/>
      <c r="BX304" s="13"/>
      <c r="BY304" s="13"/>
      <c r="BZ304" s="13"/>
      <c r="CA304" s="13"/>
      <c r="CB304" s="224" t="s">
        <v>570</v>
      </c>
      <c r="CC304" s="224" t="s">
        <v>570</v>
      </c>
      <c r="CD304" s="224" t="s">
        <v>570</v>
      </c>
      <c r="CE304" s="13"/>
      <c r="CF304" s="13"/>
      <c r="CG304" s="13"/>
      <c r="CH304" s="13"/>
      <c r="CI304" s="13"/>
      <c r="CJ304" s="13"/>
      <c r="CK304" s="13"/>
      <c r="CL304" s="13"/>
      <c r="CM304" s="13"/>
      <c r="CN304" s="13"/>
      <c r="CO304" s="13"/>
      <c r="CP304" s="13"/>
      <c r="CQ304" s="13"/>
      <c r="CR304" s="13"/>
      <c r="CS304" s="29" t="s">
        <v>570</v>
      </c>
      <c r="CT304" s="29" t="s">
        <v>570</v>
      </c>
      <c r="CU304" s="29" t="s">
        <v>570</v>
      </c>
      <c r="CV304" s="23"/>
      <c r="CW304" s="13"/>
      <c r="CX304" s="13"/>
      <c r="CY304" s="13"/>
      <c r="CZ304" s="9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92">
        <f t="shared" si="136"/>
        <v>0</v>
      </c>
      <c r="DZ304" s="13"/>
      <c r="EA304" s="13"/>
      <c r="EB304" s="13"/>
      <c r="EC304" s="13"/>
      <c r="ED304" s="13"/>
      <c r="EE304" s="13"/>
      <c r="EF304" s="13"/>
      <c r="EG304" s="13"/>
      <c r="EH304" s="13"/>
      <c r="EI304" s="13"/>
      <c r="EJ304" s="13"/>
      <c r="EK304" s="13"/>
      <c r="EL304" s="13"/>
      <c r="EM304" s="13"/>
      <c r="EN304" s="13"/>
      <c r="EO304" s="13"/>
      <c r="EP304" s="13"/>
      <c r="EQ304" s="13"/>
      <c r="ER304" s="13"/>
      <c r="ES304" s="13"/>
      <c r="ET304" s="13"/>
      <c r="EU304" s="13"/>
      <c r="EV304" s="13"/>
      <c r="EW304" s="13"/>
      <c r="EX304" s="13"/>
      <c r="EY304" s="13"/>
      <c r="EZ304" s="13"/>
      <c r="FA304" s="13"/>
      <c r="FB304" s="13"/>
      <c r="FC304" s="13"/>
      <c r="FD304" s="13"/>
      <c r="FE304" s="13"/>
      <c r="FF304" s="13"/>
      <c r="FG304" s="13"/>
      <c r="FH304" s="13"/>
      <c r="FI304" s="13"/>
      <c r="FJ304" s="13"/>
      <c r="FK304" s="13"/>
      <c r="FL304" s="13"/>
      <c r="FM304" s="13"/>
      <c r="FN304" s="13"/>
      <c r="FO304" s="13"/>
      <c r="FP304" s="13"/>
      <c r="FQ304" s="13"/>
      <c r="FR304" s="13"/>
      <c r="FS304" s="25">
        <v>1</v>
      </c>
      <c r="FT304" s="25">
        <v>1</v>
      </c>
      <c r="FU304" s="25">
        <v>1</v>
      </c>
      <c r="FV304" s="25">
        <v>1</v>
      </c>
      <c r="FW304" s="25">
        <v>1</v>
      </c>
      <c r="FX304" s="25">
        <v>1</v>
      </c>
      <c r="FY304" s="25">
        <v>1</v>
      </c>
      <c r="FZ304" s="25">
        <v>1</v>
      </c>
      <c r="GA304" s="25">
        <v>1</v>
      </c>
      <c r="GB304" s="25">
        <v>1</v>
      </c>
      <c r="GC304" s="25">
        <v>1</v>
      </c>
      <c r="GD304" s="25">
        <v>1</v>
      </c>
      <c r="GE304" s="25">
        <v>1</v>
      </c>
      <c r="GF304" s="25">
        <v>1</v>
      </c>
      <c r="GG304" s="25">
        <v>1</v>
      </c>
      <c r="GH304" s="25">
        <v>1</v>
      </c>
      <c r="GI304" s="25">
        <v>1</v>
      </c>
      <c r="GJ304" s="25">
        <v>1</v>
      </c>
      <c r="GK304" s="25">
        <v>1</v>
      </c>
      <c r="GL304" s="25">
        <v>1</v>
      </c>
      <c r="GM304" s="25">
        <v>1</v>
      </c>
      <c r="GN304" s="25">
        <v>1</v>
      </c>
      <c r="GO304" s="25">
        <v>1</v>
      </c>
      <c r="GP304" s="25">
        <v>1</v>
      </c>
      <c r="GQ304" s="25">
        <v>1</v>
      </c>
      <c r="GR304" s="25">
        <v>1</v>
      </c>
      <c r="GS304" s="25">
        <v>1</v>
      </c>
      <c r="GT304" s="25">
        <v>1</v>
      </c>
      <c r="GU304" s="25">
        <v>1</v>
      </c>
      <c r="GV304" s="25" t="s">
        <v>1588</v>
      </c>
      <c r="GW304" s="25" t="s">
        <v>1588</v>
      </c>
      <c r="GX304" s="25" t="s">
        <v>1588</v>
      </c>
      <c r="GY304" s="25" t="s">
        <v>1588</v>
      </c>
      <c r="GZ304" s="25" t="s">
        <v>1588</v>
      </c>
      <c r="HA304" s="25" t="s">
        <v>1588</v>
      </c>
      <c r="HB304" s="25" t="s">
        <v>1588</v>
      </c>
      <c r="HC304" s="25" t="s">
        <v>1588</v>
      </c>
      <c r="HD304" s="25" t="s">
        <v>1588</v>
      </c>
      <c r="HE304" s="25" t="s">
        <v>1588</v>
      </c>
      <c r="HF304" s="25" t="s">
        <v>1588</v>
      </c>
      <c r="HG304" s="25" t="s">
        <v>1588</v>
      </c>
      <c r="HH304" s="25" t="s">
        <v>1588</v>
      </c>
      <c r="HI304" s="25"/>
      <c r="HJ304" s="25"/>
      <c r="HK304" s="25"/>
      <c r="HL304" s="25"/>
      <c r="HM304" s="84"/>
      <c r="HN304" s="84"/>
      <c r="HO304" s="84"/>
      <c r="HP304" s="84"/>
      <c r="HQ304" s="84"/>
      <c r="HR304" s="84"/>
      <c r="HS304" s="84"/>
      <c r="HT304" s="84"/>
      <c r="HU304" s="13" t="s">
        <v>639</v>
      </c>
      <c r="HV304" s="13"/>
      <c r="HW304" s="32"/>
      <c r="HX304" s="23"/>
      <c r="HY304" s="55"/>
      <c r="HZ304" s="55"/>
      <c r="IA304" s="55"/>
      <c r="IB304" s="55"/>
      <c r="IC304" s="55"/>
      <c r="ID304" s="55"/>
      <c r="IE304" s="55"/>
      <c r="IF304" s="107">
        <v>0</v>
      </c>
      <c r="IG304" s="107"/>
      <c r="IH304" s="250">
        <f t="shared" si="134"/>
        <v>0</v>
      </c>
      <c r="II304" s="55"/>
      <c r="IJ304" s="55"/>
      <c r="IK304" s="55"/>
      <c r="IL304" s="55"/>
      <c r="IM304" s="55"/>
      <c r="IN304" s="55"/>
      <c r="IO304" s="55"/>
      <c r="IP304" s="55"/>
      <c r="IQ304" s="55"/>
      <c r="IR304" s="55"/>
      <c r="IS304" s="55"/>
      <c r="IT304" s="55"/>
      <c r="IU304" s="55"/>
      <c r="IV304" s="55"/>
      <c r="IW304" s="55"/>
      <c r="IX304" s="55"/>
      <c r="IY304" s="55"/>
      <c r="IZ304" s="55"/>
      <c r="JA304" s="55"/>
      <c r="JB304" s="55"/>
      <c r="JC304" s="55"/>
      <c r="JD304" s="55">
        <v>2017</v>
      </c>
    </row>
    <row r="305" spans="1:264" s="10" customFormat="1" ht="20.100000000000001" hidden="1" customHeight="1">
      <c r="A305" s="26" t="s">
        <v>9</v>
      </c>
      <c r="B305" s="26" t="s">
        <v>203</v>
      </c>
      <c r="C305" s="13" t="s">
        <v>349</v>
      </c>
      <c r="D305" s="13" t="s">
        <v>380</v>
      </c>
      <c r="E305" s="16" t="s">
        <v>360</v>
      </c>
      <c r="F305" s="13" t="s">
        <v>356</v>
      </c>
      <c r="G305" s="39" t="s">
        <v>354</v>
      </c>
      <c r="H305" s="28" t="s">
        <v>1559</v>
      </c>
      <c r="I305" s="20" t="s">
        <v>133</v>
      </c>
      <c r="J305" s="40">
        <v>5</v>
      </c>
      <c r="K305" s="49" t="s">
        <v>375</v>
      </c>
      <c r="L305" s="314" t="s">
        <v>628</v>
      </c>
      <c r="M305" s="14" t="s">
        <v>1810</v>
      </c>
      <c r="N305" s="43"/>
      <c r="O305" s="13" t="s">
        <v>206</v>
      </c>
      <c r="P305" s="13" t="s">
        <v>4</v>
      </c>
      <c r="Q305" s="22" t="s">
        <v>794</v>
      </c>
      <c r="R305" s="314"/>
      <c r="S305" s="13"/>
      <c r="T305" s="13"/>
      <c r="U305" s="13"/>
      <c r="V305" s="13"/>
      <c r="W305" s="13" t="s">
        <v>570</v>
      </c>
      <c r="X305" s="13" t="s">
        <v>570</v>
      </c>
      <c r="Y305" s="13"/>
      <c r="Z305" s="13"/>
      <c r="AA305" s="29"/>
      <c r="AB305" s="29">
        <v>0</v>
      </c>
      <c r="AC305" s="29">
        <v>0</v>
      </c>
      <c r="AD305" s="29"/>
      <c r="AE305" s="29">
        <v>0</v>
      </c>
      <c r="AF305" s="29">
        <f t="shared" si="138"/>
        <v>0</v>
      </c>
      <c r="AG305" s="25">
        <v>0.12</v>
      </c>
      <c r="AH305" s="29">
        <f t="shared" si="131"/>
        <v>0</v>
      </c>
      <c r="AI305" s="29">
        <f t="shared" si="132"/>
        <v>0</v>
      </c>
      <c r="AJ305" s="29">
        <f t="shared" si="133"/>
        <v>0</v>
      </c>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f t="shared" ref="BG305:BG330" si="139">BF305-AW305-AZ305-BC305-BE305</f>
        <v>0</v>
      </c>
      <c r="BH305" s="29"/>
      <c r="BI305" s="29"/>
      <c r="BJ305" s="23" t="s">
        <v>570</v>
      </c>
      <c r="BK305" s="29"/>
      <c r="BL305" s="29"/>
      <c r="BM305" s="29"/>
      <c r="BN305" s="13"/>
      <c r="BO305" s="13"/>
      <c r="BP305" s="13"/>
      <c r="BQ305" s="13"/>
      <c r="BR305" s="13"/>
      <c r="BS305" s="13"/>
      <c r="BT305" s="13"/>
      <c r="BU305" s="13"/>
      <c r="BV305" s="13"/>
      <c r="BW305" s="13"/>
      <c r="BX305" s="13"/>
      <c r="BY305" s="13"/>
      <c r="BZ305" s="13"/>
      <c r="CA305" s="13"/>
      <c r="CB305" s="224" t="s">
        <v>570</v>
      </c>
      <c r="CC305" s="224" t="s">
        <v>570</v>
      </c>
      <c r="CD305" s="224" t="s">
        <v>570</v>
      </c>
      <c r="CE305" s="13"/>
      <c r="CF305" s="13"/>
      <c r="CG305" s="13"/>
      <c r="CH305" s="13"/>
      <c r="CI305" s="13"/>
      <c r="CJ305" s="13"/>
      <c r="CK305" s="13"/>
      <c r="CL305" s="13"/>
      <c r="CM305" s="13"/>
      <c r="CN305" s="13"/>
      <c r="CO305" s="13"/>
      <c r="CP305" s="13"/>
      <c r="CQ305" s="13"/>
      <c r="CR305" s="13"/>
      <c r="CS305" s="29" t="s">
        <v>570</v>
      </c>
      <c r="CT305" s="29" t="s">
        <v>570</v>
      </c>
      <c r="CU305" s="29" t="s">
        <v>570</v>
      </c>
      <c r="CV305" s="23"/>
      <c r="CW305" s="13"/>
      <c r="CX305" s="13"/>
      <c r="CY305" s="13"/>
      <c r="CZ305" s="9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92">
        <f t="shared" si="136"/>
        <v>0</v>
      </c>
      <c r="DZ305" s="13"/>
      <c r="EA305" s="13"/>
      <c r="EB305" s="13"/>
      <c r="EC305" s="13"/>
      <c r="ED305" s="13"/>
      <c r="EE305" s="13"/>
      <c r="EF305" s="13"/>
      <c r="EG305" s="13"/>
      <c r="EH305" s="13"/>
      <c r="EI305" s="13"/>
      <c r="EJ305" s="13"/>
      <c r="EK305" s="13"/>
      <c r="EL305" s="13"/>
      <c r="EM305" s="13"/>
      <c r="EN305" s="13"/>
      <c r="EO305" s="13"/>
      <c r="EP305" s="13"/>
      <c r="EQ305" s="13"/>
      <c r="ER305" s="13"/>
      <c r="ES305" s="13"/>
      <c r="ET305" s="13"/>
      <c r="EU305" s="13"/>
      <c r="EV305" s="13"/>
      <c r="EW305" s="13"/>
      <c r="EX305" s="13"/>
      <c r="EY305" s="13"/>
      <c r="EZ305" s="13"/>
      <c r="FA305" s="13"/>
      <c r="FB305" s="13"/>
      <c r="FC305" s="13"/>
      <c r="FD305" s="13"/>
      <c r="FE305" s="13"/>
      <c r="FF305" s="13"/>
      <c r="FG305" s="13"/>
      <c r="FH305" s="13"/>
      <c r="FI305" s="13"/>
      <c r="FJ305" s="13"/>
      <c r="FK305" s="13"/>
      <c r="FL305" s="13"/>
      <c r="FM305" s="13"/>
      <c r="FN305" s="13"/>
      <c r="FO305" s="13"/>
      <c r="FP305" s="13"/>
      <c r="FQ305" s="13"/>
      <c r="FR305" s="13"/>
      <c r="FS305" s="25">
        <v>1</v>
      </c>
      <c r="FT305" s="25">
        <v>1</v>
      </c>
      <c r="FU305" s="25">
        <v>1</v>
      </c>
      <c r="FV305" s="25">
        <v>1</v>
      </c>
      <c r="FW305" s="25">
        <v>1</v>
      </c>
      <c r="FX305" s="25">
        <v>1</v>
      </c>
      <c r="FY305" s="25">
        <v>1</v>
      </c>
      <c r="FZ305" s="25">
        <v>1</v>
      </c>
      <c r="GA305" s="25">
        <v>1</v>
      </c>
      <c r="GB305" s="25">
        <v>1</v>
      </c>
      <c r="GC305" s="25">
        <v>1</v>
      </c>
      <c r="GD305" s="25">
        <v>1</v>
      </c>
      <c r="GE305" s="25">
        <v>1</v>
      </c>
      <c r="GF305" s="25">
        <v>1</v>
      </c>
      <c r="GG305" s="25">
        <v>1</v>
      </c>
      <c r="GH305" s="25">
        <v>1</v>
      </c>
      <c r="GI305" s="25">
        <v>1</v>
      </c>
      <c r="GJ305" s="25">
        <v>1</v>
      </c>
      <c r="GK305" s="25">
        <v>1</v>
      </c>
      <c r="GL305" s="25">
        <v>1</v>
      </c>
      <c r="GM305" s="25">
        <v>1</v>
      </c>
      <c r="GN305" s="25">
        <v>1</v>
      </c>
      <c r="GO305" s="25">
        <v>1</v>
      </c>
      <c r="GP305" s="25">
        <v>1</v>
      </c>
      <c r="GQ305" s="25">
        <v>1</v>
      </c>
      <c r="GR305" s="25">
        <v>1</v>
      </c>
      <c r="GS305" s="25">
        <v>1</v>
      </c>
      <c r="GT305" s="25">
        <v>1</v>
      </c>
      <c r="GU305" s="25">
        <v>1</v>
      </c>
      <c r="GV305" s="25" t="s">
        <v>1588</v>
      </c>
      <c r="GW305" s="25" t="s">
        <v>1588</v>
      </c>
      <c r="GX305" s="25" t="s">
        <v>1588</v>
      </c>
      <c r="GY305" s="25" t="s">
        <v>1588</v>
      </c>
      <c r="GZ305" s="25" t="s">
        <v>1588</v>
      </c>
      <c r="HA305" s="25" t="s">
        <v>1588</v>
      </c>
      <c r="HB305" s="25" t="s">
        <v>1588</v>
      </c>
      <c r="HC305" s="25" t="s">
        <v>1588</v>
      </c>
      <c r="HD305" s="25" t="s">
        <v>1588</v>
      </c>
      <c r="HE305" s="25" t="s">
        <v>1588</v>
      </c>
      <c r="HF305" s="25" t="s">
        <v>1588</v>
      </c>
      <c r="HG305" s="25" t="s">
        <v>1588</v>
      </c>
      <c r="HH305" s="25" t="s">
        <v>1588</v>
      </c>
      <c r="HI305" s="25"/>
      <c r="HJ305" s="25"/>
      <c r="HK305" s="25"/>
      <c r="HL305" s="25"/>
      <c r="HM305" s="84"/>
      <c r="HN305" s="84"/>
      <c r="HO305" s="84"/>
      <c r="HP305" s="84"/>
      <c r="HQ305" s="84"/>
      <c r="HR305" s="84"/>
      <c r="HS305" s="84"/>
      <c r="HT305" s="84"/>
      <c r="HU305" s="13" t="s">
        <v>639</v>
      </c>
      <c r="HV305" s="13"/>
      <c r="HW305" s="32"/>
      <c r="HX305" s="23"/>
      <c r="HY305" s="55"/>
      <c r="HZ305" s="55"/>
      <c r="IA305" s="251"/>
      <c r="IB305" s="251"/>
      <c r="IC305" s="251"/>
      <c r="ID305" s="251"/>
      <c r="IE305" s="251"/>
      <c r="IF305" s="107">
        <v>0</v>
      </c>
      <c r="IG305" s="107"/>
      <c r="IH305" s="250">
        <f t="shared" si="134"/>
        <v>0</v>
      </c>
      <c r="II305" s="251"/>
      <c r="IJ305" s="251"/>
      <c r="IK305" s="251"/>
      <c r="IL305" s="251"/>
      <c r="IM305" s="251"/>
      <c r="IN305" s="251"/>
      <c r="IO305" s="251"/>
      <c r="IP305" s="251"/>
      <c r="IQ305" s="251"/>
      <c r="IR305" s="251"/>
      <c r="IS305" s="251"/>
      <c r="IT305" s="251"/>
      <c r="IU305" s="251"/>
      <c r="IV305" s="251"/>
      <c r="IW305" s="251"/>
      <c r="IX305" s="251"/>
      <c r="IY305" s="251"/>
      <c r="IZ305" s="251"/>
      <c r="JA305" s="251"/>
      <c r="JB305" s="251"/>
      <c r="JC305" s="251"/>
      <c r="JD305" s="251">
        <v>2017</v>
      </c>
    </row>
    <row r="306" spans="1:264" s="5" customFormat="1" ht="20.100000000000001" hidden="1" customHeight="1">
      <c r="A306" s="26" t="s">
        <v>9</v>
      </c>
      <c r="B306" s="26" t="s">
        <v>203</v>
      </c>
      <c r="C306" s="13" t="s">
        <v>349</v>
      </c>
      <c r="D306" s="13" t="s">
        <v>380</v>
      </c>
      <c r="E306" s="16" t="s">
        <v>350</v>
      </c>
      <c r="F306" s="13" t="s">
        <v>383</v>
      </c>
      <c r="G306" s="39" t="s">
        <v>351</v>
      </c>
      <c r="H306" s="28" t="s">
        <v>1548</v>
      </c>
      <c r="I306" s="47" t="s">
        <v>129</v>
      </c>
      <c r="J306" s="40">
        <v>3</v>
      </c>
      <c r="K306" s="49" t="s">
        <v>375</v>
      </c>
      <c r="L306" s="314" t="s">
        <v>629</v>
      </c>
      <c r="M306" s="394" t="s">
        <v>633</v>
      </c>
      <c r="N306" s="43"/>
      <c r="O306" s="13" t="s">
        <v>206</v>
      </c>
      <c r="P306" s="13" t="s">
        <v>4</v>
      </c>
      <c r="Q306" s="22" t="s">
        <v>794</v>
      </c>
      <c r="R306" s="314"/>
      <c r="S306" s="13"/>
      <c r="T306" s="13"/>
      <c r="U306" s="13"/>
      <c r="V306" s="13"/>
      <c r="W306" s="13" t="s">
        <v>570</v>
      </c>
      <c r="X306" s="13" t="s">
        <v>570</v>
      </c>
      <c r="Y306" s="13"/>
      <c r="Z306" s="13"/>
      <c r="AA306" s="29"/>
      <c r="AB306" s="29">
        <v>0</v>
      </c>
      <c r="AC306" s="29">
        <v>0</v>
      </c>
      <c r="AD306" s="29"/>
      <c r="AE306" s="29">
        <v>0</v>
      </c>
      <c r="AF306" s="29">
        <f t="shared" si="138"/>
        <v>0</v>
      </c>
      <c r="AG306" s="25">
        <v>0.12</v>
      </c>
      <c r="AH306" s="29">
        <f t="shared" si="131"/>
        <v>0</v>
      </c>
      <c r="AI306" s="29">
        <f t="shared" si="132"/>
        <v>0</v>
      </c>
      <c r="AJ306" s="29">
        <f t="shared" si="133"/>
        <v>0</v>
      </c>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f t="shared" si="139"/>
        <v>0</v>
      </c>
      <c r="BH306" s="29"/>
      <c r="BI306" s="29"/>
      <c r="BJ306" s="23" t="s">
        <v>570</v>
      </c>
      <c r="BK306" s="29"/>
      <c r="BL306" s="29"/>
      <c r="BM306" s="29"/>
      <c r="BN306" s="13"/>
      <c r="BO306" s="13"/>
      <c r="BP306" s="13"/>
      <c r="BQ306" s="13"/>
      <c r="BR306" s="13"/>
      <c r="BS306" s="13"/>
      <c r="BT306" s="13"/>
      <c r="BU306" s="13"/>
      <c r="BV306" s="13"/>
      <c r="BW306" s="13"/>
      <c r="BX306" s="13"/>
      <c r="BY306" s="13"/>
      <c r="BZ306" s="13"/>
      <c r="CA306" s="13"/>
      <c r="CB306" s="224" t="s">
        <v>570</v>
      </c>
      <c r="CC306" s="224" t="s">
        <v>570</v>
      </c>
      <c r="CD306" s="224" t="s">
        <v>570</v>
      </c>
      <c r="CE306" s="13"/>
      <c r="CF306" s="13"/>
      <c r="CG306" s="13"/>
      <c r="CH306" s="13"/>
      <c r="CI306" s="13"/>
      <c r="CJ306" s="13"/>
      <c r="CK306" s="13"/>
      <c r="CL306" s="13"/>
      <c r="CM306" s="13"/>
      <c r="CN306" s="13"/>
      <c r="CO306" s="13"/>
      <c r="CP306" s="13"/>
      <c r="CQ306" s="13"/>
      <c r="CR306" s="13"/>
      <c r="CS306" s="29" t="s">
        <v>570</v>
      </c>
      <c r="CT306" s="29" t="s">
        <v>570</v>
      </c>
      <c r="CU306" s="29" t="s">
        <v>570</v>
      </c>
      <c r="CV306" s="23"/>
      <c r="CW306" s="13"/>
      <c r="CX306" s="13"/>
      <c r="CY306" s="13"/>
      <c r="CZ306" s="9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92">
        <f t="shared" si="136"/>
        <v>0</v>
      </c>
      <c r="DZ306" s="13"/>
      <c r="EA306" s="13"/>
      <c r="EB306" s="13"/>
      <c r="EC306" s="13"/>
      <c r="ED306" s="13"/>
      <c r="EE306" s="13"/>
      <c r="EF306" s="13"/>
      <c r="EG306" s="13"/>
      <c r="EH306" s="13"/>
      <c r="EI306" s="13"/>
      <c r="EJ306" s="13"/>
      <c r="EK306" s="13"/>
      <c r="EL306" s="13"/>
      <c r="EM306" s="13"/>
      <c r="EN306" s="13"/>
      <c r="EO306" s="13"/>
      <c r="EP306" s="13"/>
      <c r="EQ306" s="13"/>
      <c r="ER306" s="13"/>
      <c r="ES306" s="13"/>
      <c r="ET306" s="13"/>
      <c r="EU306" s="13"/>
      <c r="EV306" s="13"/>
      <c r="EW306" s="13"/>
      <c r="EX306" s="13"/>
      <c r="EY306" s="13"/>
      <c r="EZ306" s="13"/>
      <c r="FA306" s="13"/>
      <c r="FB306" s="13"/>
      <c r="FC306" s="13"/>
      <c r="FD306" s="13"/>
      <c r="FE306" s="13"/>
      <c r="FF306" s="13"/>
      <c r="FG306" s="13"/>
      <c r="FH306" s="13"/>
      <c r="FI306" s="13"/>
      <c r="FJ306" s="13"/>
      <c r="FK306" s="13"/>
      <c r="FL306" s="13"/>
      <c r="FM306" s="13"/>
      <c r="FN306" s="13"/>
      <c r="FO306" s="13"/>
      <c r="FP306" s="13"/>
      <c r="FQ306" s="13"/>
      <c r="FR306" s="13"/>
      <c r="FS306" s="13"/>
      <c r="FT306" s="13"/>
      <c r="FU306" s="13"/>
      <c r="FV306" s="25">
        <v>1</v>
      </c>
      <c r="FW306" s="25">
        <v>1</v>
      </c>
      <c r="FX306" s="25">
        <v>1</v>
      </c>
      <c r="FY306" s="25">
        <v>1</v>
      </c>
      <c r="FZ306" s="25">
        <v>1</v>
      </c>
      <c r="GA306" s="25">
        <v>1</v>
      </c>
      <c r="GB306" s="25">
        <v>1</v>
      </c>
      <c r="GC306" s="25">
        <v>1</v>
      </c>
      <c r="GD306" s="25">
        <v>1</v>
      </c>
      <c r="GE306" s="25">
        <v>1</v>
      </c>
      <c r="GF306" s="25">
        <v>1</v>
      </c>
      <c r="GG306" s="25">
        <v>1</v>
      </c>
      <c r="GH306" s="25">
        <v>1</v>
      </c>
      <c r="GI306" s="25">
        <v>1</v>
      </c>
      <c r="GJ306" s="25">
        <v>1</v>
      </c>
      <c r="GK306" s="25">
        <v>1</v>
      </c>
      <c r="GL306" s="25">
        <v>1</v>
      </c>
      <c r="GM306" s="25">
        <v>1</v>
      </c>
      <c r="GN306" s="25">
        <v>1</v>
      </c>
      <c r="GO306" s="25">
        <v>1</v>
      </c>
      <c r="GP306" s="25">
        <v>1</v>
      </c>
      <c r="GQ306" s="25">
        <v>1</v>
      </c>
      <c r="GR306" s="25">
        <v>1</v>
      </c>
      <c r="GS306" s="25">
        <v>1</v>
      </c>
      <c r="GT306" s="25">
        <v>1</v>
      </c>
      <c r="GU306" s="25">
        <v>1</v>
      </c>
      <c r="GV306" s="25" t="s">
        <v>1588</v>
      </c>
      <c r="GW306" s="25" t="s">
        <v>1588</v>
      </c>
      <c r="GX306" s="25" t="s">
        <v>1588</v>
      </c>
      <c r="GY306" s="25" t="s">
        <v>1588</v>
      </c>
      <c r="GZ306" s="25" t="s">
        <v>1588</v>
      </c>
      <c r="HA306" s="25" t="s">
        <v>1588</v>
      </c>
      <c r="HB306" s="25" t="s">
        <v>1588</v>
      </c>
      <c r="HC306" s="25" t="s">
        <v>1588</v>
      </c>
      <c r="HD306" s="25" t="s">
        <v>1588</v>
      </c>
      <c r="HE306" s="25" t="s">
        <v>1588</v>
      </c>
      <c r="HF306" s="25" t="s">
        <v>1588</v>
      </c>
      <c r="HG306" s="25" t="s">
        <v>1588</v>
      </c>
      <c r="HH306" s="25" t="s">
        <v>1588</v>
      </c>
      <c r="HI306" s="25"/>
      <c r="HJ306" s="25"/>
      <c r="HK306" s="25"/>
      <c r="HL306" s="25"/>
      <c r="HM306" s="84"/>
      <c r="HN306" s="84"/>
      <c r="HO306" s="84"/>
      <c r="HP306" s="84"/>
      <c r="HQ306" s="84"/>
      <c r="HR306" s="84"/>
      <c r="HS306" s="84"/>
      <c r="HT306" s="84"/>
      <c r="HU306" s="13" t="s">
        <v>641</v>
      </c>
      <c r="HV306" s="13"/>
      <c r="HW306" s="32"/>
      <c r="HX306" s="55"/>
      <c r="HY306" s="55"/>
      <c r="HZ306" s="55"/>
      <c r="IA306" s="55"/>
      <c r="IB306" s="55"/>
      <c r="IC306" s="55"/>
      <c r="ID306" s="55"/>
      <c r="IE306" s="55"/>
      <c r="IF306" s="107">
        <v>0</v>
      </c>
      <c r="IG306" s="107"/>
      <c r="IH306" s="250">
        <f t="shared" si="134"/>
        <v>0</v>
      </c>
      <c r="II306" s="55"/>
      <c r="IJ306" s="55"/>
      <c r="IK306" s="55"/>
      <c r="IL306" s="55"/>
      <c r="IM306" s="55"/>
      <c r="IN306" s="55"/>
      <c r="IO306" s="55"/>
      <c r="IP306" s="55"/>
      <c r="IQ306" s="55"/>
      <c r="IR306" s="55"/>
      <c r="IS306" s="55"/>
      <c r="IT306" s="55"/>
      <c r="IU306" s="55"/>
      <c r="IV306" s="55"/>
      <c r="IW306" s="55"/>
      <c r="IX306" s="55"/>
      <c r="IY306" s="55"/>
      <c r="IZ306" s="55"/>
      <c r="JA306" s="55"/>
      <c r="JB306" s="55"/>
      <c r="JC306" s="55"/>
      <c r="JD306" s="55">
        <v>2017</v>
      </c>
    </row>
    <row r="307" spans="1:264" s="10" customFormat="1" ht="20.100000000000001" hidden="1" customHeight="1">
      <c r="A307" s="26" t="s">
        <v>9</v>
      </c>
      <c r="B307" s="26" t="s">
        <v>203</v>
      </c>
      <c r="C307" s="13" t="s">
        <v>349</v>
      </c>
      <c r="D307" s="13" t="s">
        <v>380</v>
      </c>
      <c r="E307" s="16" t="s">
        <v>350</v>
      </c>
      <c r="F307" s="13" t="s">
        <v>383</v>
      </c>
      <c r="G307" s="39" t="s">
        <v>351</v>
      </c>
      <c r="H307" s="28" t="s">
        <v>1559</v>
      </c>
      <c r="I307" s="47" t="s">
        <v>438</v>
      </c>
      <c r="J307" s="40">
        <v>9</v>
      </c>
      <c r="K307" s="49" t="s">
        <v>375</v>
      </c>
      <c r="L307" s="314" t="s">
        <v>629</v>
      </c>
      <c r="M307" s="395"/>
      <c r="N307" s="43"/>
      <c r="O307" s="13" t="s">
        <v>206</v>
      </c>
      <c r="P307" s="13" t="s">
        <v>4</v>
      </c>
      <c r="Q307" s="22" t="s">
        <v>794</v>
      </c>
      <c r="R307" s="314"/>
      <c r="S307" s="13"/>
      <c r="T307" s="13"/>
      <c r="U307" s="13"/>
      <c r="V307" s="13"/>
      <c r="W307" s="13" t="s">
        <v>570</v>
      </c>
      <c r="X307" s="13" t="s">
        <v>570</v>
      </c>
      <c r="Y307" s="13"/>
      <c r="Z307" s="13"/>
      <c r="AA307" s="29"/>
      <c r="AB307" s="29">
        <v>0</v>
      </c>
      <c r="AC307" s="29">
        <v>0</v>
      </c>
      <c r="AD307" s="29"/>
      <c r="AE307" s="29">
        <v>0</v>
      </c>
      <c r="AF307" s="29">
        <f t="shared" si="138"/>
        <v>0</v>
      </c>
      <c r="AG307" s="25">
        <v>0.12</v>
      </c>
      <c r="AH307" s="29">
        <f t="shared" si="131"/>
        <v>0</v>
      </c>
      <c r="AI307" s="29">
        <f t="shared" si="132"/>
        <v>0</v>
      </c>
      <c r="AJ307" s="29">
        <f t="shared" si="133"/>
        <v>0</v>
      </c>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f t="shared" si="139"/>
        <v>0</v>
      </c>
      <c r="BH307" s="29"/>
      <c r="BI307" s="29"/>
      <c r="BJ307" s="23" t="s">
        <v>570</v>
      </c>
      <c r="BK307" s="29"/>
      <c r="BL307" s="29"/>
      <c r="BM307" s="29"/>
      <c r="BN307" s="13"/>
      <c r="BO307" s="13"/>
      <c r="BP307" s="13"/>
      <c r="BQ307" s="13"/>
      <c r="BR307" s="13"/>
      <c r="BS307" s="13"/>
      <c r="BT307" s="13"/>
      <c r="BU307" s="13"/>
      <c r="BV307" s="13"/>
      <c r="BW307" s="13"/>
      <c r="BX307" s="13"/>
      <c r="BY307" s="13"/>
      <c r="BZ307" s="13"/>
      <c r="CA307" s="13"/>
      <c r="CB307" s="224" t="s">
        <v>570</v>
      </c>
      <c r="CC307" s="224" t="s">
        <v>570</v>
      </c>
      <c r="CD307" s="224" t="s">
        <v>570</v>
      </c>
      <c r="CE307" s="13"/>
      <c r="CF307" s="13"/>
      <c r="CG307" s="13"/>
      <c r="CH307" s="13"/>
      <c r="CI307" s="13"/>
      <c r="CJ307" s="13"/>
      <c r="CK307" s="13"/>
      <c r="CL307" s="13"/>
      <c r="CM307" s="13"/>
      <c r="CN307" s="13"/>
      <c r="CO307" s="13"/>
      <c r="CP307" s="13"/>
      <c r="CQ307" s="13"/>
      <c r="CR307" s="13"/>
      <c r="CS307" s="29" t="s">
        <v>570</v>
      </c>
      <c r="CT307" s="29" t="s">
        <v>570</v>
      </c>
      <c r="CU307" s="29" t="s">
        <v>570</v>
      </c>
      <c r="CV307" s="23"/>
      <c r="CW307" s="13"/>
      <c r="CX307" s="13"/>
      <c r="CY307" s="13"/>
      <c r="CZ307" s="9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92">
        <f t="shared" si="136"/>
        <v>0</v>
      </c>
      <c r="DZ307" s="13"/>
      <c r="EA307" s="13"/>
      <c r="EB307" s="13"/>
      <c r="EC307" s="13"/>
      <c r="ED307" s="13"/>
      <c r="EE307" s="13"/>
      <c r="EF307" s="13"/>
      <c r="EG307" s="13"/>
      <c r="EH307" s="13"/>
      <c r="EI307" s="13"/>
      <c r="EJ307" s="13"/>
      <c r="EK307" s="13"/>
      <c r="EL307" s="13"/>
      <c r="EM307" s="13"/>
      <c r="EN307" s="13"/>
      <c r="EO307" s="13"/>
      <c r="EP307" s="13"/>
      <c r="EQ307" s="13"/>
      <c r="ER307" s="13"/>
      <c r="ES307" s="13"/>
      <c r="ET307" s="13"/>
      <c r="EU307" s="13"/>
      <c r="EV307" s="13"/>
      <c r="EW307" s="13"/>
      <c r="EX307" s="13"/>
      <c r="EY307" s="13"/>
      <c r="EZ307" s="13"/>
      <c r="FA307" s="13"/>
      <c r="FB307" s="13"/>
      <c r="FC307" s="13"/>
      <c r="FD307" s="13"/>
      <c r="FE307" s="13"/>
      <c r="FF307" s="13"/>
      <c r="FG307" s="13"/>
      <c r="FH307" s="13"/>
      <c r="FI307" s="13"/>
      <c r="FJ307" s="13"/>
      <c r="FK307" s="13"/>
      <c r="FL307" s="13"/>
      <c r="FM307" s="13"/>
      <c r="FN307" s="13"/>
      <c r="FO307" s="13"/>
      <c r="FP307" s="13"/>
      <c r="FQ307" s="13"/>
      <c r="FR307" s="13"/>
      <c r="FS307" s="13"/>
      <c r="FT307" s="13"/>
      <c r="FU307" s="13"/>
      <c r="FV307" s="25">
        <v>1</v>
      </c>
      <c r="FW307" s="25">
        <v>1</v>
      </c>
      <c r="FX307" s="25">
        <v>1</v>
      </c>
      <c r="FY307" s="25">
        <v>1</v>
      </c>
      <c r="FZ307" s="25">
        <v>1</v>
      </c>
      <c r="GA307" s="25">
        <v>1</v>
      </c>
      <c r="GB307" s="25">
        <v>1</v>
      </c>
      <c r="GC307" s="25">
        <v>1</v>
      </c>
      <c r="GD307" s="25">
        <v>1</v>
      </c>
      <c r="GE307" s="25">
        <v>1</v>
      </c>
      <c r="GF307" s="25">
        <v>1</v>
      </c>
      <c r="GG307" s="25">
        <v>1</v>
      </c>
      <c r="GH307" s="25">
        <v>1</v>
      </c>
      <c r="GI307" s="25">
        <v>1</v>
      </c>
      <c r="GJ307" s="25">
        <v>1</v>
      </c>
      <c r="GK307" s="25">
        <v>1</v>
      </c>
      <c r="GL307" s="25">
        <v>1</v>
      </c>
      <c r="GM307" s="25">
        <v>1</v>
      </c>
      <c r="GN307" s="25">
        <v>1</v>
      </c>
      <c r="GO307" s="25">
        <v>1</v>
      </c>
      <c r="GP307" s="25">
        <v>1</v>
      </c>
      <c r="GQ307" s="25">
        <v>1</v>
      </c>
      <c r="GR307" s="25">
        <v>1</v>
      </c>
      <c r="GS307" s="25">
        <v>1</v>
      </c>
      <c r="GT307" s="25">
        <v>1</v>
      </c>
      <c r="GU307" s="25">
        <v>1</v>
      </c>
      <c r="GV307" s="25" t="s">
        <v>1588</v>
      </c>
      <c r="GW307" s="25" t="s">
        <v>1588</v>
      </c>
      <c r="GX307" s="25" t="s">
        <v>1588</v>
      </c>
      <c r="GY307" s="25" t="s">
        <v>1588</v>
      </c>
      <c r="GZ307" s="25" t="s">
        <v>1588</v>
      </c>
      <c r="HA307" s="25" t="s">
        <v>1588</v>
      </c>
      <c r="HB307" s="25" t="s">
        <v>1588</v>
      </c>
      <c r="HC307" s="25" t="s">
        <v>1588</v>
      </c>
      <c r="HD307" s="25" t="s">
        <v>1588</v>
      </c>
      <c r="HE307" s="25" t="s">
        <v>1588</v>
      </c>
      <c r="HF307" s="25" t="s">
        <v>1588</v>
      </c>
      <c r="HG307" s="25" t="s">
        <v>1588</v>
      </c>
      <c r="HH307" s="25" t="s">
        <v>1588</v>
      </c>
      <c r="HI307" s="25"/>
      <c r="HJ307" s="25"/>
      <c r="HK307" s="25"/>
      <c r="HL307" s="25"/>
      <c r="HM307" s="84"/>
      <c r="HN307" s="84"/>
      <c r="HO307" s="84"/>
      <c r="HP307" s="84"/>
      <c r="HQ307" s="84"/>
      <c r="HR307" s="84"/>
      <c r="HS307" s="84"/>
      <c r="HT307" s="84"/>
      <c r="HU307" s="13" t="s">
        <v>641</v>
      </c>
      <c r="HV307" s="13"/>
      <c r="HW307" s="32"/>
      <c r="HX307" s="23">
        <v>42636</v>
      </c>
      <c r="HY307" s="55"/>
      <c r="HZ307" s="55"/>
      <c r="IA307" s="251"/>
      <c r="IB307" s="251"/>
      <c r="IC307" s="251"/>
      <c r="ID307" s="251"/>
      <c r="IE307" s="251"/>
      <c r="IF307" s="107">
        <v>0</v>
      </c>
      <c r="IG307" s="107"/>
      <c r="IH307" s="250">
        <f t="shared" si="134"/>
        <v>0</v>
      </c>
      <c r="II307" s="251"/>
      <c r="IJ307" s="251"/>
      <c r="IK307" s="251"/>
      <c r="IL307" s="251"/>
      <c r="IM307" s="251"/>
      <c r="IN307" s="251"/>
      <c r="IO307" s="251"/>
      <c r="IP307" s="251"/>
      <c r="IQ307" s="251"/>
      <c r="IR307" s="251"/>
      <c r="IS307" s="251"/>
      <c r="IT307" s="251"/>
      <c r="IU307" s="251"/>
      <c r="IV307" s="251"/>
      <c r="IW307" s="251"/>
      <c r="IX307" s="251"/>
      <c r="IY307" s="251"/>
      <c r="IZ307" s="251"/>
      <c r="JA307" s="251"/>
      <c r="JB307" s="251"/>
      <c r="JC307" s="251"/>
      <c r="JD307" s="251">
        <v>2017</v>
      </c>
    </row>
    <row r="308" spans="1:264" s="5" customFormat="1" ht="20.100000000000001" hidden="1" customHeight="1">
      <c r="A308" s="26" t="s">
        <v>9</v>
      </c>
      <c r="B308" s="26" t="s">
        <v>203</v>
      </c>
      <c r="C308" s="13" t="s">
        <v>349</v>
      </c>
      <c r="D308" s="13" t="s">
        <v>380</v>
      </c>
      <c r="E308" s="16" t="s">
        <v>350</v>
      </c>
      <c r="F308" s="13" t="s">
        <v>383</v>
      </c>
      <c r="G308" s="39" t="s">
        <v>354</v>
      </c>
      <c r="H308" s="28" t="s">
        <v>1559</v>
      </c>
      <c r="I308" s="69" t="s">
        <v>438</v>
      </c>
      <c r="J308" s="40">
        <v>9</v>
      </c>
      <c r="K308" s="49" t="s">
        <v>375</v>
      </c>
      <c r="L308" s="314" t="s">
        <v>629</v>
      </c>
      <c r="M308" s="395"/>
      <c r="N308" s="43"/>
      <c r="O308" s="13" t="s">
        <v>206</v>
      </c>
      <c r="P308" s="13" t="s">
        <v>4</v>
      </c>
      <c r="Q308" s="22" t="s">
        <v>794</v>
      </c>
      <c r="R308" s="314"/>
      <c r="S308" s="13"/>
      <c r="T308" s="13"/>
      <c r="U308" s="13"/>
      <c r="V308" s="13"/>
      <c r="W308" s="13" t="s">
        <v>570</v>
      </c>
      <c r="X308" s="13" t="s">
        <v>570</v>
      </c>
      <c r="Y308" s="13"/>
      <c r="Z308" s="13"/>
      <c r="AA308" s="29"/>
      <c r="AB308" s="29">
        <v>0</v>
      </c>
      <c r="AC308" s="29">
        <v>0</v>
      </c>
      <c r="AD308" s="29"/>
      <c r="AE308" s="29">
        <v>0</v>
      </c>
      <c r="AF308" s="29">
        <f t="shared" si="138"/>
        <v>0</v>
      </c>
      <c r="AG308" s="25">
        <v>0.12</v>
      </c>
      <c r="AH308" s="29">
        <f t="shared" si="131"/>
        <v>0</v>
      </c>
      <c r="AI308" s="29">
        <f t="shared" si="132"/>
        <v>0</v>
      </c>
      <c r="AJ308" s="29">
        <f t="shared" si="133"/>
        <v>0</v>
      </c>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f t="shared" si="139"/>
        <v>0</v>
      </c>
      <c r="BH308" s="29"/>
      <c r="BI308" s="29"/>
      <c r="BJ308" s="23" t="s">
        <v>570</v>
      </c>
      <c r="BK308" s="29"/>
      <c r="BL308" s="29"/>
      <c r="BM308" s="29"/>
      <c r="BN308" s="13"/>
      <c r="BO308" s="13"/>
      <c r="BP308" s="13"/>
      <c r="BQ308" s="13"/>
      <c r="BR308" s="13"/>
      <c r="BS308" s="13"/>
      <c r="BT308" s="13"/>
      <c r="BU308" s="13"/>
      <c r="BV308" s="13"/>
      <c r="BW308" s="13"/>
      <c r="BX308" s="13"/>
      <c r="BY308" s="13"/>
      <c r="BZ308" s="13"/>
      <c r="CA308" s="13"/>
      <c r="CB308" s="224" t="s">
        <v>570</v>
      </c>
      <c r="CC308" s="224" t="s">
        <v>570</v>
      </c>
      <c r="CD308" s="224" t="s">
        <v>570</v>
      </c>
      <c r="CE308" s="13"/>
      <c r="CF308" s="13"/>
      <c r="CG308" s="13"/>
      <c r="CH308" s="13"/>
      <c r="CI308" s="13"/>
      <c r="CJ308" s="13"/>
      <c r="CK308" s="13"/>
      <c r="CL308" s="13"/>
      <c r="CM308" s="13"/>
      <c r="CN308" s="13"/>
      <c r="CO308" s="13"/>
      <c r="CP308" s="13"/>
      <c r="CQ308" s="13"/>
      <c r="CR308" s="13"/>
      <c r="CS308" s="29" t="s">
        <v>570</v>
      </c>
      <c r="CT308" s="29" t="s">
        <v>570</v>
      </c>
      <c r="CU308" s="29" t="s">
        <v>570</v>
      </c>
      <c r="CV308" s="23"/>
      <c r="CW308" s="13"/>
      <c r="CX308" s="13"/>
      <c r="CY308" s="13"/>
      <c r="CZ308" s="9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92">
        <f t="shared" si="136"/>
        <v>0</v>
      </c>
      <c r="DZ308" s="13"/>
      <c r="EA308" s="13"/>
      <c r="EB308" s="13"/>
      <c r="EC308" s="13"/>
      <c r="ED308" s="13"/>
      <c r="EE308" s="13"/>
      <c r="EF308" s="13"/>
      <c r="EG308" s="13"/>
      <c r="EH308" s="13"/>
      <c r="EI308" s="13"/>
      <c r="EJ308" s="13"/>
      <c r="EK308" s="13"/>
      <c r="EL308" s="13"/>
      <c r="EM308" s="13"/>
      <c r="EN308" s="13"/>
      <c r="EO308" s="13"/>
      <c r="EP308" s="13"/>
      <c r="EQ308" s="13"/>
      <c r="ER308" s="13"/>
      <c r="ES308" s="13"/>
      <c r="ET308" s="13"/>
      <c r="EU308" s="13"/>
      <c r="EV308" s="13"/>
      <c r="EW308" s="13"/>
      <c r="EX308" s="13"/>
      <c r="EY308" s="13"/>
      <c r="EZ308" s="13"/>
      <c r="FA308" s="13"/>
      <c r="FB308" s="13"/>
      <c r="FC308" s="13"/>
      <c r="FD308" s="13"/>
      <c r="FE308" s="13"/>
      <c r="FF308" s="13"/>
      <c r="FG308" s="13"/>
      <c r="FH308" s="13"/>
      <c r="FI308" s="13"/>
      <c r="FJ308" s="13"/>
      <c r="FK308" s="13"/>
      <c r="FL308" s="13"/>
      <c r="FM308" s="13"/>
      <c r="FN308" s="13"/>
      <c r="FO308" s="13"/>
      <c r="FP308" s="13"/>
      <c r="FQ308" s="13"/>
      <c r="FR308" s="13"/>
      <c r="FS308" s="13"/>
      <c r="FT308" s="13"/>
      <c r="FU308" s="13"/>
      <c r="FV308" s="25">
        <v>1</v>
      </c>
      <c r="FW308" s="25">
        <v>1</v>
      </c>
      <c r="FX308" s="25">
        <v>1</v>
      </c>
      <c r="FY308" s="25">
        <v>1</v>
      </c>
      <c r="FZ308" s="25">
        <v>1</v>
      </c>
      <c r="GA308" s="25">
        <v>1</v>
      </c>
      <c r="GB308" s="25">
        <v>1</v>
      </c>
      <c r="GC308" s="25">
        <v>1</v>
      </c>
      <c r="GD308" s="25">
        <v>1</v>
      </c>
      <c r="GE308" s="25">
        <v>1</v>
      </c>
      <c r="GF308" s="25">
        <v>1</v>
      </c>
      <c r="GG308" s="25">
        <v>1</v>
      </c>
      <c r="GH308" s="25">
        <v>1</v>
      </c>
      <c r="GI308" s="25">
        <v>1</v>
      </c>
      <c r="GJ308" s="25">
        <v>1</v>
      </c>
      <c r="GK308" s="25">
        <v>1</v>
      </c>
      <c r="GL308" s="25">
        <v>1</v>
      </c>
      <c r="GM308" s="25">
        <v>1</v>
      </c>
      <c r="GN308" s="25">
        <v>1</v>
      </c>
      <c r="GO308" s="25">
        <v>1</v>
      </c>
      <c r="GP308" s="25">
        <v>1</v>
      </c>
      <c r="GQ308" s="25">
        <v>1</v>
      </c>
      <c r="GR308" s="25">
        <v>1</v>
      </c>
      <c r="GS308" s="25">
        <v>1</v>
      </c>
      <c r="GT308" s="25">
        <v>1</v>
      </c>
      <c r="GU308" s="25">
        <v>1</v>
      </c>
      <c r="GV308" s="25" t="s">
        <v>1588</v>
      </c>
      <c r="GW308" s="25" t="s">
        <v>1588</v>
      </c>
      <c r="GX308" s="25" t="s">
        <v>1588</v>
      </c>
      <c r="GY308" s="25" t="s">
        <v>1588</v>
      </c>
      <c r="GZ308" s="25" t="s">
        <v>1588</v>
      </c>
      <c r="HA308" s="25" t="s">
        <v>1588</v>
      </c>
      <c r="HB308" s="25" t="s">
        <v>1588</v>
      </c>
      <c r="HC308" s="25" t="s">
        <v>1588</v>
      </c>
      <c r="HD308" s="25" t="s">
        <v>1588</v>
      </c>
      <c r="HE308" s="25" t="s">
        <v>1588</v>
      </c>
      <c r="HF308" s="25" t="s">
        <v>1588</v>
      </c>
      <c r="HG308" s="25" t="s">
        <v>1588</v>
      </c>
      <c r="HH308" s="25" t="s">
        <v>1588</v>
      </c>
      <c r="HI308" s="25"/>
      <c r="HJ308" s="25"/>
      <c r="HK308" s="25"/>
      <c r="HL308" s="25"/>
      <c r="HM308" s="84"/>
      <c r="HN308" s="84"/>
      <c r="HO308" s="84"/>
      <c r="HP308" s="84"/>
      <c r="HQ308" s="84"/>
      <c r="HR308" s="84"/>
      <c r="HS308" s="84"/>
      <c r="HT308" s="84"/>
      <c r="HU308" s="13" t="s">
        <v>641</v>
      </c>
      <c r="HV308" s="13"/>
      <c r="HW308" s="32"/>
      <c r="HX308" s="23">
        <v>42636</v>
      </c>
      <c r="HY308" s="55"/>
      <c r="HZ308" s="55"/>
      <c r="IA308" s="55"/>
      <c r="IB308" s="55"/>
      <c r="IC308" s="55"/>
      <c r="ID308" s="55"/>
      <c r="IE308" s="55"/>
      <c r="IF308" s="107">
        <v>0</v>
      </c>
      <c r="IG308" s="107"/>
      <c r="IH308" s="250">
        <f t="shared" si="134"/>
        <v>0</v>
      </c>
      <c r="II308" s="55"/>
      <c r="IJ308" s="55"/>
      <c r="IK308" s="55"/>
      <c r="IL308" s="55"/>
      <c r="IM308" s="55"/>
      <c r="IN308" s="55"/>
      <c r="IO308" s="55"/>
      <c r="IP308" s="55"/>
      <c r="IQ308" s="55"/>
      <c r="IR308" s="55"/>
      <c r="IS308" s="55"/>
      <c r="IT308" s="55"/>
      <c r="IU308" s="55"/>
      <c r="IV308" s="55"/>
      <c r="IW308" s="55"/>
      <c r="IX308" s="55"/>
      <c r="IY308" s="55"/>
      <c r="IZ308" s="55"/>
      <c r="JA308" s="55"/>
      <c r="JB308" s="55"/>
      <c r="JC308" s="55"/>
      <c r="JD308" s="55">
        <v>2017</v>
      </c>
    </row>
    <row r="309" spans="1:264" s="10" customFormat="1" ht="20.100000000000001" hidden="1" customHeight="1">
      <c r="A309" s="26" t="s">
        <v>9</v>
      </c>
      <c r="B309" s="26" t="s">
        <v>203</v>
      </c>
      <c r="C309" s="13" t="s">
        <v>349</v>
      </c>
      <c r="D309" s="13" t="s">
        <v>380</v>
      </c>
      <c r="E309" s="16" t="s">
        <v>360</v>
      </c>
      <c r="F309" s="13" t="s">
        <v>383</v>
      </c>
      <c r="G309" s="39" t="s">
        <v>354</v>
      </c>
      <c r="H309" s="28" t="s">
        <v>1548</v>
      </c>
      <c r="I309" s="69" t="s">
        <v>135</v>
      </c>
      <c r="J309" s="40">
        <v>6</v>
      </c>
      <c r="K309" s="49" t="s">
        <v>375</v>
      </c>
      <c r="L309" s="314" t="s">
        <v>629</v>
      </c>
      <c r="M309" s="396"/>
      <c r="N309" s="43"/>
      <c r="O309" s="13" t="s">
        <v>206</v>
      </c>
      <c r="P309" s="13" t="s">
        <v>4</v>
      </c>
      <c r="Q309" s="22" t="s">
        <v>794</v>
      </c>
      <c r="R309" s="314"/>
      <c r="S309" s="13"/>
      <c r="T309" s="13"/>
      <c r="U309" s="13"/>
      <c r="V309" s="13"/>
      <c r="W309" s="13" t="s">
        <v>570</v>
      </c>
      <c r="X309" s="13" t="s">
        <v>570</v>
      </c>
      <c r="Y309" s="13"/>
      <c r="Z309" s="13"/>
      <c r="AA309" s="29"/>
      <c r="AB309" s="29">
        <v>0</v>
      </c>
      <c r="AC309" s="29">
        <v>0</v>
      </c>
      <c r="AD309" s="29"/>
      <c r="AE309" s="29">
        <v>0</v>
      </c>
      <c r="AF309" s="29">
        <f t="shared" si="138"/>
        <v>0</v>
      </c>
      <c r="AG309" s="25">
        <v>0.12</v>
      </c>
      <c r="AH309" s="29">
        <f t="shared" si="131"/>
        <v>0</v>
      </c>
      <c r="AI309" s="29">
        <f t="shared" si="132"/>
        <v>0</v>
      </c>
      <c r="AJ309" s="29">
        <f t="shared" si="133"/>
        <v>0</v>
      </c>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f t="shared" si="139"/>
        <v>0</v>
      </c>
      <c r="BH309" s="29"/>
      <c r="BI309" s="29"/>
      <c r="BJ309" s="23" t="s">
        <v>570</v>
      </c>
      <c r="BK309" s="29"/>
      <c r="BL309" s="29"/>
      <c r="BM309" s="29"/>
      <c r="BN309" s="13"/>
      <c r="BO309" s="13"/>
      <c r="BP309" s="13"/>
      <c r="BQ309" s="13"/>
      <c r="BR309" s="13"/>
      <c r="BS309" s="13"/>
      <c r="BT309" s="13"/>
      <c r="BU309" s="13"/>
      <c r="BV309" s="13"/>
      <c r="BW309" s="13"/>
      <c r="BX309" s="13"/>
      <c r="BY309" s="13"/>
      <c r="BZ309" s="13"/>
      <c r="CA309" s="13"/>
      <c r="CB309" s="224" t="s">
        <v>570</v>
      </c>
      <c r="CC309" s="224" t="s">
        <v>570</v>
      </c>
      <c r="CD309" s="224" t="s">
        <v>570</v>
      </c>
      <c r="CE309" s="13"/>
      <c r="CF309" s="13"/>
      <c r="CG309" s="13"/>
      <c r="CH309" s="13"/>
      <c r="CI309" s="13"/>
      <c r="CJ309" s="13"/>
      <c r="CK309" s="13"/>
      <c r="CL309" s="13"/>
      <c r="CM309" s="13"/>
      <c r="CN309" s="13"/>
      <c r="CO309" s="13"/>
      <c r="CP309" s="13"/>
      <c r="CQ309" s="13"/>
      <c r="CR309" s="13"/>
      <c r="CS309" s="29" t="s">
        <v>570</v>
      </c>
      <c r="CT309" s="29" t="s">
        <v>570</v>
      </c>
      <c r="CU309" s="29" t="s">
        <v>570</v>
      </c>
      <c r="CV309" s="23"/>
      <c r="CW309" s="13"/>
      <c r="CX309" s="13"/>
      <c r="CY309" s="13"/>
      <c r="CZ309" s="9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92">
        <f t="shared" si="136"/>
        <v>0</v>
      </c>
      <c r="DZ309" s="13"/>
      <c r="EA309" s="13"/>
      <c r="EB309" s="13"/>
      <c r="EC309" s="13"/>
      <c r="ED309" s="13"/>
      <c r="EE309" s="13"/>
      <c r="EF309" s="13"/>
      <c r="EG309" s="13"/>
      <c r="EH309" s="13"/>
      <c r="EI309" s="13"/>
      <c r="EJ309" s="13"/>
      <c r="EK309" s="13"/>
      <c r="EL309" s="13"/>
      <c r="EM309" s="13"/>
      <c r="EN309" s="13"/>
      <c r="EO309" s="13"/>
      <c r="EP309" s="13"/>
      <c r="EQ309" s="13"/>
      <c r="ER309" s="13"/>
      <c r="ES309" s="13"/>
      <c r="ET309" s="13"/>
      <c r="EU309" s="13"/>
      <c r="EV309" s="13"/>
      <c r="EW309" s="13"/>
      <c r="EX309" s="13"/>
      <c r="EY309" s="13"/>
      <c r="EZ309" s="13"/>
      <c r="FA309" s="13"/>
      <c r="FB309" s="13"/>
      <c r="FC309" s="13"/>
      <c r="FD309" s="13"/>
      <c r="FE309" s="13"/>
      <c r="FF309" s="13"/>
      <c r="FG309" s="13"/>
      <c r="FH309" s="13"/>
      <c r="FI309" s="13"/>
      <c r="FJ309" s="13"/>
      <c r="FK309" s="13"/>
      <c r="FL309" s="13"/>
      <c r="FM309" s="13"/>
      <c r="FN309" s="13"/>
      <c r="FO309" s="13"/>
      <c r="FP309" s="13"/>
      <c r="FQ309" s="13"/>
      <c r="FR309" s="13"/>
      <c r="FS309" s="13"/>
      <c r="FT309" s="13"/>
      <c r="FU309" s="13"/>
      <c r="FV309" s="25">
        <v>1</v>
      </c>
      <c r="FW309" s="25">
        <v>1</v>
      </c>
      <c r="FX309" s="25">
        <v>1</v>
      </c>
      <c r="FY309" s="25">
        <v>1</v>
      </c>
      <c r="FZ309" s="25">
        <v>1</v>
      </c>
      <c r="GA309" s="25">
        <v>1</v>
      </c>
      <c r="GB309" s="25">
        <v>1</v>
      </c>
      <c r="GC309" s="25">
        <v>1</v>
      </c>
      <c r="GD309" s="25">
        <v>1</v>
      </c>
      <c r="GE309" s="25">
        <v>1</v>
      </c>
      <c r="GF309" s="25">
        <v>1</v>
      </c>
      <c r="GG309" s="25">
        <v>1</v>
      </c>
      <c r="GH309" s="25">
        <v>1</v>
      </c>
      <c r="GI309" s="25">
        <v>1</v>
      </c>
      <c r="GJ309" s="25">
        <v>1</v>
      </c>
      <c r="GK309" s="25">
        <v>1</v>
      </c>
      <c r="GL309" s="25">
        <v>1</v>
      </c>
      <c r="GM309" s="25">
        <v>1</v>
      </c>
      <c r="GN309" s="25">
        <v>1</v>
      </c>
      <c r="GO309" s="25">
        <v>1</v>
      </c>
      <c r="GP309" s="25">
        <v>1</v>
      </c>
      <c r="GQ309" s="25">
        <v>1</v>
      </c>
      <c r="GR309" s="25">
        <v>1</v>
      </c>
      <c r="GS309" s="25">
        <v>1</v>
      </c>
      <c r="GT309" s="25">
        <v>1</v>
      </c>
      <c r="GU309" s="25">
        <v>1</v>
      </c>
      <c r="GV309" s="25" t="s">
        <v>1588</v>
      </c>
      <c r="GW309" s="25" t="s">
        <v>1588</v>
      </c>
      <c r="GX309" s="25" t="s">
        <v>1588</v>
      </c>
      <c r="GY309" s="25" t="s">
        <v>1588</v>
      </c>
      <c r="GZ309" s="25" t="s">
        <v>1588</v>
      </c>
      <c r="HA309" s="25" t="s">
        <v>1588</v>
      </c>
      <c r="HB309" s="25" t="s">
        <v>1588</v>
      </c>
      <c r="HC309" s="25" t="s">
        <v>1588</v>
      </c>
      <c r="HD309" s="25" t="s">
        <v>1588</v>
      </c>
      <c r="HE309" s="25" t="s">
        <v>1588</v>
      </c>
      <c r="HF309" s="25" t="s">
        <v>1588</v>
      </c>
      <c r="HG309" s="25" t="s">
        <v>1588</v>
      </c>
      <c r="HH309" s="25" t="s">
        <v>1588</v>
      </c>
      <c r="HI309" s="25"/>
      <c r="HJ309" s="25"/>
      <c r="HK309" s="25"/>
      <c r="HL309" s="25"/>
      <c r="HM309" s="84"/>
      <c r="HN309" s="84"/>
      <c r="HO309" s="84"/>
      <c r="HP309" s="84"/>
      <c r="HQ309" s="84"/>
      <c r="HR309" s="84"/>
      <c r="HS309" s="84"/>
      <c r="HT309" s="84"/>
      <c r="HU309" s="13" t="s">
        <v>641</v>
      </c>
      <c r="HV309" s="13"/>
      <c r="HW309" s="32"/>
      <c r="HX309" s="55"/>
      <c r="HY309" s="55"/>
      <c r="HZ309" s="55"/>
      <c r="IA309" s="251"/>
      <c r="IB309" s="251"/>
      <c r="IC309" s="251"/>
      <c r="ID309" s="251"/>
      <c r="IE309" s="251"/>
      <c r="IF309" s="107">
        <v>0</v>
      </c>
      <c r="IG309" s="107"/>
      <c r="IH309" s="250">
        <f t="shared" si="134"/>
        <v>0</v>
      </c>
      <c r="II309" s="251"/>
      <c r="IJ309" s="251"/>
      <c r="IK309" s="251"/>
      <c r="IL309" s="251"/>
      <c r="IM309" s="251"/>
      <c r="IN309" s="251"/>
      <c r="IO309" s="251"/>
      <c r="IP309" s="251"/>
      <c r="IQ309" s="251"/>
      <c r="IR309" s="251"/>
      <c r="IS309" s="251"/>
      <c r="IT309" s="251"/>
      <c r="IU309" s="251"/>
      <c r="IV309" s="251"/>
      <c r="IW309" s="251"/>
      <c r="IX309" s="251"/>
      <c r="IY309" s="251"/>
      <c r="IZ309" s="251"/>
      <c r="JA309" s="251"/>
      <c r="JB309" s="251"/>
      <c r="JC309" s="251"/>
      <c r="JD309" s="251">
        <v>2017</v>
      </c>
    </row>
    <row r="310" spans="1:264" s="5" customFormat="1" ht="20.100000000000001" hidden="1" customHeight="1">
      <c r="A310" s="26" t="s">
        <v>9</v>
      </c>
      <c r="B310" s="26" t="s">
        <v>203</v>
      </c>
      <c r="C310" s="13" t="s">
        <v>349</v>
      </c>
      <c r="D310" s="13" t="s">
        <v>380</v>
      </c>
      <c r="E310" s="16" t="s">
        <v>350</v>
      </c>
      <c r="F310" s="13" t="s">
        <v>356</v>
      </c>
      <c r="G310" s="39" t="s">
        <v>351</v>
      </c>
      <c r="H310" s="28" t="s">
        <v>1548</v>
      </c>
      <c r="I310" s="47" t="s">
        <v>129</v>
      </c>
      <c r="J310" s="40">
        <v>3</v>
      </c>
      <c r="K310" s="49" t="s">
        <v>375</v>
      </c>
      <c r="L310" s="314" t="s">
        <v>630</v>
      </c>
      <c r="M310" s="14" t="s">
        <v>1807</v>
      </c>
      <c r="N310" s="43"/>
      <c r="O310" s="13" t="s">
        <v>206</v>
      </c>
      <c r="P310" s="13" t="s">
        <v>4</v>
      </c>
      <c r="Q310" s="22" t="s">
        <v>794</v>
      </c>
      <c r="R310" s="314"/>
      <c r="S310" s="13"/>
      <c r="T310" s="13"/>
      <c r="U310" s="13"/>
      <c r="V310" s="13"/>
      <c r="W310" s="13" t="s">
        <v>570</v>
      </c>
      <c r="X310" s="13" t="s">
        <v>570</v>
      </c>
      <c r="Y310" s="13"/>
      <c r="Z310" s="13"/>
      <c r="AA310" s="29"/>
      <c r="AB310" s="29">
        <v>0</v>
      </c>
      <c r="AC310" s="29">
        <v>0</v>
      </c>
      <c r="AD310" s="29"/>
      <c r="AE310" s="29">
        <v>0</v>
      </c>
      <c r="AF310" s="29">
        <f t="shared" si="138"/>
        <v>0</v>
      </c>
      <c r="AG310" s="25">
        <v>0.12</v>
      </c>
      <c r="AH310" s="29">
        <f t="shared" si="131"/>
        <v>0</v>
      </c>
      <c r="AI310" s="29">
        <f t="shared" si="132"/>
        <v>0</v>
      </c>
      <c r="AJ310" s="29">
        <f t="shared" si="133"/>
        <v>0</v>
      </c>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f t="shared" si="139"/>
        <v>0</v>
      </c>
      <c r="BH310" s="29"/>
      <c r="BI310" s="29"/>
      <c r="BJ310" s="23" t="s">
        <v>570</v>
      </c>
      <c r="BK310" s="29"/>
      <c r="BL310" s="29"/>
      <c r="BM310" s="29"/>
      <c r="BN310" s="13"/>
      <c r="BO310" s="13"/>
      <c r="BP310" s="13"/>
      <c r="BQ310" s="13"/>
      <c r="BR310" s="13"/>
      <c r="BS310" s="13"/>
      <c r="BT310" s="13"/>
      <c r="BU310" s="13"/>
      <c r="BV310" s="13"/>
      <c r="BW310" s="13"/>
      <c r="BX310" s="13"/>
      <c r="BY310" s="13"/>
      <c r="BZ310" s="13"/>
      <c r="CA310" s="13"/>
      <c r="CB310" s="224" t="s">
        <v>570</v>
      </c>
      <c r="CC310" s="224" t="s">
        <v>570</v>
      </c>
      <c r="CD310" s="224" t="s">
        <v>570</v>
      </c>
      <c r="CE310" s="13"/>
      <c r="CF310" s="13"/>
      <c r="CG310" s="13"/>
      <c r="CH310" s="13"/>
      <c r="CI310" s="13"/>
      <c r="CJ310" s="13"/>
      <c r="CK310" s="13"/>
      <c r="CL310" s="13"/>
      <c r="CM310" s="13"/>
      <c r="CN310" s="13"/>
      <c r="CO310" s="13"/>
      <c r="CP310" s="13"/>
      <c r="CQ310" s="13"/>
      <c r="CR310" s="13"/>
      <c r="CS310" s="29" t="s">
        <v>570</v>
      </c>
      <c r="CT310" s="29" t="s">
        <v>570</v>
      </c>
      <c r="CU310" s="29" t="s">
        <v>570</v>
      </c>
      <c r="CV310" s="23"/>
      <c r="CW310" s="13"/>
      <c r="CX310" s="13"/>
      <c r="CY310" s="13"/>
      <c r="CZ310" s="9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92">
        <f t="shared" si="136"/>
        <v>0</v>
      </c>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c r="EY310" s="13"/>
      <c r="EZ310" s="13"/>
      <c r="FA310" s="13"/>
      <c r="FB310" s="13"/>
      <c r="FC310" s="13"/>
      <c r="FD310" s="13"/>
      <c r="FE310" s="13"/>
      <c r="FF310" s="13"/>
      <c r="FG310" s="13"/>
      <c r="FH310" s="13"/>
      <c r="FI310" s="13"/>
      <c r="FJ310" s="13"/>
      <c r="FK310" s="13"/>
      <c r="FL310" s="13"/>
      <c r="FM310" s="13"/>
      <c r="FN310" s="13"/>
      <c r="FO310" s="13"/>
      <c r="FP310" s="13"/>
      <c r="FQ310" s="13"/>
      <c r="FR310" s="13"/>
      <c r="FS310" s="13"/>
      <c r="FT310" s="13"/>
      <c r="FU310" s="13"/>
      <c r="FV310" s="25">
        <v>1</v>
      </c>
      <c r="FW310" s="25">
        <v>1</v>
      </c>
      <c r="FX310" s="25">
        <v>1</v>
      </c>
      <c r="FY310" s="25">
        <v>1</v>
      </c>
      <c r="FZ310" s="25">
        <v>1</v>
      </c>
      <c r="GA310" s="25">
        <v>1</v>
      </c>
      <c r="GB310" s="25">
        <v>1</v>
      </c>
      <c r="GC310" s="25">
        <v>1</v>
      </c>
      <c r="GD310" s="25">
        <v>1</v>
      </c>
      <c r="GE310" s="25">
        <v>1</v>
      </c>
      <c r="GF310" s="25">
        <v>1</v>
      </c>
      <c r="GG310" s="25">
        <v>1</v>
      </c>
      <c r="GH310" s="25">
        <v>1</v>
      </c>
      <c r="GI310" s="25">
        <v>1</v>
      </c>
      <c r="GJ310" s="25">
        <v>1</v>
      </c>
      <c r="GK310" s="25">
        <v>1</v>
      </c>
      <c r="GL310" s="25">
        <v>1</v>
      </c>
      <c r="GM310" s="25">
        <v>1</v>
      </c>
      <c r="GN310" s="25">
        <v>1</v>
      </c>
      <c r="GO310" s="25">
        <v>1</v>
      </c>
      <c r="GP310" s="25">
        <v>1</v>
      </c>
      <c r="GQ310" s="25">
        <v>1</v>
      </c>
      <c r="GR310" s="25">
        <v>1</v>
      </c>
      <c r="GS310" s="25">
        <v>1</v>
      </c>
      <c r="GT310" s="25">
        <v>1</v>
      </c>
      <c r="GU310" s="25">
        <v>1</v>
      </c>
      <c r="GV310" s="25" t="s">
        <v>1588</v>
      </c>
      <c r="GW310" s="25" t="s">
        <v>1588</v>
      </c>
      <c r="GX310" s="25" t="s">
        <v>1588</v>
      </c>
      <c r="GY310" s="25" t="s">
        <v>1588</v>
      </c>
      <c r="GZ310" s="25" t="s">
        <v>1588</v>
      </c>
      <c r="HA310" s="25" t="s">
        <v>1588</v>
      </c>
      <c r="HB310" s="25" t="s">
        <v>1588</v>
      </c>
      <c r="HC310" s="25" t="s">
        <v>1588</v>
      </c>
      <c r="HD310" s="25" t="s">
        <v>1588</v>
      </c>
      <c r="HE310" s="25" t="s">
        <v>1588</v>
      </c>
      <c r="HF310" s="25" t="s">
        <v>1588</v>
      </c>
      <c r="HG310" s="25" t="s">
        <v>1588</v>
      </c>
      <c r="HH310" s="25" t="s">
        <v>1588</v>
      </c>
      <c r="HI310" s="25"/>
      <c r="HJ310" s="25"/>
      <c r="HK310" s="25"/>
      <c r="HL310" s="25"/>
      <c r="HM310" s="84"/>
      <c r="HN310" s="84"/>
      <c r="HO310" s="84"/>
      <c r="HP310" s="84"/>
      <c r="HQ310" s="84"/>
      <c r="HR310" s="84"/>
      <c r="HS310" s="84"/>
      <c r="HT310" s="84"/>
      <c r="HU310" s="13" t="s">
        <v>638</v>
      </c>
      <c r="HV310" s="13"/>
      <c r="HW310" s="32"/>
      <c r="HX310" s="55"/>
      <c r="HY310" s="55"/>
      <c r="HZ310" s="55"/>
      <c r="IA310" s="55"/>
      <c r="IB310" s="55"/>
      <c r="IC310" s="55"/>
      <c r="ID310" s="55"/>
      <c r="IE310" s="55"/>
      <c r="IF310" s="107">
        <v>0</v>
      </c>
      <c r="IG310" s="107"/>
      <c r="IH310" s="250">
        <f t="shared" si="134"/>
        <v>0</v>
      </c>
      <c r="II310" s="55"/>
      <c r="IJ310" s="55"/>
      <c r="IK310" s="55"/>
      <c r="IL310" s="55"/>
      <c r="IM310" s="55"/>
      <c r="IN310" s="55"/>
      <c r="IO310" s="55"/>
      <c r="IP310" s="55"/>
      <c r="IQ310" s="55"/>
      <c r="IR310" s="55"/>
      <c r="IS310" s="55"/>
      <c r="IT310" s="55"/>
      <c r="IU310" s="55"/>
      <c r="IV310" s="55"/>
      <c r="IW310" s="55"/>
      <c r="IX310" s="55"/>
      <c r="IY310" s="55"/>
      <c r="IZ310" s="55"/>
      <c r="JA310" s="55"/>
      <c r="JB310" s="55"/>
      <c r="JC310" s="55"/>
      <c r="JD310" s="55">
        <v>2017</v>
      </c>
    </row>
    <row r="311" spans="1:264" s="10" customFormat="1" ht="20.100000000000001" hidden="1" customHeight="1">
      <c r="A311" s="26" t="s">
        <v>9</v>
      </c>
      <c r="B311" s="26" t="s">
        <v>203</v>
      </c>
      <c r="C311" s="13" t="s">
        <v>349</v>
      </c>
      <c r="D311" s="13" t="s">
        <v>380</v>
      </c>
      <c r="E311" s="16" t="s">
        <v>350</v>
      </c>
      <c r="F311" s="13" t="s">
        <v>356</v>
      </c>
      <c r="G311" s="39" t="s">
        <v>351</v>
      </c>
      <c r="H311" s="28" t="s">
        <v>1559</v>
      </c>
      <c r="I311" s="47" t="s">
        <v>438</v>
      </c>
      <c r="J311" s="40">
        <v>9</v>
      </c>
      <c r="K311" s="49" t="s">
        <v>375</v>
      </c>
      <c r="L311" s="314" t="s">
        <v>630</v>
      </c>
      <c r="M311" s="14" t="s">
        <v>1808</v>
      </c>
      <c r="N311" s="43"/>
      <c r="O311" s="13" t="s">
        <v>206</v>
      </c>
      <c r="P311" s="13" t="s">
        <v>4</v>
      </c>
      <c r="Q311" s="22" t="s">
        <v>794</v>
      </c>
      <c r="R311" s="314"/>
      <c r="S311" s="13"/>
      <c r="T311" s="13"/>
      <c r="U311" s="13"/>
      <c r="V311" s="13"/>
      <c r="W311" s="13" t="s">
        <v>570</v>
      </c>
      <c r="X311" s="13" t="s">
        <v>570</v>
      </c>
      <c r="Y311" s="13"/>
      <c r="Z311" s="13"/>
      <c r="AA311" s="29"/>
      <c r="AB311" s="29">
        <v>0</v>
      </c>
      <c r="AC311" s="29">
        <v>0</v>
      </c>
      <c r="AD311" s="29"/>
      <c r="AE311" s="29">
        <v>0</v>
      </c>
      <c r="AF311" s="29">
        <f t="shared" si="138"/>
        <v>0</v>
      </c>
      <c r="AG311" s="25">
        <v>0.12</v>
      </c>
      <c r="AH311" s="29">
        <f t="shared" si="131"/>
        <v>0</v>
      </c>
      <c r="AI311" s="29">
        <f t="shared" si="132"/>
        <v>0</v>
      </c>
      <c r="AJ311" s="29">
        <f t="shared" si="133"/>
        <v>0</v>
      </c>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f t="shared" si="139"/>
        <v>0</v>
      </c>
      <c r="BH311" s="29"/>
      <c r="BI311" s="29"/>
      <c r="BJ311" s="23" t="s">
        <v>570</v>
      </c>
      <c r="BK311" s="29"/>
      <c r="BL311" s="29"/>
      <c r="BM311" s="29"/>
      <c r="BN311" s="13"/>
      <c r="BO311" s="13"/>
      <c r="BP311" s="13"/>
      <c r="BQ311" s="13"/>
      <c r="BR311" s="13"/>
      <c r="BS311" s="13"/>
      <c r="BT311" s="13"/>
      <c r="BU311" s="13"/>
      <c r="BV311" s="13"/>
      <c r="BW311" s="13"/>
      <c r="BX311" s="13"/>
      <c r="BY311" s="13"/>
      <c r="BZ311" s="13"/>
      <c r="CA311" s="13"/>
      <c r="CB311" s="224" t="s">
        <v>570</v>
      </c>
      <c r="CC311" s="224" t="s">
        <v>570</v>
      </c>
      <c r="CD311" s="224" t="s">
        <v>570</v>
      </c>
      <c r="CE311" s="13"/>
      <c r="CF311" s="13"/>
      <c r="CG311" s="13"/>
      <c r="CH311" s="13"/>
      <c r="CI311" s="13"/>
      <c r="CJ311" s="13"/>
      <c r="CK311" s="13"/>
      <c r="CL311" s="13"/>
      <c r="CM311" s="13"/>
      <c r="CN311" s="13"/>
      <c r="CO311" s="13"/>
      <c r="CP311" s="13"/>
      <c r="CQ311" s="13"/>
      <c r="CR311" s="13"/>
      <c r="CS311" s="29" t="s">
        <v>570</v>
      </c>
      <c r="CT311" s="29" t="s">
        <v>570</v>
      </c>
      <c r="CU311" s="29" t="s">
        <v>570</v>
      </c>
      <c r="CV311" s="23"/>
      <c r="CW311" s="13"/>
      <c r="CX311" s="13"/>
      <c r="CY311" s="13"/>
      <c r="CZ311" s="9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92">
        <f t="shared" si="136"/>
        <v>0</v>
      </c>
      <c r="DZ311" s="13"/>
      <c r="EA311" s="13"/>
      <c r="EB311" s="13"/>
      <c r="EC311" s="13"/>
      <c r="ED311" s="13"/>
      <c r="EE311" s="13"/>
      <c r="EF311" s="13"/>
      <c r="EG311" s="13"/>
      <c r="EH311" s="13"/>
      <c r="EI311" s="13"/>
      <c r="EJ311" s="13"/>
      <c r="EK311" s="13"/>
      <c r="EL311" s="13"/>
      <c r="EM311" s="13"/>
      <c r="EN311" s="13"/>
      <c r="EO311" s="13"/>
      <c r="EP311" s="13"/>
      <c r="EQ311" s="13"/>
      <c r="ER311" s="13"/>
      <c r="ES311" s="13"/>
      <c r="ET311" s="13"/>
      <c r="EU311" s="13"/>
      <c r="EV311" s="13"/>
      <c r="EW311" s="13"/>
      <c r="EX311" s="13"/>
      <c r="EY311" s="13"/>
      <c r="EZ311" s="13"/>
      <c r="FA311" s="13"/>
      <c r="FB311" s="13"/>
      <c r="FC311" s="13"/>
      <c r="FD311" s="13"/>
      <c r="FE311" s="13"/>
      <c r="FF311" s="13"/>
      <c r="FG311" s="13"/>
      <c r="FH311" s="13"/>
      <c r="FI311" s="13"/>
      <c r="FJ311" s="13"/>
      <c r="FK311" s="13"/>
      <c r="FL311" s="13"/>
      <c r="FM311" s="13"/>
      <c r="FN311" s="13"/>
      <c r="FO311" s="13"/>
      <c r="FP311" s="13"/>
      <c r="FQ311" s="13"/>
      <c r="FR311" s="13"/>
      <c r="FS311" s="13"/>
      <c r="FT311" s="13"/>
      <c r="FU311" s="13"/>
      <c r="FV311" s="25">
        <v>1</v>
      </c>
      <c r="FW311" s="25">
        <v>1</v>
      </c>
      <c r="FX311" s="25">
        <v>1</v>
      </c>
      <c r="FY311" s="25">
        <v>1</v>
      </c>
      <c r="FZ311" s="25">
        <v>1</v>
      </c>
      <c r="GA311" s="25">
        <v>1</v>
      </c>
      <c r="GB311" s="25">
        <v>1</v>
      </c>
      <c r="GC311" s="25">
        <v>1</v>
      </c>
      <c r="GD311" s="25">
        <v>1</v>
      </c>
      <c r="GE311" s="25">
        <v>1</v>
      </c>
      <c r="GF311" s="25">
        <v>1</v>
      </c>
      <c r="GG311" s="25">
        <v>1</v>
      </c>
      <c r="GH311" s="25">
        <v>1</v>
      </c>
      <c r="GI311" s="25">
        <v>1</v>
      </c>
      <c r="GJ311" s="25">
        <v>1</v>
      </c>
      <c r="GK311" s="25">
        <v>1</v>
      </c>
      <c r="GL311" s="25">
        <v>1</v>
      </c>
      <c r="GM311" s="25">
        <v>1</v>
      </c>
      <c r="GN311" s="25">
        <v>1</v>
      </c>
      <c r="GO311" s="25">
        <v>1</v>
      </c>
      <c r="GP311" s="25">
        <v>1</v>
      </c>
      <c r="GQ311" s="25">
        <v>1</v>
      </c>
      <c r="GR311" s="25">
        <v>1</v>
      </c>
      <c r="GS311" s="25">
        <v>1</v>
      </c>
      <c r="GT311" s="25">
        <v>1</v>
      </c>
      <c r="GU311" s="25">
        <v>1</v>
      </c>
      <c r="GV311" s="25" t="s">
        <v>1588</v>
      </c>
      <c r="GW311" s="25" t="s">
        <v>1588</v>
      </c>
      <c r="GX311" s="25" t="s">
        <v>1588</v>
      </c>
      <c r="GY311" s="25" t="s">
        <v>1588</v>
      </c>
      <c r="GZ311" s="25" t="s">
        <v>1588</v>
      </c>
      <c r="HA311" s="25" t="s">
        <v>1588</v>
      </c>
      <c r="HB311" s="25" t="s">
        <v>1588</v>
      </c>
      <c r="HC311" s="25" t="s">
        <v>1588</v>
      </c>
      <c r="HD311" s="25" t="s">
        <v>1588</v>
      </c>
      <c r="HE311" s="25" t="s">
        <v>1588</v>
      </c>
      <c r="HF311" s="25" t="s">
        <v>1588</v>
      </c>
      <c r="HG311" s="25" t="s">
        <v>1588</v>
      </c>
      <c r="HH311" s="25" t="s">
        <v>1588</v>
      </c>
      <c r="HI311" s="25"/>
      <c r="HJ311" s="25"/>
      <c r="HK311" s="25"/>
      <c r="HL311" s="25"/>
      <c r="HM311" s="84"/>
      <c r="HN311" s="84"/>
      <c r="HO311" s="84"/>
      <c r="HP311" s="84"/>
      <c r="HQ311" s="84"/>
      <c r="HR311" s="84"/>
      <c r="HS311" s="84"/>
      <c r="HT311" s="84"/>
      <c r="HU311" s="13" t="s">
        <v>638</v>
      </c>
      <c r="HV311" s="13"/>
      <c r="HW311" s="32"/>
      <c r="HX311" s="23">
        <v>42636</v>
      </c>
      <c r="HY311" s="55"/>
      <c r="HZ311" s="55"/>
      <c r="IA311" s="251"/>
      <c r="IB311" s="251"/>
      <c r="IC311" s="251"/>
      <c r="ID311" s="251"/>
      <c r="IE311" s="251"/>
      <c r="IF311" s="107">
        <v>0</v>
      </c>
      <c r="IG311" s="107"/>
      <c r="IH311" s="250">
        <f t="shared" si="134"/>
        <v>0</v>
      </c>
      <c r="II311" s="251"/>
      <c r="IJ311" s="251"/>
      <c r="IK311" s="251"/>
      <c r="IL311" s="251"/>
      <c r="IM311" s="251"/>
      <c r="IN311" s="251"/>
      <c r="IO311" s="251"/>
      <c r="IP311" s="251"/>
      <c r="IQ311" s="251"/>
      <c r="IR311" s="251"/>
      <c r="IS311" s="251"/>
      <c r="IT311" s="251"/>
      <c r="IU311" s="251"/>
      <c r="IV311" s="251"/>
      <c r="IW311" s="251"/>
      <c r="IX311" s="251"/>
      <c r="IY311" s="251"/>
      <c r="IZ311" s="251"/>
      <c r="JA311" s="251"/>
      <c r="JB311" s="251"/>
      <c r="JC311" s="251"/>
      <c r="JD311" s="251">
        <v>2017</v>
      </c>
    </row>
    <row r="312" spans="1:264" s="5" customFormat="1" ht="20.100000000000001" hidden="1" customHeight="1">
      <c r="A312" s="26" t="s">
        <v>9</v>
      </c>
      <c r="B312" s="26" t="s">
        <v>203</v>
      </c>
      <c r="C312" s="13" t="s">
        <v>349</v>
      </c>
      <c r="D312" s="13" t="s">
        <v>380</v>
      </c>
      <c r="E312" s="16" t="s">
        <v>360</v>
      </c>
      <c r="F312" s="13" t="s">
        <v>356</v>
      </c>
      <c r="G312" s="39" t="s">
        <v>354</v>
      </c>
      <c r="H312" s="28" t="s">
        <v>1559</v>
      </c>
      <c r="I312" s="69" t="s">
        <v>137</v>
      </c>
      <c r="J312" s="40">
        <v>7</v>
      </c>
      <c r="K312" s="49" t="s">
        <v>375</v>
      </c>
      <c r="L312" s="314" t="s">
        <v>631</v>
      </c>
      <c r="M312" s="14" t="s">
        <v>634</v>
      </c>
      <c r="N312" s="43"/>
      <c r="O312" s="13" t="s">
        <v>206</v>
      </c>
      <c r="P312" s="13" t="s">
        <v>4</v>
      </c>
      <c r="Q312" s="22" t="s">
        <v>794</v>
      </c>
      <c r="R312" s="314"/>
      <c r="S312" s="13"/>
      <c r="T312" s="13"/>
      <c r="U312" s="13"/>
      <c r="V312" s="13"/>
      <c r="W312" s="13" t="s">
        <v>570</v>
      </c>
      <c r="X312" s="13" t="s">
        <v>570</v>
      </c>
      <c r="Y312" s="13"/>
      <c r="Z312" s="13"/>
      <c r="AA312" s="29"/>
      <c r="AB312" s="29">
        <v>0</v>
      </c>
      <c r="AC312" s="29">
        <v>0</v>
      </c>
      <c r="AD312" s="29"/>
      <c r="AE312" s="29">
        <v>0</v>
      </c>
      <c r="AF312" s="29">
        <f t="shared" si="138"/>
        <v>0</v>
      </c>
      <c r="AG312" s="25">
        <v>0.12</v>
      </c>
      <c r="AH312" s="29">
        <f t="shared" si="131"/>
        <v>0</v>
      </c>
      <c r="AI312" s="29">
        <f t="shared" si="132"/>
        <v>0</v>
      </c>
      <c r="AJ312" s="29">
        <f t="shared" si="133"/>
        <v>0</v>
      </c>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f t="shared" si="139"/>
        <v>0</v>
      </c>
      <c r="BH312" s="29"/>
      <c r="BI312" s="29"/>
      <c r="BJ312" s="23" t="s">
        <v>570</v>
      </c>
      <c r="BK312" s="29"/>
      <c r="BL312" s="29"/>
      <c r="BM312" s="29"/>
      <c r="BN312" s="13"/>
      <c r="BO312" s="13"/>
      <c r="BP312" s="13"/>
      <c r="BQ312" s="13"/>
      <c r="BR312" s="13"/>
      <c r="BS312" s="13"/>
      <c r="BT312" s="13"/>
      <c r="BU312" s="13"/>
      <c r="BV312" s="13"/>
      <c r="BW312" s="13"/>
      <c r="BX312" s="13"/>
      <c r="BY312" s="13"/>
      <c r="BZ312" s="13"/>
      <c r="CA312" s="13"/>
      <c r="CB312" s="224" t="s">
        <v>570</v>
      </c>
      <c r="CC312" s="224" t="s">
        <v>570</v>
      </c>
      <c r="CD312" s="224" t="s">
        <v>570</v>
      </c>
      <c r="CE312" s="13"/>
      <c r="CF312" s="13"/>
      <c r="CG312" s="13"/>
      <c r="CH312" s="13"/>
      <c r="CI312" s="13"/>
      <c r="CJ312" s="13"/>
      <c r="CK312" s="13"/>
      <c r="CL312" s="13"/>
      <c r="CM312" s="13"/>
      <c r="CN312" s="13"/>
      <c r="CO312" s="13"/>
      <c r="CP312" s="13"/>
      <c r="CQ312" s="13"/>
      <c r="CR312" s="13"/>
      <c r="CS312" s="29" t="s">
        <v>570</v>
      </c>
      <c r="CT312" s="29" t="s">
        <v>570</v>
      </c>
      <c r="CU312" s="29" t="s">
        <v>570</v>
      </c>
      <c r="CV312" s="23"/>
      <c r="CW312" s="13"/>
      <c r="CX312" s="13"/>
      <c r="CY312" s="13"/>
      <c r="CZ312" s="9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92">
        <f t="shared" si="136"/>
        <v>0</v>
      </c>
      <c r="DZ312" s="13"/>
      <c r="EA312" s="13"/>
      <c r="EB312" s="13"/>
      <c r="EC312" s="13"/>
      <c r="ED312" s="13"/>
      <c r="EE312" s="13"/>
      <c r="EF312" s="13"/>
      <c r="EG312" s="13"/>
      <c r="EH312" s="13"/>
      <c r="EI312" s="13"/>
      <c r="EJ312" s="13"/>
      <c r="EK312" s="13"/>
      <c r="EL312" s="13"/>
      <c r="EM312" s="13"/>
      <c r="EN312" s="13"/>
      <c r="EO312" s="13"/>
      <c r="EP312" s="13"/>
      <c r="EQ312" s="13"/>
      <c r="ER312" s="13"/>
      <c r="ES312" s="13"/>
      <c r="ET312" s="13"/>
      <c r="EU312" s="13"/>
      <c r="EV312" s="13"/>
      <c r="EW312" s="13"/>
      <c r="EX312" s="13"/>
      <c r="EY312" s="13"/>
      <c r="EZ312" s="13"/>
      <c r="FA312" s="13"/>
      <c r="FB312" s="13"/>
      <c r="FC312" s="13"/>
      <c r="FD312" s="13"/>
      <c r="FE312" s="13"/>
      <c r="FF312" s="13"/>
      <c r="FG312" s="13"/>
      <c r="FH312" s="13"/>
      <c r="FI312" s="13"/>
      <c r="FJ312" s="13"/>
      <c r="FK312" s="13"/>
      <c r="FL312" s="13"/>
      <c r="FM312" s="13"/>
      <c r="FN312" s="13"/>
      <c r="FO312" s="13"/>
      <c r="FP312" s="13"/>
      <c r="FQ312" s="13"/>
      <c r="FR312" s="13"/>
      <c r="FS312" s="13"/>
      <c r="FT312" s="13"/>
      <c r="FU312" s="13"/>
      <c r="FV312" s="25">
        <v>1</v>
      </c>
      <c r="FW312" s="25">
        <v>1</v>
      </c>
      <c r="FX312" s="25">
        <v>1</v>
      </c>
      <c r="FY312" s="25">
        <v>1</v>
      </c>
      <c r="FZ312" s="25">
        <v>1</v>
      </c>
      <c r="GA312" s="25">
        <v>1</v>
      </c>
      <c r="GB312" s="25">
        <v>1</v>
      </c>
      <c r="GC312" s="25">
        <v>1</v>
      </c>
      <c r="GD312" s="25">
        <v>1</v>
      </c>
      <c r="GE312" s="25">
        <v>1</v>
      </c>
      <c r="GF312" s="25">
        <v>1</v>
      </c>
      <c r="GG312" s="25">
        <v>1</v>
      </c>
      <c r="GH312" s="25">
        <v>1</v>
      </c>
      <c r="GI312" s="25">
        <v>1</v>
      </c>
      <c r="GJ312" s="25">
        <v>1</v>
      </c>
      <c r="GK312" s="25">
        <v>1</v>
      </c>
      <c r="GL312" s="25">
        <v>1</v>
      </c>
      <c r="GM312" s="25">
        <v>1</v>
      </c>
      <c r="GN312" s="25">
        <v>1</v>
      </c>
      <c r="GO312" s="25">
        <v>1</v>
      </c>
      <c r="GP312" s="25">
        <v>1</v>
      </c>
      <c r="GQ312" s="25">
        <v>1</v>
      </c>
      <c r="GR312" s="25">
        <v>1</v>
      </c>
      <c r="GS312" s="25">
        <v>1</v>
      </c>
      <c r="GT312" s="25">
        <v>1</v>
      </c>
      <c r="GU312" s="25">
        <v>1</v>
      </c>
      <c r="GV312" s="25" t="s">
        <v>1588</v>
      </c>
      <c r="GW312" s="25" t="s">
        <v>1588</v>
      </c>
      <c r="GX312" s="25" t="s">
        <v>1588</v>
      </c>
      <c r="GY312" s="25" t="s">
        <v>1588</v>
      </c>
      <c r="GZ312" s="25" t="s">
        <v>1588</v>
      </c>
      <c r="HA312" s="25" t="s">
        <v>1588</v>
      </c>
      <c r="HB312" s="25" t="s">
        <v>1588</v>
      </c>
      <c r="HC312" s="25" t="s">
        <v>1588</v>
      </c>
      <c r="HD312" s="25" t="s">
        <v>1588</v>
      </c>
      <c r="HE312" s="25" t="s">
        <v>1588</v>
      </c>
      <c r="HF312" s="25" t="s">
        <v>1588</v>
      </c>
      <c r="HG312" s="25" t="s">
        <v>1588</v>
      </c>
      <c r="HH312" s="25" t="s">
        <v>1588</v>
      </c>
      <c r="HI312" s="25"/>
      <c r="HJ312" s="25"/>
      <c r="HK312" s="25"/>
      <c r="HL312" s="25"/>
      <c r="HM312" s="84"/>
      <c r="HN312" s="84"/>
      <c r="HO312" s="84"/>
      <c r="HP312" s="84"/>
      <c r="HQ312" s="84"/>
      <c r="HR312" s="84"/>
      <c r="HS312" s="84"/>
      <c r="HT312" s="84"/>
      <c r="HU312" s="13" t="s">
        <v>640</v>
      </c>
      <c r="HV312" s="13"/>
      <c r="HW312" s="32"/>
      <c r="HX312" s="23"/>
      <c r="HY312" s="55"/>
      <c r="HZ312" s="55"/>
      <c r="IA312" s="55"/>
      <c r="IB312" s="55"/>
      <c r="IC312" s="55"/>
      <c r="ID312" s="55"/>
      <c r="IE312" s="55"/>
      <c r="IF312" s="107">
        <v>0</v>
      </c>
      <c r="IG312" s="107"/>
      <c r="IH312" s="250">
        <f t="shared" si="134"/>
        <v>0</v>
      </c>
      <c r="II312" s="55"/>
      <c r="IJ312" s="55"/>
      <c r="IK312" s="55"/>
      <c r="IL312" s="55"/>
      <c r="IM312" s="55"/>
      <c r="IN312" s="55"/>
      <c r="IO312" s="55"/>
      <c r="IP312" s="55"/>
      <c r="IQ312" s="55"/>
      <c r="IR312" s="55"/>
      <c r="IS312" s="55"/>
      <c r="IT312" s="55"/>
      <c r="IU312" s="55"/>
      <c r="IV312" s="55"/>
      <c r="IW312" s="55"/>
      <c r="IX312" s="55"/>
      <c r="IY312" s="55"/>
      <c r="IZ312" s="55"/>
      <c r="JA312" s="55"/>
      <c r="JB312" s="55"/>
      <c r="JC312" s="55"/>
      <c r="JD312" s="55">
        <v>2017</v>
      </c>
    </row>
    <row r="313" spans="1:264" s="5" customFormat="1" ht="20.100000000000001" hidden="1" customHeight="1">
      <c r="A313" s="26" t="s">
        <v>9</v>
      </c>
      <c r="B313" s="26" t="s">
        <v>203</v>
      </c>
      <c r="C313" s="13" t="s">
        <v>349</v>
      </c>
      <c r="D313" s="13" t="s">
        <v>380</v>
      </c>
      <c r="E313" s="16" t="s">
        <v>360</v>
      </c>
      <c r="F313" s="13" t="s">
        <v>384</v>
      </c>
      <c r="G313" s="39" t="s">
        <v>354</v>
      </c>
      <c r="H313" s="28" t="s">
        <v>1548</v>
      </c>
      <c r="I313" s="69" t="s">
        <v>129</v>
      </c>
      <c r="J313" s="40">
        <v>3</v>
      </c>
      <c r="K313" s="49" t="s">
        <v>375</v>
      </c>
      <c r="L313" s="314" t="s">
        <v>284</v>
      </c>
      <c r="M313" s="15" t="s">
        <v>2025</v>
      </c>
      <c r="N313" s="43"/>
      <c r="O313" s="13" t="s">
        <v>206</v>
      </c>
      <c r="P313" s="13" t="s">
        <v>4</v>
      </c>
      <c r="Q313" s="22" t="s">
        <v>1118</v>
      </c>
      <c r="R313" s="314" t="s">
        <v>284</v>
      </c>
      <c r="S313" s="13" t="s">
        <v>619</v>
      </c>
      <c r="T313" s="13" t="s">
        <v>1387</v>
      </c>
      <c r="U313" s="13" t="s">
        <v>477</v>
      </c>
      <c r="V313" s="24">
        <v>2100628706001</v>
      </c>
      <c r="W313" s="13" t="s">
        <v>570</v>
      </c>
      <c r="X313" s="13" t="s">
        <v>570</v>
      </c>
      <c r="Y313" s="13" t="s">
        <v>583</v>
      </c>
      <c r="Z313" s="13" t="s">
        <v>503</v>
      </c>
      <c r="AA313" s="29">
        <v>10478.870000000001</v>
      </c>
      <c r="AB313" s="29">
        <v>34036.879999999997</v>
      </c>
      <c r="AC313" s="29">
        <v>0</v>
      </c>
      <c r="AD313" s="29">
        <v>34036.879999999997</v>
      </c>
      <c r="AE313" s="29">
        <v>0</v>
      </c>
      <c r="AF313" s="29">
        <f t="shared" si="138"/>
        <v>34036.879999999997</v>
      </c>
      <c r="AG313" s="25">
        <v>0.12</v>
      </c>
      <c r="AH313" s="29">
        <f t="shared" si="131"/>
        <v>4084.4255999999996</v>
      </c>
      <c r="AI313" s="29">
        <f t="shared" si="132"/>
        <v>0</v>
      </c>
      <c r="AJ313" s="29">
        <f t="shared" si="133"/>
        <v>38121.3056</v>
      </c>
      <c r="AK313" s="29">
        <v>24000</v>
      </c>
      <c r="AL313" s="29">
        <f>AB313-AK313</f>
        <v>10036.879999999997</v>
      </c>
      <c r="AM313" s="126"/>
      <c r="AN313" s="29"/>
      <c r="AO313" s="29">
        <v>24000</v>
      </c>
      <c r="AP313" s="29"/>
      <c r="AQ313" s="29">
        <v>24000</v>
      </c>
      <c r="AR313" s="35">
        <v>0.14000000000000001</v>
      </c>
      <c r="AS313" s="35"/>
      <c r="AT313" s="29"/>
      <c r="AU313" s="29"/>
      <c r="AV313" s="29"/>
      <c r="AW313" s="29"/>
      <c r="AX313" s="29"/>
      <c r="AY313" s="29"/>
      <c r="AZ313" s="29"/>
      <c r="BA313" s="29"/>
      <c r="BB313" s="29"/>
      <c r="BC313" s="29"/>
      <c r="BD313" s="29"/>
      <c r="BE313" s="29"/>
      <c r="BF313" s="29">
        <f t="shared" ref="BF313:BF318" si="140">AB313-AQ313</f>
        <v>10036.879999999997</v>
      </c>
      <c r="BG313" s="29">
        <f t="shared" si="139"/>
        <v>10036.879999999997</v>
      </c>
      <c r="BH313" s="29"/>
      <c r="BI313" s="23" t="s">
        <v>570</v>
      </c>
      <c r="BJ313" s="23" t="s">
        <v>570</v>
      </c>
      <c r="BK313" s="23"/>
      <c r="BL313" s="23"/>
      <c r="BM313" s="23"/>
      <c r="BN313" s="13"/>
      <c r="BO313" s="13"/>
      <c r="BP313" s="13"/>
      <c r="BQ313" s="13"/>
      <c r="BR313" s="13"/>
      <c r="BS313" s="13"/>
      <c r="BT313" s="13"/>
      <c r="BU313" s="13"/>
      <c r="BV313" s="13"/>
      <c r="BW313" s="13" t="s">
        <v>570</v>
      </c>
      <c r="BX313" s="23">
        <v>42345</v>
      </c>
      <c r="BY313" s="13" t="s">
        <v>570</v>
      </c>
      <c r="BZ313" s="13" t="s">
        <v>503</v>
      </c>
      <c r="CA313" s="23">
        <v>42376</v>
      </c>
      <c r="CB313" s="224" t="s">
        <v>570</v>
      </c>
      <c r="CC313" s="224" t="s">
        <v>570</v>
      </c>
      <c r="CD313" s="224" t="s">
        <v>570</v>
      </c>
      <c r="CE313" s="23"/>
      <c r="CF313" s="23"/>
      <c r="CG313" s="23"/>
      <c r="CH313" s="23"/>
      <c r="CI313" s="23"/>
      <c r="CJ313" s="23"/>
      <c r="CK313" s="23"/>
      <c r="CL313" s="23"/>
      <c r="CM313" s="23"/>
      <c r="CN313" s="23"/>
      <c r="CO313" s="23"/>
      <c r="CP313" s="23"/>
      <c r="CQ313" s="23"/>
      <c r="CR313" s="23"/>
      <c r="CS313" s="29" t="s">
        <v>570</v>
      </c>
      <c r="CT313" s="29" t="s">
        <v>570</v>
      </c>
      <c r="CU313" s="29" t="s">
        <v>570</v>
      </c>
      <c r="CV313" s="23" t="s">
        <v>570</v>
      </c>
      <c r="CW313" s="93"/>
      <c r="CX313" s="96" t="s">
        <v>806</v>
      </c>
      <c r="CY313" s="23">
        <v>42411</v>
      </c>
      <c r="CZ313" s="93">
        <v>3000</v>
      </c>
      <c r="DA313" s="170" t="s">
        <v>807</v>
      </c>
      <c r="DB313" s="23">
        <v>42471</v>
      </c>
      <c r="DC313" s="93">
        <v>1451.55</v>
      </c>
      <c r="DD313" s="170" t="s">
        <v>808</v>
      </c>
      <c r="DE313" s="23">
        <v>42502</v>
      </c>
      <c r="DF313" s="93">
        <v>3000</v>
      </c>
      <c r="DG313" s="170" t="s">
        <v>809</v>
      </c>
      <c r="DH313" s="23">
        <v>42592</v>
      </c>
      <c r="DI313" s="93">
        <v>2500</v>
      </c>
      <c r="DJ313" s="170" t="s">
        <v>810</v>
      </c>
      <c r="DK313" s="23">
        <v>42620</v>
      </c>
      <c r="DL313" s="93">
        <v>3000</v>
      </c>
      <c r="DM313" s="170" t="s">
        <v>811</v>
      </c>
      <c r="DN313" s="23">
        <v>42653</v>
      </c>
      <c r="DO313" s="93">
        <v>3000</v>
      </c>
      <c r="DP313" s="97" t="s">
        <v>812</v>
      </c>
      <c r="DQ313" s="23">
        <v>42690</v>
      </c>
      <c r="DR313" s="93">
        <v>3000</v>
      </c>
      <c r="DS313" s="98" t="s">
        <v>815</v>
      </c>
      <c r="DT313" s="23">
        <v>42717</v>
      </c>
      <c r="DU313" s="93">
        <v>3000</v>
      </c>
      <c r="DV313" s="134" t="s">
        <v>1473</v>
      </c>
      <c r="DW313" s="99">
        <v>42790</v>
      </c>
      <c r="DX313" s="167">
        <v>2048.4499999999998</v>
      </c>
      <c r="DY313" s="92">
        <f t="shared" si="136"/>
        <v>24000</v>
      </c>
      <c r="DZ313" s="93"/>
      <c r="EA313" s="93"/>
      <c r="EB313" s="93"/>
      <c r="EC313" s="93"/>
      <c r="ED313" s="93"/>
      <c r="EE313" s="93"/>
      <c r="EF313" s="93"/>
      <c r="EG313" s="13">
        <v>240</v>
      </c>
      <c r="EH313" s="23" t="s">
        <v>626</v>
      </c>
      <c r="EI313" s="23">
        <f t="shared" ref="EI313:EI318" si="141">CA313+1</f>
        <v>42377</v>
      </c>
      <c r="EJ313" s="23">
        <f t="shared" ref="EJ313:EJ318" si="142">EI313+EG313</f>
        <v>42617</v>
      </c>
      <c r="EK313" s="13"/>
      <c r="EL313" s="13"/>
      <c r="EM313" s="13"/>
      <c r="EN313" s="13"/>
      <c r="EO313" s="13"/>
      <c r="EP313" s="13"/>
      <c r="EQ313" s="13"/>
      <c r="ER313" s="13"/>
      <c r="ES313" s="13"/>
      <c r="ET313" s="13"/>
      <c r="EU313" s="13"/>
      <c r="EV313" s="13"/>
      <c r="EW313" s="13"/>
      <c r="EX313" s="13"/>
      <c r="EY313" s="13"/>
      <c r="EZ313" s="13"/>
      <c r="FA313" s="13"/>
      <c r="FB313" s="13"/>
      <c r="FC313" s="13"/>
      <c r="FD313" s="13"/>
      <c r="FE313" s="13"/>
      <c r="FF313" s="13"/>
      <c r="FG313" s="13"/>
      <c r="FH313" s="25">
        <v>0.1</v>
      </c>
      <c r="FI313" s="25">
        <v>0.2</v>
      </c>
      <c r="FJ313" s="25">
        <v>0.3</v>
      </c>
      <c r="FK313" s="25">
        <v>0.4</v>
      </c>
      <c r="FL313" s="25">
        <v>0.55000000000000004</v>
      </c>
      <c r="FM313" s="25">
        <v>0.7</v>
      </c>
      <c r="FN313" s="25">
        <v>0.85</v>
      </c>
      <c r="FO313" s="25">
        <v>1</v>
      </c>
      <c r="FP313" s="25">
        <v>1</v>
      </c>
      <c r="FQ313" s="25">
        <v>1</v>
      </c>
      <c r="FR313" s="25">
        <v>1</v>
      </c>
      <c r="FS313" s="25">
        <v>1</v>
      </c>
      <c r="FT313" s="25">
        <v>1</v>
      </c>
      <c r="FU313" s="25">
        <v>1</v>
      </c>
      <c r="FV313" s="25">
        <v>1</v>
      </c>
      <c r="FW313" s="25">
        <v>1</v>
      </c>
      <c r="FX313" s="25">
        <v>1</v>
      </c>
      <c r="FY313" s="25">
        <v>1</v>
      </c>
      <c r="FZ313" s="25">
        <v>1</v>
      </c>
      <c r="GA313" s="25">
        <v>1</v>
      </c>
      <c r="GB313" s="25">
        <v>1</v>
      </c>
      <c r="GC313" s="25">
        <v>1</v>
      </c>
      <c r="GD313" s="25">
        <v>1</v>
      </c>
      <c r="GE313" s="25">
        <v>1</v>
      </c>
      <c r="GF313" s="25">
        <v>1</v>
      </c>
      <c r="GG313" s="25">
        <v>1</v>
      </c>
      <c r="GH313" s="25">
        <v>1</v>
      </c>
      <c r="GI313" s="25">
        <v>1</v>
      </c>
      <c r="GJ313" s="25">
        <v>1</v>
      </c>
      <c r="GK313" s="25">
        <v>1</v>
      </c>
      <c r="GL313" s="25">
        <v>1</v>
      </c>
      <c r="GM313" s="25">
        <v>1</v>
      </c>
      <c r="GN313" s="25">
        <v>1</v>
      </c>
      <c r="GO313" s="25">
        <v>1</v>
      </c>
      <c r="GP313" s="25">
        <v>1</v>
      </c>
      <c r="GQ313" s="25">
        <v>1</v>
      </c>
      <c r="GR313" s="25">
        <v>1</v>
      </c>
      <c r="GS313" s="25">
        <v>1</v>
      </c>
      <c r="GT313" s="25">
        <v>1</v>
      </c>
      <c r="GU313" s="25">
        <v>1</v>
      </c>
      <c r="GV313" s="25" t="s">
        <v>455</v>
      </c>
      <c r="GW313" s="25" t="s">
        <v>455</v>
      </c>
      <c r="GX313" s="25" t="s">
        <v>455</v>
      </c>
      <c r="GY313" s="25" t="s">
        <v>455</v>
      </c>
      <c r="GZ313" s="25" t="s">
        <v>455</v>
      </c>
      <c r="HA313" s="25" t="s">
        <v>455</v>
      </c>
      <c r="HB313" s="25" t="s">
        <v>455</v>
      </c>
      <c r="HC313" s="25" t="s">
        <v>455</v>
      </c>
      <c r="HD313" s="25" t="s">
        <v>455</v>
      </c>
      <c r="HE313" s="25" t="s">
        <v>455</v>
      </c>
      <c r="HF313" s="25" t="s">
        <v>455</v>
      </c>
      <c r="HG313" s="25" t="s">
        <v>455</v>
      </c>
      <c r="HH313" s="25" t="s">
        <v>455</v>
      </c>
      <c r="HI313" s="25"/>
      <c r="HJ313" s="25"/>
      <c r="HK313" s="25"/>
      <c r="HL313" s="25"/>
      <c r="HM313" s="84"/>
      <c r="HN313" s="84"/>
      <c r="HO313" s="84"/>
      <c r="HP313" s="84"/>
      <c r="HQ313" s="84"/>
      <c r="HR313" s="84"/>
      <c r="HS313" s="84"/>
      <c r="HT313" s="84"/>
      <c r="HU313" s="13" t="s">
        <v>1045</v>
      </c>
      <c r="HV313" s="13"/>
      <c r="HW313" s="32"/>
      <c r="HX313" s="55"/>
      <c r="HY313" s="55"/>
      <c r="HZ313" s="55"/>
      <c r="IA313" s="55"/>
      <c r="IB313" s="55"/>
      <c r="IC313" s="55"/>
      <c r="ID313" s="55"/>
      <c r="IE313" s="55"/>
      <c r="IF313" s="107">
        <v>22107.87</v>
      </c>
      <c r="IG313" s="107">
        <v>24000</v>
      </c>
      <c r="IH313" s="250">
        <f t="shared" si="134"/>
        <v>0</v>
      </c>
      <c r="II313" s="55"/>
      <c r="IJ313" s="55"/>
      <c r="IK313" s="55"/>
      <c r="IL313" s="55"/>
      <c r="IM313" s="55"/>
      <c r="IN313" s="55"/>
      <c r="IO313" s="55"/>
      <c r="IP313" s="55"/>
      <c r="IQ313" s="55"/>
      <c r="IR313" s="55"/>
      <c r="IS313" s="55"/>
      <c r="IT313" s="55"/>
      <c r="IU313" s="55"/>
      <c r="IV313" s="55"/>
      <c r="IW313" s="55"/>
      <c r="IX313" s="55"/>
      <c r="IY313" s="55"/>
      <c r="IZ313" s="55"/>
      <c r="JA313" s="55"/>
      <c r="JB313" s="55"/>
      <c r="JC313" s="55"/>
      <c r="JD313" s="55">
        <v>2016</v>
      </c>
    </row>
    <row r="314" spans="1:264" s="10" customFormat="1" ht="20.100000000000001" hidden="1" customHeight="1">
      <c r="A314" s="26" t="s">
        <v>9</v>
      </c>
      <c r="B314" s="26" t="s">
        <v>203</v>
      </c>
      <c r="C314" s="13" t="s">
        <v>349</v>
      </c>
      <c r="D314" s="13" t="s">
        <v>380</v>
      </c>
      <c r="E314" s="16" t="s">
        <v>350</v>
      </c>
      <c r="F314" s="13" t="s">
        <v>384</v>
      </c>
      <c r="G314" s="39" t="s">
        <v>354</v>
      </c>
      <c r="H314" s="28" t="s">
        <v>1559</v>
      </c>
      <c r="I314" s="69" t="s">
        <v>438</v>
      </c>
      <c r="J314" s="40">
        <v>9</v>
      </c>
      <c r="K314" s="49" t="s">
        <v>375</v>
      </c>
      <c r="L314" s="314" t="s">
        <v>284</v>
      </c>
      <c r="M314" s="15" t="s">
        <v>2026</v>
      </c>
      <c r="N314" s="43"/>
      <c r="O314" s="13" t="s">
        <v>206</v>
      </c>
      <c r="P314" s="13" t="s">
        <v>4</v>
      </c>
      <c r="Q314" s="22" t="s">
        <v>1118</v>
      </c>
      <c r="R314" s="314" t="s">
        <v>284</v>
      </c>
      <c r="S314" s="13" t="s">
        <v>619</v>
      </c>
      <c r="T314" s="13" t="s">
        <v>1387</v>
      </c>
      <c r="U314" s="13" t="s">
        <v>477</v>
      </c>
      <c r="V314" s="24">
        <v>2100628706001</v>
      </c>
      <c r="W314" s="13" t="s">
        <v>570</v>
      </c>
      <c r="X314" s="13" t="s">
        <v>570</v>
      </c>
      <c r="Y314" s="13" t="s">
        <v>583</v>
      </c>
      <c r="Z314" s="13" t="s">
        <v>503</v>
      </c>
      <c r="AA314" s="29">
        <v>1977.1</v>
      </c>
      <c r="AB314" s="29"/>
      <c r="AC314" s="29">
        <v>0</v>
      </c>
      <c r="AD314" s="29"/>
      <c r="AE314" s="29">
        <v>0</v>
      </c>
      <c r="AF314" s="29">
        <f t="shared" si="138"/>
        <v>0</v>
      </c>
      <c r="AG314" s="25">
        <v>0.12</v>
      </c>
      <c r="AH314" s="29">
        <f t="shared" ref="AH314:AH345" si="143">AD314*0.12</f>
        <v>0</v>
      </c>
      <c r="AI314" s="29">
        <f t="shared" ref="AI314:AI345" si="144">AE314*0.12</f>
        <v>0</v>
      </c>
      <c r="AJ314" s="29">
        <f t="shared" ref="AJ314:AJ345" si="145">AF314*1.12</f>
        <v>0</v>
      </c>
      <c r="AK314" s="29">
        <v>0</v>
      </c>
      <c r="AL314" s="29"/>
      <c r="AM314" s="126"/>
      <c r="AN314" s="29"/>
      <c r="AO314" s="29"/>
      <c r="AP314" s="29"/>
      <c r="AQ314" s="29"/>
      <c r="AR314" s="35">
        <v>0.14000000000000001</v>
      </c>
      <c r="AS314" s="35"/>
      <c r="AT314" s="29"/>
      <c r="AU314" s="29"/>
      <c r="AV314" s="29"/>
      <c r="AW314" s="29"/>
      <c r="AX314" s="29"/>
      <c r="AY314" s="29"/>
      <c r="AZ314" s="29"/>
      <c r="BA314" s="29"/>
      <c r="BB314" s="29"/>
      <c r="BC314" s="29"/>
      <c r="BD314" s="29"/>
      <c r="BE314" s="29"/>
      <c r="BF314" s="29">
        <f t="shared" si="140"/>
        <v>0</v>
      </c>
      <c r="BG314" s="29">
        <f t="shared" si="139"/>
        <v>0</v>
      </c>
      <c r="BH314" s="29"/>
      <c r="BI314" s="23" t="s">
        <v>570</v>
      </c>
      <c r="BJ314" s="23" t="s">
        <v>570</v>
      </c>
      <c r="BK314" s="23"/>
      <c r="BL314" s="23"/>
      <c r="BM314" s="23"/>
      <c r="BN314" s="13"/>
      <c r="BO314" s="13"/>
      <c r="BP314" s="13"/>
      <c r="BQ314" s="13"/>
      <c r="BR314" s="13"/>
      <c r="BS314" s="13"/>
      <c r="BT314" s="13"/>
      <c r="BU314" s="13"/>
      <c r="BV314" s="13"/>
      <c r="BW314" s="13" t="s">
        <v>570</v>
      </c>
      <c r="BX314" s="23">
        <v>42345</v>
      </c>
      <c r="BY314" s="13" t="s">
        <v>570</v>
      </c>
      <c r="BZ314" s="13" t="s">
        <v>503</v>
      </c>
      <c r="CA314" s="23">
        <v>42376</v>
      </c>
      <c r="CB314" s="224" t="s">
        <v>570</v>
      </c>
      <c r="CC314" s="224" t="s">
        <v>570</v>
      </c>
      <c r="CD314" s="224" t="s">
        <v>570</v>
      </c>
      <c r="CE314" s="23"/>
      <c r="CF314" s="23"/>
      <c r="CG314" s="23"/>
      <c r="CH314" s="23"/>
      <c r="CI314" s="23"/>
      <c r="CJ314" s="23"/>
      <c r="CK314" s="23"/>
      <c r="CL314" s="23"/>
      <c r="CM314" s="23"/>
      <c r="CN314" s="23"/>
      <c r="CO314" s="23"/>
      <c r="CP314" s="23"/>
      <c r="CQ314" s="23"/>
      <c r="CR314" s="23"/>
      <c r="CS314" s="29" t="s">
        <v>570</v>
      </c>
      <c r="CT314" s="29" t="s">
        <v>570</v>
      </c>
      <c r="CU314" s="29" t="s">
        <v>570</v>
      </c>
      <c r="CV314" s="23" t="s">
        <v>570</v>
      </c>
      <c r="CW314" s="93"/>
      <c r="CX314" s="96" t="s">
        <v>806</v>
      </c>
      <c r="CY314" s="23">
        <v>42411</v>
      </c>
      <c r="CZ314" s="93"/>
      <c r="DA314" s="170" t="s">
        <v>807</v>
      </c>
      <c r="DB314" s="23">
        <v>42471</v>
      </c>
      <c r="DC314" s="93"/>
      <c r="DD314" s="170" t="s">
        <v>808</v>
      </c>
      <c r="DE314" s="23">
        <v>42502</v>
      </c>
      <c r="DF314" s="93"/>
      <c r="DG314" s="170" t="s">
        <v>809</v>
      </c>
      <c r="DH314" s="23">
        <v>42592</v>
      </c>
      <c r="DI314" s="93"/>
      <c r="DJ314" s="170" t="s">
        <v>810</v>
      </c>
      <c r="DK314" s="23">
        <v>42620</v>
      </c>
      <c r="DL314" s="93"/>
      <c r="DM314" s="170" t="s">
        <v>811</v>
      </c>
      <c r="DN314" s="23">
        <v>42653</v>
      </c>
      <c r="DO314" s="93"/>
      <c r="DP314" s="97" t="s">
        <v>812</v>
      </c>
      <c r="DQ314" s="23">
        <v>42690</v>
      </c>
      <c r="DR314" s="93"/>
      <c r="DS314" s="98" t="s">
        <v>815</v>
      </c>
      <c r="DT314" s="23">
        <v>42717</v>
      </c>
      <c r="DU314" s="167"/>
      <c r="DV314" s="134" t="s">
        <v>1473</v>
      </c>
      <c r="DW314" s="99">
        <v>42790</v>
      </c>
      <c r="DX314" s="93"/>
      <c r="DY314" s="92">
        <f t="shared" si="136"/>
        <v>0</v>
      </c>
      <c r="DZ314" s="93"/>
      <c r="EA314" s="93"/>
      <c r="EB314" s="93"/>
      <c r="EC314" s="93"/>
      <c r="ED314" s="93"/>
      <c r="EE314" s="93"/>
      <c r="EF314" s="93"/>
      <c r="EG314" s="13">
        <v>240</v>
      </c>
      <c r="EH314" s="23" t="s">
        <v>626</v>
      </c>
      <c r="EI314" s="23">
        <f t="shared" si="141"/>
        <v>42377</v>
      </c>
      <c r="EJ314" s="23">
        <f t="shared" si="142"/>
        <v>42617</v>
      </c>
      <c r="EK314" s="13"/>
      <c r="EL314" s="13"/>
      <c r="EM314" s="13"/>
      <c r="EN314" s="13"/>
      <c r="EO314" s="13"/>
      <c r="EP314" s="13"/>
      <c r="EQ314" s="13"/>
      <c r="ER314" s="13"/>
      <c r="ES314" s="13"/>
      <c r="ET314" s="13"/>
      <c r="EU314" s="13"/>
      <c r="EV314" s="13"/>
      <c r="EW314" s="13"/>
      <c r="EX314" s="13"/>
      <c r="EY314" s="13"/>
      <c r="EZ314" s="13"/>
      <c r="FA314" s="13"/>
      <c r="FB314" s="13"/>
      <c r="FC314" s="13"/>
      <c r="FD314" s="13"/>
      <c r="FE314" s="13"/>
      <c r="FF314" s="13"/>
      <c r="FG314" s="13"/>
      <c r="FH314" s="25">
        <v>0.1</v>
      </c>
      <c r="FI314" s="25">
        <v>0.2</v>
      </c>
      <c r="FJ314" s="25">
        <v>0.3</v>
      </c>
      <c r="FK314" s="25">
        <v>0.4</v>
      </c>
      <c r="FL314" s="25">
        <v>0.55000000000000004</v>
      </c>
      <c r="FM314" s="25">
        <v>0.7</v>
      </c>
      <c r="FN314" s="25">
        <v>0.85</v>
      </c>
      <c r="FO314" s="25">
        <v>1</v>
      </c>
      <c r="FP314" s="25">
        <v>1</v>
      </c>
      <c r="FQ314" s="25">
        <v>1</v>
      </c>
      <c r="FR314" s="25">
        <v>1</v>
      </c>
      <c r="FS314" s="25">
        <v>1</v>
      </c>
      <c r="FT314" s="25">
        <v>1</v>
      </c>
      <c r="FU314" s="25">
        <v>1</v>
      </c>
      <c r="FV314" s="25">
        <v>1</v>
      </c>
      <c r="FW314" s="25">
        <v>1</v>
      </c>
      <c r="FX314" s="25">
        <v>1</v>
      </c>
      <c r="FY314" s="25">
        <v>1</v>
      </c>
      <c r="FZ314" s="25">
        <v>1</v>
      </c>
      <c r="GA314" s="25">
        <v>1</v>
      </c>
      <c r="GB314" s="25">
        <v>1</v>
      </c>
      <c r="GC314" s="25">
        <v>1</v>
      </c>
      <c r="GD314" s="25">
        <v>1</v>
      </c>
      <c r="GE314" s="25">
        <v>1</v>
      </c>
      <c r="GF314" s="25">
        <v>1</v>
      </c>
      <c r="GG314" s="25">
        <v>1</v>
      </c>
      <c r="GH314" s="25">
        <v>1</v>
      </c>
      <c r="GI314" s="25">
        <v>1</v>
      </c>
      <c r="GJ314" s="25">
        <v>1</v>
      </c>
      <c r="GK314" s="25">
        <v>1</v>
      </c>
      <c r="GL314" s="25">
        <v>1</v>
      </c>
      <c r="GM314" s="25">
        <v>1</v>
      </c>
      <c r="GN314" s="25">
        <v>1</v>
      </c>
      <c r="GO314" s="25">
        <v>1</v>
      </c>
      <c r="GP314" s="25">
        <v>1</v>
      </c>
      <c r="GQ314" s="25">
        <v>1</v>
      </c>
      <c r="GR314" s="25">
        <v>1</v>
      </c>
      <c r="GS314" s="25">
        <v>1</v>
      </c>
      <c r="GT314" s="25">
        <v>1</v>
      </c>
      <c r="GU314" s="25">
        <v>1</v>
      </c>
      <c r="GV314" s="25" t="s">
        <v>455</v>
      </c>
      <c r="GW314" s="25" t="s">
        <v>455</v>
      </c>
      <c r="GX314" s="25" t="s">
        <v>455</v>
      </c>
      <c r="GY314" s="25" t="s">
        <v>455</v>
      </c>
      <c r="GZ314" s="25" t="s">
        <v>455</v>
      </c>
      <c r="HA314" s="25" t="s">
        <v>455</v>
      </c>
      <c r="HB314" s="25" t="s">
        <v>455</v>
      </c>
      <c r="HC314" s="25" t="s">
        <v>455</v>
      </c>
      <c r="HD314" s="25" t="s">
        <v>455</v>
      </c>
      <c r="HE314" s="25" t="s">
        <v>455</v>
      </c>
      <c r="HF314" s="25" t="s">
        <v>455</v>
      </c>
      <c r="HG314" s="25" t="s">
        <v>455</v>
      </c>
      <c r="HH314" s="25" t="s">
        <v>455</v>
      </c>
      <c r="HI314" s="25"/>
      <c r="HJ314" s="25"/>
      <c r="HK314" s="25"/>
      <c r="HL314" s="25"/>
      <c r="HM314" s="84"/>
      <c r="HN314" s="84"/>
      <c r="HO314" s="84"/>
      <c r="HP314" s="84"/>
      <c r="HQ314" s="84"/>
      <c r="HR314" s="84"/>
      <c r="HS314" s="84"/>
      <c r="HT314" s="84"/>
      <c r="HU314" s="13" t="s">
        <v>1045</v>
      </c>
      <c r="HV314" s="13"/>
      <c r="HW314" s="32"/>
      <c r="HX314" s="23">
        <v>42636</v>
      </c>
      <c r="HY314" s="55"/>
      <c r="HZ314" s="55"/>
      <c r="IA314" s="251"/>
      <c r="IB314" s="251"/>
      <c r="IC314" s="251"/>
      <c r="ID314" s="251"/>
      <c r="IE314" s="251"/>
      <c r="IF314" s="107">
        <v>11929.01</v>
      </c>
      <c r="IG314" s="107"/>
      <c r="IH314" s="250">
        <f t="shared" ref="IH314:IH345" si="146">AK314-IG314</f>
        <v>0</v>
      </c>
      <c r="II314" s="251"/>
      <c r="IJ314" s="251"/>
      <c r="IK314" s="251"/>
      <c r="IL314" s="251"/>
      <c r="IM314" s="251"/>
      <c r="IN314" s="251"/>
      <c r="IO314" s="251"/>
      <c r="IP314" s="251"/>
      <c r="IQ314" s="251"/>
      <c r="IR314" s="251"/>
      <c r="IS314" s="251"/>
      <c r="IT314" s="251"/>
      <c r="IU314" s="251"/>
      <c r="IV314" s="251"/>
      <c r="IW314" s="251"/>
      <c r="IX314" s="251"/>
      <c r="IY314" s="251"/>
      <c r="IZ314" s="251"/>
      <c r="JA314" s="251"/>
      <c r="JB314" s="251"/>
      <c r="JC314" s="251"/>
      <c r="JD314" s="251">
        <v>2016</v>
      </c>
    </row>
    <row r="315" spans="1:264" s="10" customFormat="1" ht="20.100000000000001" hidden="1" customHeight="1">
      <c r="A315" s="26" t="s">
        <v>9</v>
      </c>
      <c r="B315" s="26" t="s">
        <v>203</v>
      </c>
      <c r="C315" s="13" t="s">
        <v>349</v>
      </c>
      <c r="D315" s="13" t="s">
        <v>380</v>
      </c>
      <c r="E315" s="16" t="s">
        <v>360</v>
      </c>
      <c r="F315" s="13" t="s">
        <v>384</v>
      </c>
      <c r="G315" s="39" t="s">
        <v>354</v>
      </c>
      <c r="H315" s="28" t="s">
        <v>1559</v>
      </c>
      <c r="I315" s="20" t="s">
        <v>131</v>
      </c>
      <c r="J315" s="40">
        <v>4</v>
      </c>
      <c r="K315" s="49" t="s">
        <v>375</v>
      </c>
      <c r="L315" s="314" t="s">
        <v>284</v>
      </c>
      <c r="M315" s="15" t="s">
        <v>2027</v>
      </c>
      <c r="N315" s="43"/>
      <c r="O315" s="13" t="s">
        <v>206</v>
      </c>
      <c r="P315" s="13" t="s">
        <v>4</v>
      </c>
      <c r="Q315" s="22" t="s">
        <v>1118</v>
      </c>
      <c r="R315" s="314" t="s">
        <v>284</v>
      </c>
      <c r="S315" s="13" t="s">
        <v>619</v>
      </c>
      <c r="T315" s="13" t="s">
        <v>1387</v>
      </c>
      <c r="U315" s="13" t="s">
        <v>477</v>
      </c>
      <c r="V315" s="24">
        <v>2100628706001</v>
      </c>
      <c r="W315" s="13" t="s">
        <v>570</v>
      </c>
      <c r="X315" s="13" t="s">
        <v>570</v>
      </c>
      <c r="Y315" s="13" t="s">
        <v>583</v>
      </c>
      <c r="Z315" s="13" t="s">
        <v>503</v>
      </c>
      <c r="AA315" s="29">
        <v>5148.25</v>
      </c>
      <c r="AB315" s="29">
        <v>0</v>
      </c>
      <c r="AC315" s="29">
        <v>0</v>
      </c>
      <c r="AD315" s="29"/>
      <c r="AE315" s="29">
        <v>0</v>
      </c>
      <c r="AF315" s="29">
        <f t="shared" si="138"/>
        <v>0</v>
      </c>
      <c r="AG315" s="25">
        <v>0.12</v>
      </c>
      <c r="AH315" s="29">
        <f t="shared" si="143"/>
        <v>0</v>
      </c>
      <c r="AI315" s="29">
        <f t="shared" si="144"/>
        <v>0</v>
      </c>
      <c r="AJ315" s="29">
        <f t="shared" si="145"/>
        <v>0</v>
      </c>
      <c r="AK315" s="29"/>
      <c r="AL315" s="29"/>
      <c r="AM315" s="126"/>
      <c r="AN315" s="29"/>
      <c r="AO315" s="29"/>
      <c r="AP315" s="29"/>
      <c r="AQ315" s="29"/>
      <c r="AR315" s="35">
        <v>0.14000000000000001</v>
      </c>
      <c r="AS315" s="35"/>
      <c r="AT315" s="29"/>
      <c r="AU315" s="29"/>
      <c r="AV315" s="29"/>
      <c r="AW315" s="29"/>
      <c r="AX315" s="29"/>
      <c r="AY315" s="29"/>
      <c r="AZ315" s="29"/>
      <c r="BA315" s="29"/>
      <c r="BB315" s="29"/>
      <c r="BC315" s="29"/>
      <c r="BD315" s="29"/>
      <c r="BE315" s="29"/>
      <c r="BF315" s="29">
        <f t="shared" si="140"/>
        <v>0</v>
      </c>
      <c r="BG315" s="29">
        <f t="shared" si="139"/>
        <v>0</v>
      </c>
      <c r="BH315" s="29"/>
      <c r="BI315" s="23" t="s">
        <v>570</v>
      </c>
      <c r="BJ315" s="23" t="s">
        <v>570</v>
      </c>
      <c r="BK315" s="23"/>
      <c r="BL315" s="23"/>
      <c r="BM315" s="23"/>
      <c r="BN315" s="13"/>
      <c r="BO315" s="13"/>
      <c r="BP315" s="13"/>
      <c r="BQ315" s="13"/>
      <c r="BR315" s="13"/>
      <c r="BS315" s="13"/>
      <c r="BT315" s="13"/>
      <c r="BU315" s="13"/>
      <c r="BV315" s="13"/>
      <c r="BW315" s="13" t="s">
        <v>570</v>
      </c>
      <c r="BX315" s="23">
        <v>42345</v>
      </c>
      <c r="BY315" s="13" t="s">
        <v>570</v>
      </c>
      <c r="BZ315" s="13" t="s">
        <v>503</v>
      </c>
      <c r="CA315" s="23">
        <v>42376</v>
      </c>
      <c r="CB315" s="224" t="s">
        <v>570</v>
      </c>
      <c r="CC315" s="224" t="s">
        <v>570</v>
      </c>
      <c r="CD315" s="224" t="s">
        <v>570</v>
      </c>
      <c r="CE315" s="23"/>
      <c r="CF315" s="23"/>
      <c r="CG315" s="23"/>
      <c r="CH315" s="23"/>
      <c r="CI315" s="23"/>
      <c r="CJ315" s="23"/>
      <c r="CK315" s="23"/>
      <c r="CL315" s="23"/>
      <c r="CM315" s="23"/>
      <c r="CN315" s="23"/>
      <c r="CO315" s="23"/>
      <c r="CP315" s="23"/>
      <c r="CQ315" s="23"/>
      <c r="CR315" s="23"/>
      <c r="CS315" s="29" t="s">
        <v>570</v>
      </c>
      <c r="CT315" s="29" t="s">
        <v>570</v>
      </c>
      <c r="CU315" s="29" t="s">
        <v>570</v>
      </c>
      <c r="CV315" s="23" t="s">
        <v>570</v>
      </c>
      <c r="CW315" s="93"/>
      <c r="CX315" s="96" t="s">
        <v>806</v>
      </c>
      <c r="CY315" s="23">
        <v>42411</v>
      </c>
      <c r="CZ315" s="93"/>
      <c r="DA315" s="170" t="s">
        <v>807</v>
      </c>
      <c r="DB315" s="23">
        <v>42471</v>
      </c>
      <c r="DC315" s="93"/>
      <c r="DD315" s="170" t="s">
        <v>808</v>
      </c>
      <c r="DE315" s="23">
        <v>42502</v>
      </c>
      <c r="DF315" s="93"/>
      <c r="DG315" s="170" t="s">
        <v>809</v>
      </c>
      <c r="DH315" s="23">
        <v>42592</v>
      </c>
      <c r="DI315" s="93"/>
      <c r="DJ315" s="170" t="s">
        <v>810</v>
      </c>
      <c r="DK315" s="23">
        <v>42620</v>
      </c>
      <c r="DL315" s="93"/>
      <c r="DM315" s="170" t="s">
        <v>811</v>
      </c>
      <c r="DN315" s="23">
        <v>42653</v>
      </c>
      <c r="DO315" s="93"/>
      <c r="DP315" s="97" t="s">
        <v>812</v>
      </c>
      <c r="DQ315" s="23">
        <v>42690</v>
      </c>
      <c r="DR315" s="93"/>
      <c r="DS315" s="98" t="s">
        <v>815</v>
      </c>
      <c r="DT315" s="23">
        <v>42717</v>
      </c>
      <c r="DU315" s="167"/>
      <c r="DV315" s="134" t="s">
        <v>1473</v>
      </c>
      <c r="DW315" s="99">
        <v>42790</v>
      </c>
      <c r="DX315" s="93"/>
      <c r="DY315" s="92">
        <f t="shared" si="136"/>
        <v>0</v>
      </c>
      <c r="DZ315" s="93"/>
      <c r="EA315" s="93"/>
      <c r="EB315" s="93"/>
      <c r="EC315" s="93"/>
      <c r="ED315" s="93"/>
      <c r="EE315" s="93"/>
      <c r="EF315" s="93"/>
      <c r="EG315" s="13">
        <v>240</v>
      </c>
      <c r="EH315" s="23" t="s">
        <v>626</v>
      </c>
      <c r="EI315" s="23">
        <f t="shared" si="141"/>
        <v>42377</v>
      </c>
      <c r="EJ315" s="23">
        <f t="shared" si="142"/>
        <v>42617</v>
      </c>
      <c r="EK315" s="13"/>
      <c r="EL315" s="13"/>
      <c r="EM315" s="13"/>
      <c r="EN315" s="13"/>
      <c r="EO315" s="13"/>
      <c r="EP315" s="13"/>
      <c r="EQ315" s="13"/>
      <c r="ER315" s="13"/>
      <c r="ES315" s="13"/>
      <c r="ET315" s="13"/>
      <c r="EU315" s="13"/>
      <c r="EV315" s="13"/>
      <c r="EW315" s="13"/>
      <c r="EX315" s="13"/>
      <c r="EY315" s="13"/>
      <c r="EZ315" s="13"/>
      <c r="FA315" s="13"/>
      <c r="FB315" s="13"/>
      <c r="FC315" s="13"/>
      <c r="FD315" s="13"/>
      <c r="FE315" s="13"/>
      <c r="FF315" s="13"/>
      <c r="FG315" s="13"/>
      <c r="FH315" s="25">
        <v>0.1</v>
      </c>
      <c r="FI315" s="25">
        <v>0.2</v>
      </c>
      <c r="FJ315" s="25">
        <v>0.3</v>
      </c>
      <c r="FK315" s="25">
        <v>0.4</v>
      </c>
      <c r="FL315" s="25">
        <v>0.55000000000000004</v>
      </c>
      <c r="FM315" s="25">
        <v>0.7</v>
      </c>
      <c r="FN315" s="25">
        <v>0.85</v>
      </c>
      <c r="FO315" s="25">
        <v>1</v>
      </c>
      <c r="FP315" s="25">
        <v>1</v>
      </c>
      <c r="FQ315" s="25">
        <v>1</v>
      </c>
      <c r="FR315" s="25">
        <v>1</v>
      </c>
      <c r="FS315" s="25">
        <v>1</v>
      </c>
      <c r="FT315" s="25">
        <v>1</v>
      </c>
      <c r="FU315" s="25">
        <v>1</v>
      </c>
      <c r="FV315" s="25">
        <v>1</v>
      </c>
      <c r="FW315" s="25">
        <v>1</v>
      </c>
      <c r="FX315" s="25">
        <v>1</v>
      </c>
      <c r="FY315" s="25">
        <v>1</v>
      </c>
      <c r="FZ315" s="25">
        <v>1</v>
      </c>
      <c r="GA315" s="25">
        <v>1</v>
      </c>
      <c r="GB315" s="25">
        <v>1</v>
      </c>
      <c r="GC315" s="25">
        <v>1</v>
      </c>
      <c r="GD315" s="25">
        <v>1</v>
      </c>
      <c r="GE315" s="25">
        <v>1</v>
      </c>
      <c r="GF315" s="25">
        <v>1</v>
      </c>
      <c r="GG315" s="25">
        <v>1</v>
      </c>
      <c r="GH315" s="25">
        <v>1</v>
      </c>
      <c r="GI315" s="25">
        <v>1</v>
      </c>
      <c r="GJ315" s="25">
        <v>1</v>
      </c>
      <c r="GK315" s="25">
        <v>1</v>
      </c>
      <c r="GL315" s="25">
        <v>1</v>
      </c>
      <c r="GM315" s="25">
        <v>1</v>
      </c>
      <c r="GN315" s="25">
        <v>1</v>
      </c>
      <c r="GO315" s="25">
        <v>1</v>
      </c>
      <c r="GP315" s="25">
        <v>1</v>
      </c>
      <c r="GQ315" s="25">
        <v>1</v>
      </c>
      <c r="GR315" s="25">
        <v>1</v>
      </c>
      <c r="GS315" s="25">
        <v>1</v>
      </c>
      <c r="GT315" s="25">
        <v>1</v>
      </c>
      <c r="GU315" s="25">
        <v>1</v>
      </c>
      <c r="GV315" s="25" t="s">
        <v>455</v>
      </c>
      <c r="GW315" s="25" t="s">
        <v>455</v>
      </c>
      <c r="GX315" s="25" t="s">
        <v>455</v>
      </c>
      <c r="GY315" s="25" t="s">
        <v>455</v>
      </c>
      <c r="GZ315" s="25" t="s">
        <v>455</v>
      </c>
      <c r="HA315" s="25" t="s">
        <v>455</v>
      </c>
      <c r="HB315" s="25" t="s">
        <v>455</v>
      </c>
      <c r="HC315" s="25" t="s">
        <v>455</v>
      </c>
      <c r="HD315" s="25" t="s">
        <v>455</v>
      </c>
      <c r="HE315" s="25" t="s">
        <v>455</v>
      </c>
      <c r="HF315" s="25" t="s">
        <v>455</v>
      </c>
      <c r="HG315" s="25" t="s">
        <v>455</v>
      </c>
      <c r="HH315" s="25" t="s">
        <v>455</v>
      </c>
      <c r="HI315" s="25"/>
      <c r="HJ315" s="25"/>
      <c r="HK315" s="25"/>
      <c r="HL315" s="25"/>
      <c r="HM315" s="84"/>
      <c r="HN315" s="84"/>
      <c r="HO315" s="84"/>
      <c r="HP315" s="84"/>
      <c r="HQ315" s="84"/>
      <c r="HR315" s="84"/>
      <c r="HS315" s="84"/>
      <c r="HT315" s="84"/>
      <c r="HU315" s="13" t="s">
        <v>1045</v>
      </c>
      <c r="HV315" s="13"/>
      <c r="HW315" s="32"/>
      <c r="HX315" s="23"/>
      <c r="HY315" s="55"/>
      <c r="HZ315" s="55"/>
      <c r="IA315" s="251"/>
      <c r="IB315" s="251"/>
      <c r="IC315" s="251"/>
      <c r="ID315" s="251"/>
      <c r="IE315" s="251"/>
      <c r="IF315" s="107">
        <v>0</v>
      </c>
      <c r="IG315" s="107"/>
      <c r="IH315" s="250">
        <f t="shared" si="146"/>
        <v>0</v>
      </c>
      <c r="II315" s="251"/>
      <c r="IJ315" s="251"/>
      <c r="IK315" s="251"/>
      <c r="IL315" s="251"/>
      <c r="IM315" s="251"/>
      <c r="IN315" s="251"/>
      <c r="IO315" s="251"/>
      <c r="IP315" s="251"/>
      <c r="IQ315" s="251"/>
      <c r="IR315" s="251"/>
      <c r="IS315" s="251"/>
      <c r="IT315" s="251"/>
      <c r="IU315" s="251"/>
      <c r="IV315" s="251"/>
      <c r="IW315" s="251"/>
      <c r="IX315" s="251"/>
      <c r="IY315" s="251"/>
      <c r="IZ315" s="251"/>
      <c r="JA315" s="251"/>
      <c r="JB315" s="251"/>
      <c r="JC315" s="251"/>
      <c r="JD315" s="251">
        <v>2016</v>
      </c>
    </row>
    <row r="316" spans="1:264" s="10" customFormat="1" ht="20.100000000000001" hidden="1" customHeight="1">
      <c r="A316" s="26" t="s">
        <v>9</v>
      </c>
      <c r="B316" s="26" t="s">
        <v>203</v>
      </c>
      <c r="C316" s="13" t="s">
        <v>349</v>
      </c>
      <c r="D316" s="13" t="s">
        <v>380</v>
      </c>
      <c r="E316" s="16" t="s">
        <v>360</v>
      </c>
      <c r="F316" s="13" t="s">
        <v>384</v>
      </c>
      <c r="G316" s="39" t="s">
        <v>354</v>
      </c>
      <c r="H316" s="28" t="s">
        <v>1559</v>
      </c>
      <c r="I316" s="20" t="s">
        <v>133</v>
      </c>
      <c r="J316" s="40">
        <v>5</v>
      </c>
      <c r="K316" s="49" t="s">
        <v>375</v>
      </c>
      <c r="L316" s="314" t="s">
        <v>284</v>
      </c>
      <c r="M316" s="15" t="s">
        <v>2028</v>
      </c>
      <c r="N316" s="43"/>
      <c r="O316" s="13" t="s">
        <v>206</v>
      </c>
      <c r="P316" s="13" t="s">
        <v>4</v>
      </c>
      <c r="Q316" s="22" t="s">
        <v>1118</v>
      </c>
      <c r="R316" s="314" t="s">
        <v>284</v>
      </c>
      <c r="S316" s="13" t="s">
        <v>619</v>
      </c>
      <c r="T316" s="13" t="s">
        <v>1387</v>
      </c>
      <c r="U316" s="13" t="s">
        <v>477</v>
      </c>
      <c r="V316" s="24">
        <v>2100628706001</v>
      </c>
      <c r="W316" s="13" t="s">
        <v>570</v>
      </c>
      <c r="X316" s="13" t="s">
        <v>570</v>
      </c>
      <c r="Y316" s="13" t="s">
        <v>583</v>
      </c>
      <c r="Z316" s="13" t="s">
        <v>503</v>
      </c>
      <c r="AA316" s="29">
        <v>6480.75</v>
      </c>
      <c r="AB316" s="29">
        <v>0</v>
      </c>
      <c r="AC316" s="29">
        <v>0</v>
      </c>
      <c r="AD316" s="29"/>
      <c r="AE316" s="29">
        <v>0</v>
      </c>
      <c r="AF316" s="29">
        <f t="shared" si="138"/>
        <v>0</v>
      </c>
      <c r="AG316" s="25">
        <v>0.12</v>
      </c>
      <c r="AH316" s="29">
        <f t="shared" si="143"/>
        <v>0</v>
      </c>
      <c r="AI316" s="29">
        <f t="shared" si="144"/>
        <v>0</v>
      </c>
      <c r="AJ316" s="29">
        <f t="shared" si="145"/>
        <v>0</v>
      </c>
      <c r="AK316" s="29"/>
      <c r="AL316" s="29"/>
      <c r="AM316" s="126"/>
      <c r="AN316" s="29"/>
      <c r="AO316" s="29"/>
      <c r="AP316" s="29"/>
      <c r="AQ316" s="29"/>
      <c r="AR316" s="35">
        <v>0.14000000000000001</v>
      </c>
      <c r="AS316" s="35"/>
      <c r="AT316" s="29"/>
      <c r="AU316" s="29"/>
      <c r="AV316" s="29"/>
      <c r="AW316" s="29"/>
      <c r="AX316" s="29"/>
      <c r="AY316" s="29"/>
      <c r="AZ316" s="29"/>
      <c r="BA316" s="29"/>
      <c r="BB316" s="29"/>
      <c r="BC316" s="29"/>
      <c r="BD316" s="29"/>
      <c r="BE316" s="29"/>
      <c r="BF316" s="29">
        <f t="shared" si="140"/>
        <v>0</v>
      </c>
      <c r="BG316" s="29">
        <f t="shared" si="139"/>
        <v>0</v>
      </c>
      <c r="BH316" s="29"/>
      <c r="BI316" s="23" t="s">
        <v>570</v>
      </c>
      <c r="BJ316" s="23" t="s">
        <v>570</v>
      </c>
      <c r="BK316" s="23"/>
      <c r="BL316" s="23"/>
      <c r="BM316" s="23"/>
      <c r="BN316" s="13"/>
      <c r="BO316" s="13"/>
      <c r="BP316" s="13"/>
      <c r="BQ316" s="13"/>
      <c r="BR316" s="13"/>
      <c r="BS316" s="13"/>
      <c r="BT316" s="13"/>
      <c r="BU316" s="13"/>
      <c r="BV316" s="13"/>
      <c r="BW316" s="13" t="s">
        <v>570</v>
      </c>
      <c r="BX316" s="23">
        <v>42345</v>
      </c>
      <c r="BY316" s="13" t="s">
        <v>570</v>
      </c>
      <c r="BZ316" s="13" t="s">
        <v>503</v>
      </c>
      <c r="CA316" s="23">
        <v>42376</v>
      </c>
      <c r="CB316" s="224" t="s">
        <v>570</v>
      </c>
      <c r="CC316" s="224" t="s">
        <v>570</v>
      </c>
      <c r="CD316" s="224" t="s">
        <v>570</v>
      </c>
      <c r="CE316" s="23"/>
      <c r="CF316" s="23"/>
      <c r="CG316" s="23"/>
      <c r="CH316" s="23"/>
      <c r="CI316" s="23"/>
      <c r="CJ316" s="23"/>
      <c r="CK316" s="23"/>
      <c r="CL316" s="23"/>
      <c r="CM316" s="23"/>
      <c r="CN316" s="23"/>
      <c r="CO316" s="23"/>
      <c r="CP316" s="23"/>
      <c r="CQ316" s="23"/>
      <c r="CR316" s="23"/>
      <c r="CS316" s="29" t="s">
        <v>570</v>
      </c>
      <c r="CT316" s="29" t="s">
        <v>570</v>
      </c>
      <c r="CU316" s="29" t="s">
        <v>570</v>
      </c>
      <c r="CV316" s="23" t="s">
        <v>570</v>
      </c>
      <c r="CW316" s="93"/>
      <c r="CX316" s="96" t="s">
        <v>806</v>
      </c>
      <c r="CY316" s="23">
        <v>42411</v>
      </c>
      <c r="CZ316" s="93"/>
      <c r="DA316" s="170" t="s">
        <v>807</v>
      </c>
      <c r="DB316" s="23">
        <v>42471</v>
      </c>
      <c r="DC316" s="93"/>
      <c r="DD316" s="170" t="s">
        <v>808</v>
      </c>
      <c r="DE316" s="23">
        <v>42502</v>
      </c>
      <c r="DF316" s="93"/>
      <c r="DG316" s="170" t="s">
        <v>809</v>
      </c>
      <c r="DH316" s="23">
        <v>42592</v>
      </c>
      <c r="DI316" s="93"/>
      <c r="DJ316" s="170" t="s">
        <v>810</v>
      </c>
      <c r="DK316" s="23">
        <v>42620</v>
      </c>
      <c r="DL316" s="93"/>
      <c r="DM316" s="170" t="s">
        <v>811</v>
      </c>
      <c r="DN316" s="23">
        <v>42653</v>
      </c>
      <c r="DO316" s="93"/>
      <c r="DP316" s="97" t="s">
        <v>812</v>
      </c>
      <c r="DQ316" s="23">
        <v>42690</v>
      </c>
      <c r="DR316" s="93"/>
      <c r="DS316" s="98" t="s">
        <v>815</v>
      </c>
      <c r="DT316" s="23">
        <v>42717</v>
      </c>
      <c r="DU316" s="167"/>
      <c r="DV316" s="134" t="s">
        <v>1473</v>
      </c>
      <c r="DW316" s="99">
        <v>42790</v>
      </c>
      <c r="DX316" s="93"/>
      <c r="DY316" s="92">
        <f t="shared" si="136"/>
        <v>0</v>
      </c>
      <c r="DZ316" s="93"/>
      <c r="EA316" s="93"/>
      <c r="EB316" s="93"/>
      <c r="EC316" s="93"/>
      <c r="ED316" s="93"/>
      <c r="EE316" s="93"/>
      <c r="EF316" s="93"/>
      <c r="EG316" s="13">
        <v>240</v>
      </c>
      <c r="EH316" s="23" t="s">
        <v>626</v>
      </c>
      <c r="EI316" s="23">
        <f t="shared" si="141"/>
        <v>42377</v>
      </c>
      <c r="EJ316" s="23">
        <f t="shared" si="142"/>
        <v>42617</v>
      </c>
      <c r="EK316" s="13"/>
      <c r="EL316" s="13"/>
      <c r="EM316" s="13"/>
      <c r="EN316" s="13"/>
      <c r="EO316" s="13"/>
      <c r="EP316" s="13"/>
      <c r="EQ316" s="13"/>
      <c r="ER316" s="13"/>
      <c r="ES316" s="13"/>
      <c r="ET316" s="13"/>
      <c r="EU316" s="13"/>
      <c r="EV316" s="13"/>
      <c r="EW316" s="13"/>
      <c r="EX316" s="13"/>
      <c r="EY316" s="13"/>
      <c r="EZ316" s="13"/>
      <c r="FA316" s="13"/>
      <c r="FB316" s="13"/>
      <c r="FC316" s="13"/>
      <c r="FD316" s="13"/>
      <c r="FE316" s="13"/>
      <c r="FF316" s="13"/>
      <c r="FG316" s="13"/>
      <c r="FH316" s="25">
        <v>0.1</v>
      </c>
      <c r="FI316" s="25">
        <v>0.2</v>
      </c>
      <c r="FJ316" s="25">
        <v>0.3</v>
      </c>
      <c r="FK316" s="25">
        <v>0.4</v>
      </c>
      <c r="FL316" s="25">
        <v>0.55000000000000004</v>
      </c>
      <c r="FM316" s="25">
        <v>0.7</v>
      </c>
      <c r="FN316" s="25">
        <v>0.85</v>
      </c>
      <c r="FO316" s="25">
        <v>1</v>
      </c>
      <c r="FP316" s="25">
        <v>1</v>
      </c>
      <c r="FQ316" s="25">
        <v>1</v>
      </c>
      <c r="FR316" s="25">
        <v>1</v>
      </c>
      <c r="FS316" s="25">
        <v>1</v>
      </c>
      <c r="FT316" s="25">
        <v>1</v>
      </c>
      <c r="FU316" s="25">
        <v>1</v>
      </c>
      <c r="FV316" s="25">
        <v>1</v>
      </c>
      <c r="FW316" s="25">
        <v>1</v>
      </c>
      <c r="FX316" s="25">
        <v>1</v>
      </c>
      <c r="FY316" s="25">
        <v>1</v>
      </c>
      <c r="FZ316" s="25">
        <v>1</v>
      </c>
      <c r="GA316" s="25">
        <v>1</v>
      </c>
      <c r="GB316" s="25">
        <v>1</v>
      </c>
      <c r="GC316" s="25">
        <v>1</v>
      </c>
      <c r="GD316" s="25">
        <v>1</v>
      </c>
      <c r="GE316" s="25">
        <v>1</v>
      </c>
      <c r="GF316" s="25">
        <v>1</v>
      </c>
      <c r="GG316" s="25">
        <v>1</v>
      </c>
      <c r="GH316" s="25">
        <v>1</v>
      </c>
      <c r="GI316" s="25">
        <v>1</v>
      </c>
      <c r="GJ316" s="25">
        <v>1</v>
      </c>
      <c r="GK316" s="25">
        <v>1</v>
      </c>
      <c r="GL316" s="25">
        <v>1</v>
      </c>
      <c r="GM316" s="25">
        <v>1</v>
      </c>
      <c r="GN316" s="25">
        <v>1</v>
      </c>
      <c r="GO316" s="25">
        <v>1</v>
      </c>
      <c r="GP316" s="25">
        <v>1</v>
      </c>
      <c r="GQ316" s="25">
        <v>1</v>
      </c>
      <c r="GR316" s="25">
        <v>1</v>
      </c>
      <c r="GS316" s="25">
        <v>1</v>
      </c>
      <c r="GT316" s="25">
        <v>1</v>
      </c>
      <c r="GU316" s="25">
        <v>1</v>
      </c>
      <c r="GV316" s="25" t="s">
        <v>455</v>
      </c>
      <c r="GW316" s="25" t="s">
        <v>455</v>
      </c>
      <c r="GX316" s="25" t="s">
        <v>455</v>
      </c>
      <c r="GY316" s="25" t="s">
        <v>455</v>
      </c>
      <c r="GZ316" s="25" t="s">
        <v>455</v>
      </c>
      <c r="HA316" s="25" t="s">
        <v>455</v>
      </c>
      <c r="HB316" s="25" t="s">
        <v>455</v>
      </c>
      <c r="HC316" s="25" t="s">
        <v>455</v>
      </c>
      <c r="HD316" s="25" t="s">
        <v>455</v>
      </c>
      <c r="HE316" s="25" t="s">
        <v>455</v>
      </c>
      <c r="HF316" s="25" t="s">
        <v>455</v>
      </c>
      <c r="HG316" s="25" t="s">
        <v>455</v>
      </c>
      <c r="HH316" s="25" t="s">
        <v>455</v>
      </c>
      <c r="HI316" s="25"/>
      <c r="HJ316" s="25"/>
      <c r="HK316" s="25"/>
      <c r="HL316" s="25"/>
      <c r="HM316" s="84"/>
      <c r="HN316" s="84"/>
      <c r="HO316" s="84"/>
      <c r="HP316" s="84"/>
      <c r="HQ316" s="84"/>
      <c r="HR316" s="84"/>
      <c r="HS316" s="84"/>
      <c r="HT316" s="84"/>
      <c r="HU316" s="13" t="s">
        <v>1045</v>
      </c>
      <c r="HV316" s="13"/>
      <c r="HW316" s="32"/>
      <c r="HX316" s="23"/>
      <c r="HY316" s="55"/>
      <c r="HZ316" s="55"/>
      <c r="IA316" s="251"/>
      <c r="IB316" s="251"/>
      <c r="IC316" s="251"/>
      <c r="ID316" s="251"/>
      <c r="IE316" s="251"/>
      <c r="IF316" s="107">
        <v>0</v>
      </c>
      <c r="IG316" s="107"/>
      <c r="IH316" s="250">
        <f t="shared" si="146"/>
        <v>0</v>
      </c>
      <c r="II316" s="251"/>
      <c r="IJ316" s="251"/>
      <c r="IK316" s="251"/>
      <c r="IL316" s="251"/>
      <c r="IM316" s="251"/>
      <c r="IN316" s="251"/>
      <c r="IO316" s="251"/>
      <c r="IP316" s="251"/>
      <c r="IQ316" s="251"/>
      <c r="IR316" s="251"/>
      <c r="IS316" s="251"/>
      <c r="IT316" s="251"/>
      <c r="IU316" s="251"/>
      <c r="IV316" s="251"/>
      <c r="IW316" s="251"/>
      <c r="IX316" s="251"/>
      <c r="IY316" s="251"/>
      <c r="IZ316" s="251"/>
      <c r="JA316" s="251"/>
      <c r="JB316" s="251"/>
      <c r="JC316" s="251"/>
      <c r="JD316" s="251">
        <v>2016</v>
      </c>
    </row>
    <row r="317" spans="1:264" s="5" customFormat="1" ht="20.100000000000001" hidden="1" customHeight="1">
      <c r="A317" s="26" t="s">
        <v>9</v>
      </c>
      <c r="B317" s="26" t="s">
        <v>203</v>
      </c>
      <c r="C317" s="13" t="s">
        <v>349</v>
      </c>
      <c r="D317" s="13" t="s">
        <v>380</v>
      </c>
      <c r="E317" s="16" t="s">
        <v>350</v>
      </c>
      <c r="F317" s="13" t="s">
        <v>384</v>
      </c>
      <c r="G317" s="39" t="s">
        <v>354</v>
      </c>
      <c r="H317" s="28" t="s">
        <v>1548</v>
      </c>
      <c r="I317" s="69" t="s">
        <v>135</v>
      </c>
      <c r="J317" s="40">
        <v>6</v>
      </c>
      <c r="K317" s="49" t="s">
        <v>375</v>
      </c>
      <c r="L317" s="314" t="s">
        <v>284</v>
      </c>
      <c r="M317" s="15" t="s">
        <v>2029</v>
      </c>
      <c r="N317" s="43"/>
      <c r="O317" s="13" t="s">
        <v>206</v>
      </c>
      <c r="P317" s="13" t="s">
        <v>4</v>
      </c>
      <c r="Q317" s="22" t="s">
        <v>1118</v>
      </c>
      <c r="R317" s="314" t="s">
        <v>284</v>
      </c>
      <c r="S317" s="13" t="s">
        <v>619</v>
      </c>
      <c r="T317" s="13" t="s">
        <v>1387</v>
      </c>
      <c r="U317" s="13" t="s">
        <v>477</v>
      </c>
      <c r="V317" s="24">
        <v>2100628706001</v>
      </c>
      <c r="W317" s="13" t="s">
        <v>570</v>
      </c>
      <c r="X317" s="13" t="s">
        <v>570</v>
      </c>
      <c r="Y317" s="13" t="s">
        <v>583</v>
      </c>
      <c r="Z317" s="13" t="s">
        <v>503</v>
      </c>
      <c r="AA317" s="29">
        <v>8134.81</v>
      </c>
      <c r="AB317" s="29">
        <v>0</v>
      </c>
      <c r="AC317" s="29">
        <v>0</v>
      </c>
      <c r="AD317" s="29"/>
      <c r="AE317" s="29">
        <v>0</v>
      </c>
      <c r="AF317" s="29">
        <f t="shared" si="138"/>
        <v>0</v>
      </c>
      <c r="AG317" s="25">
        <v>0.12</v>
      </c>
      <c r="AH317" s="29">
        <f t="shared" si="143"/>
        <v>0</v>
      </c>
      <c r="AI317" s="29">
        <f t="shared" si="144"/>
        <v>0</v>
      </c>
      <c r="AJ317" s="29">
        <f t="shared" si="145"/>
        <v>0</v>
      </c>
      <c r="AK317" s="29"/>
      <c r="AL317" s="29"/>
      <c r="AM317" s="126"/>
      <c r="AN317" s="29"/>
      <c r="AO317" s="29"/>
      <c r="AP317" s="29"/>
      <c r="AQ317" s="29"/>
      <c r="AR317" s="35">
        <v>0.14000000000000001</v>
      </c>
      <c r="AS317" s="35"/>
      <c r="AT317" s="29"/>
      <c r="AU317" s="29"/>
      <c r="AV317" s="29"/>
      <c r="AW317" s="29"/>
      <c r="AX317" s="29"/>
      <c r="AY317" s="29"/>
      <c r="AZ317" s="29"/>
      <c r="BA317" s="29"/>
      <c r="BB317" s="29"/>
      <c r="BC317" s="29"/>
      <c r="BD317" s="29"/>
      <c r="BE317" s="29"/>
      <c r="BF317" s="29">
        <f t="shared" si="140"/>
        <v>0</v>
      </c>
      <c r="BG317" s="29">
        <f t="shared" si="139"/>
        <v>0</v>
      </c>
      <c r="BH317" s="29"/>
      <c r="BI317" s="23" t="s">
        <v>570</v>
      </c>
      <c r="BJ317" s="23" t="s">
        <v>570</v>
      </c>
      <c r="BK317" s="23"/>
      <c r="BL317" s="23"/>
      <c r="BM317" s="23"/>
      <c r="BN317" s="13"/>
      <c r="BO317" s="13"/>
      <c r="BP317" s="13"/>
      <c r="BQ317" s="13"/>
      <c r="BR317" s="13"/>
      <c r="BS317" s="13"/>
      <c r="BT317" s="13"/>
      <c r="BU317" s="13"/>
      <c r="BV317" s="13"/>
      <c r="BW317" s="13" t="s">
        <v>570</v>
      </c>
      <c r="BX317" s="23">
        <v>42345</v>
      </c>
      <c r="BY317" s="13" t="s">
        <v>570</v>
      </c>
      <c r="BZ317" s="13" t="s">
        <v>503</v>
      </c>
      <c r="CA317" s="23">
        <v>42376</v>
      </c>
      <c r="CB317" s="224" t="s">
        <v>570</v>
      </c>
      <c r="CC317" s="224" t="s">
        <v>570</v>
      </c>
      <c r="CD317" s="224" t="s">
        <v>570</v>
      </c>
      <c r="CE317" s="23"/>
      <c r="CF317" s="23"/>
      <c r="CG317" s="23"/>
      <c r="CH317" s="23"/>
      <c r="CI317" s="23"/>
      <c r="CJ317" s="23"/>
      <c r="CK317" s="23"/>
      <c r="CL317" s="23"/>
      <c r="CM317" s="23"/>
      <c r="CN317" s="23"/>
      <c r="CO317" s="23"/>
      <c r="CP317" s="23"/>
      <c r="CQ317" s="23"/>
      <c r="CR317" s="23"/>
      <c r="CS317" s="29" t="s">
        <v>570</v>
      </c>
      <c r="CT317" s="29" t="s">
        <v>570</v>
      </c>
      <c r="CU317" s="29" t="s">
        <v>570</v>
      </c>
      <c r="CV317" s="23" t="s">
        <v>570</v>
      </c>
      <c r="CW317" s="93">
        <v>0</v>
      </c>
      <c r="CX317" s="80"/>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92">
        <f t="shared" si="136"/>
        <v>0</v>
      </c>
      <c r="DZ317" s="13"/>
      <c r="EA317" s="13"/>
      <c r="EB317" s="13"/>
      <c r="EC317" s="13"/>
      <c r="ED317" s="13"/>
      <c r="EE317" s="13"/>
      <c r="EF317" s="13"/>
      <c r="EG317" s="13">
        <v>240</v>
      </c>
      <c r="EH317" s="23" t="s">
        <v>626</v>
      </c>
      <c r="EI317" s="23">
        <f t="shared" si="141"/>
        <v>42377</v>
      </c>
      <c r="EJ317" s="23">
        <f t="shared" si="142"/>
        <v>42617</v>
      </c>
      <c r="EK317" s="13"/>
      <c r="EL317" s="13"/>
      <c r="EM317" s="13"/>
      <c r="EN317" s="13"/>
      <c r="EO317" s="13"/>
      <c r="EP317" s="13"/>
      <c r="EQ317" s="13"/>
      <c r="ER317" s="13"/>
      <c r="ES317" s="13"/>
      <c r="ET317" s="13"/>
      <c r="EU317" s="13"/>
      <c r="EV317" s="13"/>
      <c r="EW317" s="13"/>
      <c r="EX317" s="13"/>
      <c r="EY317" s="13"/>
      <c r="EZ317" s="13"/>
      <c r="FA317" s="13"/>
      <c r="FB317" s="13"/>
      <c r="FC317" s="13"/>
      <c r="FD317" s="13"/>
      <c r="FE317" s="13"/>
      <c r="FF317" s="13"/>
      <c r="FG317" s="13"/>
      <c r="FH317" s="25">
        <v>0.1</v>
      </c>
      <c r="FI317" s="25">
        <v>0.2</v>
      </c>
      <c r="FJ317" s="25">
        <v>0.3</v>
      </c>
      <c r="FK317" s="25">
        <v>0.4</v>
      </c>
      <c r="FL317" s="25">
        <v>0.55000000000000004</v>
      </c>
      <c r="FM317" s="25">
        <v>0.7</v>
      </c>
      <c r="FN317" s="25">
        <v>0.85</v>
      </c>
      <c r="FO317" s="25">
        <v>1</v>
      </c>
      <c r="FP317" s="25">
        <v>1</v>
      </c>
      <c r="FQ317" s="25">
        <v>1</v>
      </c>
      <c r="FR317" s="25">
        <v>1</v>
      </c>
      <c r="FS317" s="25">
        <v>1</v>
      </c>
      <c r="FT317" s="25">
        <v>1</v>
      </c>
      <c r="FU317" s="25">
        <v>1</v>
      </c>
      <c r="FV317" s="25">
        <v>1</v>
      </c>
      <c r="FW317" s="25">
        <v>1</v>
      </c>
      <c r="FX317" s="25">
        <v>1</v>
      </c>
      <c r="FY317" s="25">
        <v>1</v>
      </c>
      <c r="FZ317" s="25">
        <v>1</v>
      </c>
      <c r="GA317" s="25">
        <v>1</v>
      </c>
      <c r="GB317" s="25">
        <v>1</v>
      </c>
      <c r="GC317" s="25">
        <v>1</v>
      </c>
      <c r="GD317" s="25">
        <v>1</v>
      </c>
      <c r="GE317" s="25">
        <v>1</v>
      </c>
      <c r="GF317" s="25">
        <v>1</v>
      </c>
      <c r="GG317" s="25">
        <v>1</v>
      </c>
      <c r="GH317" s="25">
        <v>1</v>
      </c>
      <c r="GI317" s="25">
        <v>1</v>
      </c>
      <c r="GJ317" s="25">
        <v>1</v>
      </c>
      <c r="GK317" s="25">
        <v>1</v>
      </c>
      <c r="GL317" s="25">
        <v>1</v>
      </c>
      <c r="GM317" s="25">
        <v>1</v>
      </c>
      <c r="GN317" s="25">
        <v>1</v>
      </c>
      <c r="GO317" s="25">
        <v>1</v>
      </c>
      <c r="GP317" s="25">
        <v>1</v>
      </c>
      <c r="GQ317" s="25">
        <v>1</v>
      </c>
      <c r="GR317" s="25">
        <v>1</v>
      </c>
      <c r="GS317" s="25">
        <v>1</v>
      </c>
      <c r="GT317" s="25">
        <v>1</v>
      </c>
      <c r="GU317" s="25">
        <v>1</v>
      </c>
      <c r="GV317" s="25" t="s">
        <v>455</v>
      </c>
      <c r="GW317" s="25" t="s">
        <v>455</v>
      </c>
      <c r="GX317" s="25" t="s">
        <v>455</v>
      </c>
      <c r="GY317" s="25" t="s">
        <v>455</v>
      </c>
      <c r="GZ317" s="25" t="s">
        <v>455</v>
      </c>
      <c r="HA317" s="25" t="s">
        <v>455</v>
      </c>
      <c r="HB317" s="25" t="s">
        <v>455</v>
      </c>
      <c r="HC317" s="25" t="s">
        <v>455</v>
      </c>
      <c r="HD317" s="25" t="s">
        <v>455</v>
      </c>
      <c r="HE317" s="25" t="s">
        <v>455</v>
      </c>
      <c r="HF317" s="25" t="s">
        <v>455</v>
      </c>
      <c r="HG317" s="25" t="s">
        <v>455</v>
      </c>
      <c r="HH317" s="25" t="s">
        <v>455</v>
      </c>
      <c r="HI317" s="25"/>
      <c r="HJ317" s="25"/>
      <c r="HK317" s="25"/>
      <c r="HL317" s="25"/>
      <c r="HM317" s="84"/>
      <c r="HN317" s="84"/>
      <c r="HO317" s="84"/>
      <c r="HP317" s="84"/>
      <c r="HQ317" s="84"/>
      <c r="HR317" s="84"/>
      <c r="HS317" s="84"/>
      <c r="HT317" s="84"/>
      <c r="HU317" s="13" t="s">
        <v>1045</v>
      </c>
      <c r="HV317" s="13"/>
      <c r="HW317" s="32"/>
      <c r="HX317" s="55"/>
      <c r="HY317" s="55"/>
      <c r="HZ317" s="55"/>
      <c r="IA317" s="55"/>
      <c r="IB317" s="55"/>
      <c r="IC317" s="55"/>
      <c r="ID317" s="55"/>
      <c r="IE317" s="55"/>
      <c r="IF317" s="107">
        <v>0</v>
      </c>
      <c r="IG317" s="107"/>
      <c r="IH317" s="250">
        <f t="shared" si="146"/>
        <v>0</v>
      </c>
      <c r="II317" s="55"/>
      <c r="IJ317" s="55"/>
      <c r="IK317" s="55"/>
      <c r="IL317" s="55"/>
      <c r="IM317" s="55"/>
      <c r="IN317" s="55"/>
      <c r="IO317" s="55"/>
      <c r="IP317" s="55"/>
      <c r="IQ317" s="55"/>
      <c r="IR317" s="55"/>
      <c r="IS317" s="55"/>
      <c r="IT317" s="55"/>
      <c r="IU317" s="55"/>
      <c r="IV317" s="55"/>
      <c r="IW317" s="55"/>
      <c r="IX317" s="55"/>
      <c r="IY317" s="55"/>
      <c r="IZ317" s="55"/>
      <c r="JA317" s="55"/>
      <c r="JB317" s="55"/>
      <c r="JC317" s="55"/>
      <c r="JD317" s="55">
        <v>2016</v>
      </c>
    </row>
    <row r="318" spans="1:264" s="10" customFormat="1" ht="20.100000000000001" hidden="1" customHeight="1">
      <c r="A318" s="26" t="s">
        <v>9</v>
      </c>
      <c r="B318" s="26" t="s">
        <v>203</v>
      </c>
      <c r="C318" s="13" t="s">
        <v>349</v>
      </c>
      <c r="D318" s="13" t="s">
        <v>380</v>
      </c>
      <c r="E318" s="16" t="s">
        <v>350</v>
      </c>
      <c r="F318" s="13" t="s">
        <v>384</v>
      </c>
      <c r="G318" s="39" t="s">
        <v>354</v>
      </c>
      <c r="H318" s="28" t="s">
        <v>1559</v>
      </c>
      <c r="I318" s="69" t="s">
        <v>137</v>
      </c>
      <c r="J318" s="40">
        <v>7</v>
      </c>
      <c r="K318" s="49" t="s">
        <v>375</v>
      </c>
      <c r="L318" s="314" t="s">
        <v>284</v>
      </c>
      <c r="M318" s="15" t="s">
        <v>2030</v>
      </c>
      <c r="N318" s="43"/>
      <c r="O318" s="13" t="s">
        <v>206</v>
      </c>
      <c r="P318" s="13" t="s">
        <v>4</v>
      </c>
      <c r="Q318" s="22" t="s">
        <v>1118</v>
      </c>
      <c r="R318" s="314" t="s">
        <v>284</v>
      </c>
      <c r="S318" s="13" t="s">
        <v>619</v>
      </c>
      <c r="T318" s="13" t="s">
        <v>1387</v>
      </c>
      <c r="U318" s="13" t="s">
        <v>477</v>
      </c>
      <c r="V318" s="24">
        <v>2100628706001</v>
      </c>
      <c r="W318" s="13" t="s">
        <v>570</v>
      </c>
      <c r="X318" s="13" t="s">
        <v>570</v>
      </c>
      <c r="Y318" s="13" t="s">
        <v>583</v>
      </c>
      <c r="Z318" s="13" t="s">
        <v>503</v>
      </c>
      <c r="AA318" s="29">
        <v>1817.1</v>
      </c>
      <c r="AB318" s="29">
        <v>0</v>
      </c>
      <c r="AC318" s="29">
        <v>0</v>
      </c>
      <c r="AD318" s="29"/>
      <c r="AE318" s="29">
        <v>0</v>
      </c>
      <c r="AF318" s="29">
        <f t="shared" si="138"/>
        <v>0</v>
      </c>
      <c r="AG318" s="25">
        <v>0.12</v>
      </c>
      <c r="AH318" s="29">
        <f t="shared" si="143"/>
        <v>0</v>
      </c>
      <c r="AI318" s="29">
        <f t="shared" si="144"/>
        <v>0</v>
      </c>
      <c r="AJ318" s="29">
        <f t="shared" si="145"/>
        <v>0</v>
      </c>
      <c r="AK318" s="29"/>
      <c r="AL318" s="29"/>
      <c r="AM318" s="126"/>
      <c r="AN318" s="29"/>
      <c r="AO318" s="29"/>
      <c r="AP318" s="29"/>
      <c r="AQ318" s="29"/>
      <c r="AR318" s="35">
        <v>0.14000000000000001</v>
      </c>
      <c r="AS318" s="35"/>
      <c r="AT318" s="29"/>
      <c r="AU318" s="29"/>
      <c r="AV318" s="29"/>
      <c r="AW318" s="29"/>
      <c r="AX318" s="29"/>
      <c r="AY318" s="29"/>
      <c r="AZ318" s="29"/>
      <c r="BA318" s="29"/>
      <c r="BB318" s="29"/>
      <c r="BC318" s="29"/>
      <c r="BD318" s="29"/>
      <c r="BE318" s="29"/>
      <c r="BF318" s="29">
        <f t="shared" si="140"/>
        <v>0</v>
      </c>
      <c r="BG318" s="29">
        <f t="shared" si="139"/>
        <v>0</v>
      </c>
      <c r="BH318" s="29"/>
      <c r="BI318" s="23" t="s">
        <v>570</v>
      </c>
      <c r="BJ318" s="23" t="s">
        <v>570</v>
      </c>
      <c r="BK318" s="23"/>
      <c r="BL318" s="23"/>
      <c r="BM318" s="23"/>
      <c r="BN318" s="13"/>
      <c r="BO318" s="13"/>
      <c r="BP318" s="13"/>
      <c r="BQ318" s="13"/>
      <c r="BR318" s="13"/>
      <c r="BS318" s="13"/>
      <c r="BT318" s="13"/>
      <c r="BU318" s="13"/>
      <c r="BV318" s="13"/>
      <c r="BW318" s="13" t="s">
        <v>570</v>
      </c>
      <c r="BX318" s="23">
        <v>42345</v>
      </c>
      <c r="BY318" s="13" t="s">
        <v>570</v>
      </c>
      <c r="BZ318" s="13" t="s">
        <v>503</v>
      </c>
      <c r="CA318" s="23">
        <v>42376</v>
      </c>
      <c r="CB318" s="224" t="s">
        <v>570</v>
      </c>
      <c r="CC318" s="224" t="s">
        <v>570</v>
      </c>
      <c r="CD318" s="224" t="s">
        <v>570</v>
      </c>
      <c r="CE318" s="23"/>
      <c r="CF318" s="23"/>
      <c r="CG318" s="23"/>
      <c r="CH318" s="23"/>
      <c r="CI318" s="23"/>
      <c r="CJ318" s="23"/>
      <c r="CK318" s="23"/>
      <c r="CL318" s="23"/>
      <c r="CM318" s="23"/>
      <c r="CN318" s="23"/>
      <c r="CO318" s="23"/>
      <c r="CP318" s="23"/>
      <c r="CQ318" s="23"/>
      <c r="CR318" s="23"/>
      <c r="CS318" s="29" t="s">
        <v>570</v>
      </c>
      <c r="CT318" s="29" t="s">
        <v>570</v>
      </c>
      <c r="CU318" s="29" t="s">
        <v>570</v>
      </c>
      <c r="CV318" s="23" t="s">
        <v>570</v>
      </c>
      <c r="CW318" s="93">
        <v>0</v>
      </c>
      <c r="CX318" s="80"/>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92">
        <f t="shared" si="136"/>
        <v>0</v>
      </c>
      <c r="DZ318" s="13"/>
      <c r="EA318" s="13"/>
      <c r="EB318" s="13"/>
      <c r="EC318" s="13"/>
      <c r="ED318" s="13"/>
      <c r="EE318" s="13"/>
      <c r="EF318" s="13"/>
      <c r="EG318" s="13">
        <v>240</v>
      </c>
      <c r="EH318" s="23" t="s">
        <v>626</v>
      </c>
      <c r="EI318" s="23">
        <f t="shared" si="141"/>
        <v>42377</v>
      </c>
      <c r="EJ318" s="23">
        <f t="shared" si="142"/>
        <v>42617</v>
      </c>
      <c r="EK318" s="13"/>
      <c r="EL318" s="13"/>
      <c r="EM318" s="13"/>
      <c r="EN318" s="13"/>
      <c r="EO318" s="13"/>
      <c r="EP318" s="13"/>
      <c r="EQ318" s="13"/>
      <c r="ER318" s="13"/>
      <c r="ES318" s="13"/>
      <c r="ET318" s="13"/>
      <c r="EU318" s="13"/>
      <c r="EV318" s="13"/>
      <c r="EW318" s="13"/>
      <c r="EX318" s="13"/>
      <c r="EY318" s="13"/>
      <c r="EZ318" s="13"/>
      <c r="FA318" s="13"/>
      <c r="FB318" s="13"/>
      <c r="FC318" s="13"/>
      <c r="FD318" s="13"/>
      <c r="FE318" s="13"/>
      <c r="FF318" s="13"/>
      <c r="FG318" s="13"/>
      <c r="FH318" s="25">
        <v>0.1</v>
      </c>
      <c r="FI318" s="25">
        <v>0.2</v>
      </c>
      <c r="FJ318" s="25">
        <v>0.3</v>
      </c>
      <c r="FK318" s="25">
        <v>0.4</v>
      </c>
      <c r="FL318" s="25">
        <v>0.55000000000000004</v>
      </c>
      <c r="FM318" s="25">
        <v>0.7</v>
      </c>
      <c r="FN318" s="25">
        <v>0.85</v>
      </c>
      <c r="FO318" s="25">
        <v>1</v>
      </c>
      <c r="FP318" s="25">
        <v>1</v>
      </c>
      <c r="FQ318" s="25">
        <v>1</v>
      </c>
      <c r="FR318" s="25">
        <v>1</v>
      </c>
      <c r="FS318" s="25">
        <v>1</v>
      </c>
      <c r="FT318" s="25">
        <v>1</v>
      </c>
      <c r="FU318" s="25">
        <v>1</v>
      </c>
      <c r="FV318" s="25">
        <v>1</v>
      </c>
      <c r="FW318" s="25">
        <v>1</v>
      </c>
      <c r="FX318" s="25">
        <v>1</v>
      </c>
      <c r="FY318" s="25">
        <v>1</v>
      </c>
      <c r="FZ318" s="25">
        <v>1</v>
      </c>
      <c r="GA318" s="25">
        <v>1</v>
      </c>
      <c r="GB318" s="25">
        <v>1</v>
      </c>
      <c r="GC318" s="25">
        <v>1</v>
      </c>
      <c r="GD318" s="25">
        <v>1</v>
      </c>
      <c r="GE318" s="25">
        <v>1</v>
      </c>
      <c r="GF318" s="25">
        <v>1</v>
      </c>
      <c r="GG318" s="25">
        <v>1</v>
      </c>
      <c r="GH318" s="25">
        <v>1</v>
      </c>
      <c r="GI318" s="25">
        <v>1</v>
      </c>
      <c r="GJ318" s="25">
        <v>1</v>
      </c>
      <c r="GK318" s="25">
        <v>1</v>
      </c>
      <c r="GL318" s="25">
        <v>1</v>
      </c>
      <c r="GM318" s="25">
        <v>1</v>
      </c>
      <c r="GN318" s="25">
        <v>1</v>
      </c>
      <c r="GO318" s="25">
        <v>1</v>
      </c>
      <c r="GP318" s="25">
        <v>1</v>
      </c>
      <c r="GQ318" s="25">
        <v>1</v>
      </c>
      <c r="GR318" s="25">
        <v>1</v>
      </c>
      <c r="GS318" s="25">
        <v>1</v>
      </c>
      <c r="GT318" s="25">
        <v>1</v>
      </c>
      <c r="GU318" s="25">
        <v>1</v>
      </c>
      <c r="GV318" s="25" t="s">
        <v>455</v>
      </c>
      <c r="GW318" s="25" t="s">
        <v>455</v>
      </c>
      <c r="GX318" s="25" t="s">
        <v>455</v>
      </c>
      <c r="GY318" s="25" t="s">
        <v>455</v>
      </c>
      <c r="GZ318" s="25" t="s">
        <v>455</v>
      </c>
      <c r="HA318" s="25" t="s">
        <v>455</v>
      </c>
      <c r="HB318" s="25" t="s">
        <v>455</v>
      </c>
      <c r="HC318" s="25" t="s">
        <v>455</v>
      </c>
      <c r="HD318" s="25" t="s">
        <v>455</v>
      </c>
      <c r="HE318" s="25" t="s">
        <v>455</v>
      </c>
      <c r="HF318" s="25" t="s">
        <v>455</v>
      </c>
      <c r="HG318" s="25" t="s">
        <v>455</v>
      </c>
      <c r="HH318" s="25" t="s">
        <v>455</v>
      </c>
      <c r="HI318" s="25"/>
      <c r="HJ318" s="25"/>
      <c r="HK318" s="25"/>
      <c r="HL318" s="25"/>
      <c r="HM318" s="84"/>
      <c r="HN318" s="84"/>
      <c r="HO318" s="84"/>
      <c r="HP318" s="84"/>
      <c r="HQ318" s="84"/>
      <c r="HR318" s="84"/>
      <c r="HS318" s="84"/>
      <c r="HT318" s="84"/>
      <c r="HU318" s="13" t="s">
        <v>1045</v>
      </c>
      <c r="HV318" s="13"/>
      <c r="HW318" s="32"/>
      <c r="HX318" s="23"/>
      <c r="HY318" s="55"/>
      <c r="HZ318" s="55"/>
      <c r="IA318" s="251"/>
      <c r="IB318" s="251"/>
      <c r="IC318" s="251"/>
      <c r="ID318" s="251"/>
      <c r="IE318" s="251"/>
      <c r="IF318" s="107">
        <v>0</v>
      </c>
      <c r="IG318" s="107"/>
      <c r="IH318" s="250">
        <f t="shared" si="146"/>
        <v>0</v>
      </c>
      <c r="II318" s="251"/>
      <c r="IJ318" s="251"/>
      <c r="IK318" s="251"/>
      <c r="IL318" s="251"/>
      <c r="IM318" s="251"/>
      <c r="IN318" s="251"/>
      <c r="IO318" s="251"/>
      <c r="IP318" s="251"/>
      <c r="IQ318" s="251"/>
      <c r="IR318" s="251"/>
      <c r="IS318" s="251"/>
      <c r="IT318" s="251"/>
      <c r="IU318" s="251"/>
      <c r="IV318" s="251"/>
      <c r="IW318" s="251"/>
      <c r="IX318" s="251"/>
      <c r="IY318" s="251"/>
      <c r="IZ318" s="251"/>
      <c r="JA318" s="251"/>
      <c r="JB318" s="251"/>
      <c r="JC318" s="251"/>
      <c r="JD318" s="251">
        <v>2016</v>
      </c>
    </row>
    <row r="319" spans="1:264" s="5" customFormat="1" ht="24.75" hidden="1" customHeight="1">
      <c r="A319" s="26" t="s">
        <v>9</v>
      </c>
      <c r="B319" s="26" t="s">
        <v>203</v>
      </c>
      <c r="C319" s="13" t="s">
        <v>352</v>
      </c>
      <c r="D319" s="13" t="s">
        <v>377</v>
      </c>
      <c r="E319" s="16" t="s">
        <v>378</v>
      </c>
      <c r="F319" s="13" t="s">
        <v>356</v>
      </c>
      <c r="G319" s="39" t="s">
        <v>354</v>
      </c>
      <c r="H319" s="28" t="s">
        <v>1559</v>
      </c>
      <c r="I319" s="386" t="s">
        <v>438</v>
      </c>
      <c r="J319" s="40">
        <v>8</v>
      </c>
      <c r="K319" s="49" t="s">
        <v>375</v>
      </c>
      <c r="L319" s="314" t="s">
        <v>424</v>
      </c>
      <c r="M319" s="15" t="s">
        <v>403</v>
      </c>
      <c r="N319" s="43"/>
      <c r="O319" s="13" t="s">
        <v>206</v>
      </c>
      <c r="P319" s="13" t="s">
        <v>4</v>
      </c>
      <c r="Q319" s="22" t="s">
        <v>794</v>
      </c>
      <c r="R319" s="22"/>
      <c r="S319" s="13"/>
      <c r="T319" s="13"/>
      <c r="U319" s="13"/>
      <c r="V319" s="13"/>
      <c r="W319" s="13" t="s">
        <v>570</v>
      </c>
      <c r="X319" s="13" t="s">
        <v>570</v>
      </c>
      <c r="Y319" s="13"/>
      <c r="Z319" s="13"/>
      <c r="AA319" s="29"/>
      <c r="AB319" s="29">
        <v>20422.13</v>
      </c>
      <c r="AC319" s="29">
        <v>0</v>
      </c>
      <c r="AD319" s="29"/>
      <c r="AE319" s="29">
        <v>0</v>
      </c>
      <c r="AF319" s="29">
        <f t="shared" si="138"/>
        <v>0</v>
      </c>
      <c r="AG319" s="25">
        <v>0.12</v>
      </c>
      <c r="AH319" s="29">
        <f t="shared" si="143"/>
        <v>0</v>
      </c>
      <c r="AI319" s="29">
        <f t="shared" si="144"/>
        <v>0</v>
      </c>
      <c r="AJ319" s="29">
        <f t="shared" si="145"/>
        <v>0</v>
      </c>
      <c r="AK319" s="29">
        <v>0</v>
      </c>
      <c r="AL319" s="29">
        <f t="shared" ref="AL319:AL324" si="147">AB319-AK319</f>
        <v>20422.13</v>
      </c>
      <c r="AM319" s="126"/>
      <c r="AN319" s="29"/>
      <c r="AO319" s="29"/>
      <c r="AP319" s="29"/>
      <c r="AQ319" s="29"/>
      <c r="AR319" s="29"/>
      <c r="AS319" s="29"/>
      <c r="AT319" s="29"/>
      <c r="AU319" s="29"/>
      <c r="AV319" s="29"/>
      <c r="AW319" s="29"/>
      <c r="AX319" s="29"/>
      <c r="AY319" s="29"/>
      <c r="AZ319" s="29"/>
      <c r="BA319" s="29"/>
      <c r="BB319" s="29"/>
      <c r="BC319" s="29"/>
      <c r="BD319" s="29"/>
      <c r="BE319" s="29"/>
      <c r="BF319" s="29"/>
      <c r="BG319" s="29">
        <f t="shared" si="139"/>
        <v>0</v>
      </c>
      <c r="BH319" s="29"/>
      <c r="BI319" s="23" t="s">
        <v>570</v>
      </c>
      <c r="BJ319" s="23" t="s">
        <v>570</v>
      </c>
      <c r="BK319" s="23"/>
      <c r="BL319" s="23"/>
      <c r="BM319" s="23"/>
      <c r="BN319" s="13"/>
      <c r="BO319" s="13"/>
      <c r="BP319" s="13"/>
      <c r="BQ319" s="13"/>
      <c r="BR319" s="13"/>
      <c r="BS319" s="13"/>
      <c r="BT319" s="13"/>
      <c r="BU319" s="13"/>
      <c r="BV319" s="13"/>
      <c r="BW319" s="13" t="s">
        <v>570</v>
      </c>
      <c r="BX319" s="13"/>
      <c r="BY319" s="13"/>
      <c r="BZ319" s="13"/>
      <c r="CA319" s="13"/>
      <c r="CB319" s="224" t="s">
        <v>570</v>
      </c>
      <c r="CC319" s="224" t="s">
        <v>570</v>
      </c>
      <c r="CD319" s="224" t="s">
        <v>570</v>
      </c>
      <c r="CE319" s="13"/>
      <c r="CF319" s="13"/>
      <c r="CG319" s="13"/>
      <c r="CH319" s="13"/>
      <c r="CI319" s="13"/>
      <c r="CJ319" s="13"/>
      <c r="CK319" s="13"/>
      <c r="CL319" s="13"/>
      <c r="CM319" s="13"/>
      <c r="CN319" s="13"/>
      <c r="CO319" s="13"/>
      <c r="CP319" s="13"/>
      <c r="CQ319" s="13"/>
      <c r="CR319" s="13"/>
      <c r="CS319" s="29" t="s">
        <v>570</v>
      </c>
      <c r="CT319" s="29" t="s">
        <v>570</v>
      </c>
      <c r="CU319" s="29" t="s">
        <v>570</v>
      </c>
      <c r="CV319" s="2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92">
        <f t="shared" si="136"/>
        <v>0</v>
      </c>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c r="EY319" s="13"/>
      <c r="EZ319" s="13"/>
      <c r="FA319" s="13"/>
      <c r="FB319" s="13"/>
      <c r="FC319" s="13"/>
      <c r="FD319" s="13"/>
      <c r="FE319" s="13"/>
      <c r="FF319" s="13"/>
      <c r="FG319" s="13"/>
      <c r="FH319" s="13"/>
      <c r="FI319" s="13"/>
      <c r="FJ319" s="13"/>
      <c r="FK319" s="13"/>
      <c r="FL319" s="13"/>
      <c r="FM319" s="13"/>
      <c r="FN319" s="13"/>
      <c r="FO319" s="13"/>
      <c r="FP319" s="13"/>
      <c r="FQ319" s="13"/>
      <c r="FR319" s="13"/>
      <c r="FS319" s="13"/>
      <c r="FT319" s="13"/>
      <c r="FU319" s="13"/>
      <c r="FV319" s="25">
        <v>0</v>
      </c>
      <c r="FW319" s="25">
        <v>0</v>
      </c>
      <c r="FX319" s="25">
        <v>0</v>
      </c>
      <c r="FY319" s="25">
        <v>0</v>
      </c>
      <c r="FZ319" s="25">
        <v>0</v>
      </c>
      <c r="GA319" s="25">
        <v>0</v>
      </c>
      <c r="GB319" s="25">
        <v>0</v>
      </c>
      <c r="GC319" s="25">
        <v>0</v>
      </c>
      <c r="GD319" s="25">
        <v>0.95</v>
      </c>
      <c r="GE319" s="25">
        <v>0.95</v>
      </c>
      <c r="GF319" s="25">
        <v>0.95</v>
      </c>
      <c r="GG319" s="25">
        <v>0.95</v>
      </c>
      <c r="GH319" s="25">
        <v>1</v>
      </c>
      <c r="GI319" s="25">
        <v>1</v>
      </c>
      <c r="GJ319" s="25">
        <v>1</v>
      </c>
      <c r="GK319" s="25">
        <v>1</v>
      </c>
      <c r="GL319" s="25">
        <v>1</v>
      </c>
      <c r="GM319" s="25">
        <v>1</v>
      </c>
      <c r="GN319" s="25">
        <v>1</v>
      </c>
      <c r="GO319" s="25">
        <v>1</v>
      </c>
      <c r="GP319" s="25">
        <v>1</v>
      </c>
      <c r="GQ319" s="25">
        <v>1</v>
      </c>
      <c r="GR319" s="25">
        <v>1</v>
      </c>
      <c r="GS319" s="25">
        <v>1</v>
      </c>
      <c r="GT319" s="25">
        <v>1</v>
      </c>
      <c r="GU319" s="25">
        <v>1</v>
      </c>
      <c r="GV319" s="25" t="s">
        <v>1588</v>
      </c>
      <c r="GW319" s="25" t="s">
        <v>1588</v>
      </c>
      <c r="GX319" s="25" t="s">
        <v>1588</v>
      </c>
      <c r="GY319" s="25" t="s">
        <v>1588</v>
      </c>
      <c r="GZ319" s="25" t="s">
        <v>1588</v>
      </c>
      <c r="HA319" s="25" t="s">
        <v>1588</v>
      </c>
      <c r="HB319" s="25" t="s">
        <v>1588</v>
      </c>
      <c r="HC319" s="25" t="s">
        <v>1889</v>
      </c>
      <c r="HD319" s="25" t="s">
        <v>1889</v>
      </c>
      <c r="HE319" s="25" t="s">
        <v>1889</v>
      </c>
      <c r="HF319" s="25" t="s">
        <v>1889</v>
      </c>
      <c r="HG319" s="25" t="s">
        <v>1889</v>
      </c>
      <c r="HH319" s="25" t="s">
        <v>1889</v>
      </c>
      <c r="HI319" s="25" t="s">
        <v>1644</v>
      </c>
      <c r="HJ319" s="25"/>
      <c r="HK319" s="25"/>
      <c r="HL319" s="25"/>
      <c r="HM319" s="84"/>
      <c r="HN319" s="84"/>
      <c r="HO319" s="84"/>
      <c r="HP319" s="84"/>
      <c r="HQ319" s="84"/>
      <c r="HR319" s="84"/>
      <c r="HS319" s="84"/>
      <c r="HT319" s="84"/>
      <c r="HU319" s="13" t="s">
        <v>1585</v>
      </c>
      <c r="HV319" s="13"/>
      <c r="HW319" s="13" t="s">
        <v>1202</v>
      </c>
      <c r="HX319" s="23">
        <v>42636</v>
      </c>
      <c r="HY319" s="55"/>
      <c r="HZ319" s="55"/>
      <c r="IA319" s="55"/>
      <c r="IB319" s="55"/>
      <c r="IC319" s="55"/>
      <c r="ID319" s="55"/>
      <c r="IE319" s="55"/>
      <c r="IF319" s="107">
        <v>20422.13</v>
      </c>
      <c r="IG319" s="107">
        <v>0</v>
      </c>
      <c r="IH319" s="250">
        <f t="shared" si="146"/>
        <v>0</v>
      </c>
      <c r="II319" s="55"/>
      <c r="IJ319" s="55"/>
      <c r="IK319" s="55"/>
      <c r="IL319" s="55"/>
      <c r="IM319" s="55"/>
      <c r="IN319" s="55"/>
      <c r="IO319" s="55"/>
      <c r="IP319" s="55"/>
      <c r="IQ319" s="55"/>
      <c r="IR319" s="55"/>
      <c r="IS319" s="55"/>
      <c r="IT319" s="55"/>
      <c r="IU319" s="55"/>
      <c r="IV319" s="55"/>
      <c r="IW319" s="55"/>
      <c r="IX319" s="55"/>
      <c r="IY319" s="55"/>
      <c r="IZ319" s="55"/>
      <c r="JA319" s="55"/>
      <c r="JB319" s="55"/>
      <c r="JC319" s="55"/>
      <c r="JD319" s="55">
        <v>2018</v>
      </c>
    </row>
    <row r="320" spans="1:264" s="5" customFormat="1" ht="24.95" hidden="1" customHeight="1">
      <c r="A320" s="26" t="s">
        <v>9</v>
      </c>
      <c r="B320" s="26" t="s">
        <v>203</v>
      </c>
      <c r="C320" s="13" t="s">
        <v>352</v>
      </c>
      <c r="D320" s="13" t="s">
        <v>377</v>
      </c>
      <c r="E320" s="16" t="s">
        <v>378</v>
      </c>
      <c r="F320" s="13" t="s">
        <v>356</v>
      </c>
      <c r="G320" s="39" t="s">
        <v>354</v>
      </c>
      <c r="H320" s="28" t="s">
        <v>1559</v>
      </c>
      <c r="I320" s="387"/>
      <c r="J320" s="40">
        <v>8</v>
      </c>
      <c r="K320" s="49" t="s">
        <v>375</v>
      </c>
      <c r="L320" s="314" t="s">
        <v>427</v>
      </c>
      <c r="M320" s="15" t="s">
        <v>426</v>
      </c>
      <c r="N320" s="43"/>
      <c r="O320" s="13" t="s">
        <v>206</v>
      </c>
      <c r="P320" s="13" t="s">
        <v>4</v>
      </c>
      <c r="Q320" s="22" t="s">
        <v>794</v>
      </c>
      <c r="R320" s="22"/>
      <c r="S320" s="13"/>
      <c r="T320" s="13"/>
      <c r="U320" s="13"/>
      <c r="V320" s="13"/>
      <c r="W320" s="13" t="s">
        <v>570</v>
      </c>
      <c r="X320" s="13" t="s">
        <v>570</v>
      </c>
      <c r="Y320" s="13"/>
      <c r="Z320" s="13"/>
      <c r="AA320" s="29"/>
      <c r="AB320" s="29">
        <v>13614.75</v>
      </c>
      <c r="AC320" s="29">
        <v>0</v>
      </c>
      <c r="AD320" s="29"/>
      <c r="AE320" s="29">
        <v>0</v>
      </c>
      <c r="AF320" s="29">
        <f t="shared" si="138"/>
        <v>0</v>
      </c>
      <c r="AG320" s="25">
        <v>0.12</v>
      </c>
      <c r="AH320" s="29">
        <f t="shared" si="143"/>
        <v>0</v>
      </c>
      <c r="AI320" s="29">
        <f t="shared" si="144"/>
        <v>0</v>
      </c>
      <c r="AJ320" s="29">
        <f t="shared" si="145"/>
        <v>0</v>
      </c>
      <c r="AK320" s="29">
        <v>0</v>
      </c>
      <c r="AL320" s="29">
        <f t="shared" si="147"/>
        <v>13614.75</v>
      </c>
      <c r="AM320" s="126"/>
      <c r="AN320" s="29"/>
      <c r="AO320" s="29"/>
      <c r="AP320" s="29"/>
      <c r="AQ320" s="29"/>
      <c r="AR320" s="29"/>
      <c r="AS320" s="29"/>
      <c r="AT320" s="29"/>
      <c r="AU320" s="29"/>
      <c r="AV320" s="29"/>
      <c r="AW320" s="29"/>
      <c r="AX320" s="29"/>
      <c r="AY320" s="29"/>
      <c r="AZ320" s="29"/>
      <c r="BA320" s="29"/>
      <c r="BB320" s="29"/>
      <c r="BC320" s="29"/>
      <c r="BD320" s="29"/>
      <c r="BE320" s="29"/>
      <c r="BF320" s="29"/>
      <c r="BG320" s="29">
        <f t="shared" si="139"/>
        <v>0</v>
      </c>
      <c r="BH320" s="29"/>
      <c r="BI320" s="23" t="s">
        <v>570</v>
      </c>
      <c r="BJ320" s="23" t="s">
        <v>570</v>
      </c>
      <c r="BK320" s="23"/>
      <c r="BL320" s="23"/>
      <c r="BM320" s="23"/>
      <c r="BN320" s="13"/>
      <c r="BO320" s="13"/>
      <c r="BP320" s="13"/>
      <c r="BQ320" s="13"/>
      <c r="BR320" s="13"/>
      <c r="BS320" s="13"/>
      <c r="BT320" s="13"/>
      <c r="BU320" s="13"/>
      <c r="BV320" s="13"/>
      <c r="BW320" s="13" t="s">
        <v>570</v>
      </c>
      <c r="BX320" s="13"/>
      <c r="BY320" s="13"/>
      <c r="BZ320" s="13"/>
      <c r="CA320" s="13"/>
      <c r="CB320" s="224" t="s">
        <v>570</v>
      </c>
      <c r="CC320" s="224" t="s">
        <v>570</v>
      </c>
      <c r="CD320" s="224" t="s">
        <v>570</v>
      </c>
      <c r="CE320" s="13"/>
      <c r="CF320" s="13"/>
      <c r="CG320" s="13"/>
      <c r="CH320" s="13"/>
      <c r="CI320" s="13"/>
      <c r="CJ320" s="13"/>
      <c r="CK320" s="13"/>
      <c r="CL320" s="13"/>
      <c r="CM320" s="13"/>
      <c r="CN320" s="13"/>
      <c r="CO320" s="13"/>
      <c r="CP320" s="13"/>
      <c r="CQ320" s="13"/>
      <c r="CR320" s="13"/>
      <c r="CS320" s="29" t="s">
        <v>570</v>
      </c>
      <c r="CT320" s="29" t="s">
        <v>570</v>
      </c>
      <c r="CU320" s="29" t="s">
        <v>570</v>
      </c>
      <c r="CV320" s="2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92">
        <f t="shared" si="136"/>
        <v>0</v>
      </c>
      <c r="DZ320" s="13"/>
      <c r="EA320" s="13"/>
      <c r="EB320" s="13"/>
      <c r="EC320" s="13"/>
      <c r="ED320" s="13"/>
      <c r="EE320" s="13"/>
      <c r="EF320" s="13"/>
      <c r="EG320" s="13"/>
      <c r="EH320" s="13"/>
      <c r="EI320" s="13"/>
      <c r="EJ320" s="13"/>
      <c r="EK320" s="13"/>
      <c r="EL320" s="13"/>
      <c r="EM320" s="13"/>
      <c r="EN320" s="13"/>
      <c r="EO320" s="13"/>
      <c r="EP320" s="13"/>
      <c r="EQ320" s="13"/>
      <c r="ER320" s="13"/>
      <c r="ES320" s="13"/>
      <c r="ET320" s="13"/>
      <c r="EU320" s="13"/>
      <c r="EV320" s="13"/>
      <c r="EW320" s="13"/>
      <c r="EX320" s="13"/>
      <c r="EY320" s="13"/>
      <c r="EZ320" s="13"/>
      <c r="FA320" s="13"/>
      <c r="FB320" s="13"/>
      <c r="FC320" s="13"/>
      <c r="FD320" s="13"/>
      <c r="FE320" s="13"/>
      <c r="FF320" s="13"/>
      <c r="FG320" s="13"/>
      <c r="FH320" s="13"/>
      <c r="FI320" s="13"/>
      <c r="FJ320" s="13"/>
      <c r="FK320" s="13"/>
      <c r="FL320" s="13"/>
      <c r="FM320" s="13"/>
      <c r="FN320" s="13"/>
      <c r="FO320" s="13"/>
      <c r="FP320" s="13"/>
      <c r="FQ320" s="13"/>
      <c r="FR320" s="13"/>
      <c r="FS320" s="13"/>
      <c r="FT320" s="13"/>
      <c r="FU320" s="13"/>
      <c r="FV320" s="25">
        <v>0</v>
      </c>
      <c r="FW320" s="25">
        <v>0</v>
      </c>
      <c r="FX320" s="25">
        <v>0</v>
      </c>
      <c r="FY320" s="25">
        <v>0</v>
      </c>
      <c r="FZ320" s="25">
        <v>0</v>
      </c>
      <c r="GA320" s="25">
        <v>0</v>
      </c>
      <c r="GB320" s="25">
        <v>0</v>
      </c>
      <c r="GC320" s="25">
        <v>0</v>
      </c>
      <c r="GD320" s="25">
        <v>0.95</v>
      </c>
      <c r="GE320" s="25">
        <v>0.95</v>
      </c>
      <c r="GF320" s="25">
        <v>0.95</v>
      </c>
      <c r="GG320" s="25">
        <v>0.95</v>
      </c>
      <c r="GH320" s="25">
        <v>1</v>
      </c>
      <c r="GI320" s="25">
        <v>1</v>
      </c>
      <c r="GJ320" s="25">
        <v>1</v>
      </c>
      <c r="GK320" s="25">
        <v>1</v>
      </c>
      <c r="GL320" s="25">
        <v>1</v>
      </c>
      <c r="GM320" s="25">
        <v>1</v>
      </c>
      <c r="GN320" s="25">
        <v>1</v>
      </c>
      <c r="GO320" s="25">
        <v>1</v>
      </c>
      <c r="GP320" s="25">
        <v>1</v>
      </c>
      <c r="GQ320" s="25">
        <v>1</v>
      </c>
      <c r="GR320" s="25">
        <v>1</v>
      </c>
      <c r="GS320" s="25">
        <v>1</v>
      </c>
      <c r="GT320" s="25">
        <v>1</v>
      </c>
      <c r="GU320" s="25">
        <v>1</v>
      </c>
      <c r="GV320" s="25" t="s">
        <v>1588</v>
      </c>
      <c r="GW320" s="25" t="s">
        <v>1588</v>
      </c>
      <c r="GX320" s="25" t="s">
        <v>1588</v>
      </c>
      <c r="GY320" s="25" t="s">
        <v>1588</v>
      </c>
      <c r="GZ320" s="25" t="s">
        <v>1588</v>
      </c>
      <c r="HA320" s="25" t="s">
        <v>1588</v>
      </c>
      <c r="HB320" s="25" t="s">
        <v>1588</v>
      </c>
      <c r="HC320" s="25" t="s">
        <v>1889</v>
      </c>
      <c r="HD320" s="25" t="s">
        <v>1889</v>
      </c>
      <c r="HE320" s="25" t="s">
        <v>1889</v>
      </c>
      <c r="HF320" s="25" t="s">
        <v>1889</v>
      </c>
      <c r="HG320" s="25" t="s">
        <v>1889</v>
      </c>
      <c r="HH320" s="25" t="s">
        <v>1889</v>
      </c>
      <c r="HI320" s="25" t="s">
        <v>1644</v>
      </c>
      <c r="HJ320" s="25"/>
      <c r="HK320" s="25"/>
      <c r="HL320" s="25"/>
      <c r="HM320" s="84"/>
      <c r="HN320" s="84"/>
      <c r="HO320" s="84"/>
      <c r="HP320" s="84"/>
      <c r="HQ320" s="84"/>
      <c r="HR320" s="84"/>
      <c r="HS320" s="84"/>
      <c r="HT320" s="84"/>
      <c r="HU320" s="13" t="s">
        <v>1586</v>
      </c>
      <c r="HV320" s="13"/>
      <c r="HW320" s="13" t="s">
        <v>1202</v>
      </c>
      <c r="HX320" s="23">
        <v>42636</v>
      </c>
      <c r="HY320" s="55"/>
      <c r="HZ320" s="55"/>
      <c r="IA320" s="55"/>
      <c r="IB320" s="55"/>
      <c r="IC320" s="55"/>
      <c r="ID320" s="55"/>
      <c r="IE320" s="55"/>
      <c r="IF320" s="107">
        <v>13614.75</v>
      </c>
      <c r="IG320" s="107">
        <v>0</v>
      </c>
      <c r="IH320" s="250">
        <f t="shared" si="146"/>
        <v>0</v>
      </c>
      <c r="II320" s="55"/>
      <c r="IJ320" s="55"/>
      <c r="IK320" s="55"/>
      <c r="IL320" s="55"/>
      <c r="IM320" s="55"/>
      <c r="IN320" s="55"/>
      <c r="IO320" s="55"/>
      <c r="IP320" s="55"/>
      <c r="IQ320" s="55"/>
      <c r="IR320" s="55"/>
      <c r="IS320" s="55"/>
      <c r="IT320" s="55"/>
      <c r="IU320" s="55"/>
      <c r="IV320" s="55"/>
      <c r="IW320" s="55"/>
      <c r="IX320" s="55"/>
      <c r="IY320" s="55"/>
      <c r="IZ320" s="55"/>
      <c r="JA320" s="55"/>
      <c r="JB320" s="55"/>
      <c r="JC320" s="55"/>
      <c r="JD320" s="55">
        <v>2018</v>
      </c>
    </row>
    <row r="321" spans="1:265" s="5" customFormat="1" ht="20.100000000000001" hidden="1" customHeight="1">
      <c r="A321" s="26" t="s">
        <v>9</v>
      </c>
      <c r="B321" s="26" t="s">
        <v>203</v>
      </c>
      <c r="C321" s="13" t="s">
        <v>349</v>
      </c>
      <c r="D321" s="13" t="s">
        <v>380</v>
      </c>
      <c r="E321" s="16" t="s">
        <v>350</v>
      </c>
      <c r="F321" s="13" t="s">
        <v>356</v>
      </c>
      <c r="G321" s="39" t="s">
        <v>351</v>
      </c>
      <c r="H321" s="28" t="s">
        <v>1548</v>
      </c>
      <c r="I321" s="47" t="s">
        <v>129</v>
      </c>
      <c r="J321" s="40">
        <v>3</v>
      </c>
      <c r="K321" s="49" t="s">
        <v>375</v>
      </c>
      <c r="L321" s="314" t="s">
        <v>428</v>
      </c>
      <c r="M321" s="14" t="s">
        <v>432</v>
      </c>
      <c r="N321" s="15"/>
      <c r="O321" s="13" t="s">
        <v>206</v>
      </c>
      <c r="P321" s="13" t="s">
        <v>4</v>
      </c>
      <c r="Q321" s="22" t="s">
        <v>794</v>
      </c>
      <c r="R321" s="22"/>
      <c r="S321" s="13"/>
      <c r="T321" s="13"/>
      <c r="U321" s="13"/>
      <c r="V321" s="13"/>
      <c r="W321" s="13" t="s">
        <v>570</v>
      </c>
      <c r="X321" s="13" t="s">
        <v>570</v>
      </c>
      <c r="Y321" s="13"/>
      <c r="Z321" s="13"/>
      <c r="AA321" s="29"/>
      <c r="AB321" s="45">
        <v>12515.91</v>
      </c>
      <c r="AC321" s="29">
        <v>0</v>
      </c>
      <c r="AD321" s="41">
        <v>12515.91</v>
      </c>
      <c r="AE321" s="29">
        <v>0</v>
      </c>
      <c r="AF321" s="29">
        <f t="shared" si="138"/>
        <v>12515.91</v>
      </c>
      <c r="AG321" s="25">
        <v>0.12</v>
      </c>
      <c r="AH321" s="29">
        <f t="shared" si="143"/>
        <v>1501.9091999999998</v>
      </c>
      <c r="AI321" s="29">
        <f t="shared" si="144"/>
        <v>0</v>
      </c>
      <c r="AJ321" s="29">
        <f t="shared" si="145"/>
        <v>14017.819200000002</v>
      </c>
      <c r="AK321" s="29">
        <v>0</v>
      </c>
      <c r="AL321" s="29">
        <f t="shared" si="147"/>
        <v>12515.91</v>
      </c>
      <c r="AM321" s="126"/>
      <c r="AN321" s="29"/>
      <c r="AO321" s="29"/>
      <c r="AP321" s="29"/>
      <c r="AQ321" s="29"/>
      <c r="AR321" s="29"/>
      <c r="AS321" s="29"/>
      <c r="AT321" s="29"/>
      <c r="AU321" s="29"/>
      <c r="AV321" s="29"/>
      <c r="AW321" s="29"/>
      <c r="AX321" s="29"/>
      <c r="AY321" s="29"/>
      <c r="AZ321" s="29"/>
      <c r="BA321" s="29"/>
      <c r="BB321" s="29"/>
      <c r="BC321" s="29"/>
      <c r="BD321" s="29"/>
      <c r="BE321" s="29"/>
      <c r="BF321" s="29"/>
      <c r="BG321" s="29">
        <f t="shared" si="139"/>
        <v>0</v>
      </c>
      <c r="BH321" s="29"/>
      <c r="BI321" s="23" t="s">
        <v>570</v>
      </c>
      <c r="BJ321" s="23" t="s">
        <v>570</v>
      </c>
      <c r="BK321" s="23"/>
      <c r="BL321" s="23"/>
      <c r="BM321" s="23"/>
      <c r="BN321" s="13"/>
      <c r="BO321" s="13"/>
      <c r="BP321" s="13"/>
      <c r="BQ321" s="13"/>
      <c r="BR321" s="13"/>
      <c r="BS321" s="13"/>
      <c r="BT321" s="13"/>
      <c r="BU321" s="13"/>
      <c r="BV321" s="13"/>
      <c r="BW321" s="13" t="s">
        <v>570</v>
      </c>
      <c r="BX321" s="13"/>
      <c r="BY321" s="13"/>
      <c r="BZ321" s="13"/>
      <c r="CA321" s="13"/>
      <c r="CB321" s="224" t="s">
        <v>570</v>
      </c>
      <c r="CC321" s="224" t="s">
        <v>570</v>
      </c>
      <c r="CD321" s="224" t="s">
        <v>570</v>
      </c>
      <c r="CE321" s="13"/>
      <c r="CF321" s="13"/>
      <c r="CG321" s="13"/>
      <c r="CH321" s="13"/>
      <c r="CI321" s="13"/>
      <c r="CJ321" s="13"/>
      <c r="CK321" s="13"/>
      <c r="CL321" s="13"/>
      <c r="CM321" s="13"/>
      <c r="CN321" s="13"/>
      <c r="CO321" s="13"/>
      <c r="CP321" s="13"/>
      <c r="CQ321" s="13"/>
      <c r="CR321" s="13"/>
      <c r="CS321" s="29" t="s">
        <v>570</v>
      </c>
      <c r="CT321" s="29" t="s">
        <v>570</v>
      </c>
      <c r="CU321" s="29" t="s">
        <v>570</v>
      </c>
      <c r="CV321" s="2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92">
        <f t="shared" si="136"/>
        <v>0</v>
      </c>
      <c r="DZ321" s="13"/>
      <c r="EA321" s="13"/>
      <c r="EB321" s="13"/>
      <c r="EC321" s="13"/>
      <c r="ED321" s="13"/>
      <c r="EE321" s="13"/>
      <c r="EF321" s="13"/>
      <c r="EG321" s="13"/>
      <c r="EH321" s="13"/>
      <c r="EI321" s="13"/>
      <c r="EJ321" s="13"/>
      <c r="EK321" s="13"/>
      <c r="EL321" s="13"/>
      <c r="EM321" s="13"/>
      <c r="EN321" s="13"/>
      <c r="EO321" s="13"/>
      <c r="EP321" s="13"/>
      <c r="EQ321" s="13"/>
      <c r="ER321" s="13"/>
      <c r="ES321" s="13"/>
      <c r="ET321" s="13"/>
      <c r="EU321" s="13"/>
      <c r="EV321" s="13"/>
      <c r="EW321" s="13"/>
      <c r="EX321" s="13"/>
      <c r="EY321" s="13"/>
      <c r="EZ321" s="13"/>
      <c r="FA321" s="13"/>
      <c r="FB321" s="13"/>
      <c r="FC321" s="13"/>
      <c r="FD321" s="13"/>
      <c r="FE321" s="13"/>
      <c r="FF321" s="13"/>
      <c r="FG321" s="13"/>
      <c r="FH321" s="13"/>
      <c r="FI321" s="13"/>
      <c r="FJ321" s="13"/>
      <c r="FK321" s="13"/>
      <c r="FL321" s="13"/>
      <c r="FM321" s="13"/>
      <c r="FN321" s="13"/>
      <c r="FO321" s="13"/>
      <c r="FP321" s="13"/>
      <c r="FQ321" s="13"/>
      <c r="FR321" s="13"/>
      <c r="FS321" s="13"/>
      <c r="FT321" s="13"/>
      <c r="FU321" s="13"/>
      <c r="FV321" s="13"/>
      <c r="FW321" s="13"/>
      <c r="FX321" s="13"/>
      <c r="FY321" s="13"/>
      <c r="FZ321" s="13"/>
      <c r="GA321" s="13"/>
      <c r="GB321" s="13"/>
      <c r="GC321" s="13"/>
      <c r="GD321" s="25">
        <v>1</v>
      </c>
      <c r="GE321" s="25">
        <v>1</v>
      </c>
      <c r="GF321" s="25">
        <v>1</v>
      </c>
      <c r="GG321" s="25">
        <v>1</v>
      </c>
      <c r="GH321" s="25">
        <v>1</v>
      </c>
      <c r="GI321" s="25">
        <v>1</v>
      </c>
      <c r="GJ321" s="25">
        <v>1</v>
      </c>
      <c r="GK321" s="25">
        <v>1</v>
      </c>
      <c r="GL321" s="25">
        <v>1</v>
      </c>
      <c r="GM321" s="25">
        <v>1</v>
      </c>
      <c r="GN321" s="25">
        <v>1</v>
      </c>
      <c r="GO321" s="25">
        <v>1</v>
      </c>
      <c r="GP321" s="25">
        <v>1</v>
      </c>
      <c r="GQ321" s="25">
        <v>1</v>
      </c>
      <c r="GR321" s="25">
        <v>1</v>
      </c>
      <c r="GS321" s="25">
        <v>1</v>
      </c>
      <c r="GT321" s="25">
        <v>1</v>
      </c>
      <c r="GU321" s="25">
        <v>1</v>
      </c>
      <c r="GV321" s="25" t="s">
        <v>1588</v>
      </c>
      <c r="GW321" s="25" t="s">
        <v>1588</v>
      </c>
      <c r="GX321" s="25" t="s">
        <v>1588</v>
      </c>
      <c r="GY321" s="25" t="s">
        <v>1588</v>
      </c>
      <c r="GZ321" s="25" t="s">
        <v>1588</v>
      </c>
      <c r="HA321" s="25" t="s">
        <v>1588</v>
      </c>
      <c r="HB321" s="25" t="s">
        <v>1588</v>
      </c>
      <c r="HC321" s="25" t="s">
        <v>1889</v>
      </c>
      <c r="HD321" s="25" t="s">
        <v>1889</v>
      </c>
      <c r="HE321" s="25" t="s">
        <v>1889</v>
      </c>
      <c r="HF321" s="25" t="s">
        <v>1889</v>
      </c>
      <c r="HG321" s="25" t="s">
        <v>1889</v>
      </c>
      <c r="HH321" s="25" t="s">
        <v>1889</v>
      </c>
      <c r="HI321" s="13"/>
      <c r="HJ321" s="25"/>
      <c r="HK321" s="25"/>
      <c r="HL321" s="25"/>
      <c r="HM321" s="84"/>
      <c r="HN321" s="84"/>
      <c r="HO321" s="84"/>
      <c r="HP321" s="84"/>
      <c r="HQ321" s="84"/>
      <c r="HR321" s="84"/>
      <c r="HS321" s="84"/>
      <c r="HT321" s="84"/>
      <c r="HU321" s="16" t="s">
        <v>1204</v>
      </c>
      <c r="HV321" s="16"/>
      <c r="HW321" s="13" t="s">
        <v>1202</v>
      </c>
      <c r="HX321" s="23">
        <v>42807</v>
      </c>
      <c r="HY321" s="55"/>
      <c r="HZ321" s="55"/>
      <c r="IA321" s="55"/>
      <c r="IB321" s="55"/>
      <c r="IC321" s="55"/>
      <c r="ID321" s="55"/>
      <c r="IE321" s="55"/>
      <c r="IF321" s="107">
        <v>12515.91</v>
      </c>
      <c r="IG321" s="107">
        <v>0</v>
      </c>
      <c r="IH321" s="250">
        <f t="shared" si="146"/>
        <v>0</v>
      </c>
      <c r="II321" s="55"/>
      <c r="IJ321" s="55"/>
      <c r="IK321" s="55"/>
      <c r="IL321" s="55"/>
      <c r="IM321" s="55"/>
      <c r="IN321" s="55"/>
      <c r="IO321" s="55"/>
      <c r="IP321" s="55"/>
      <c r="IQ321" s="55"/>
      <c r="IR321" s="55"/>
      <c r="IS321" s="55"/>
      <c r="IT321" s="55"/>
      <c r="IU321" s="55"/>
      <c r="IV321" s="55"/>
      <c r="IW321" s="55"/>
      <c r="IX321" s="55"/>
      <c r="IY321" s="55"/>
      <c r="IZ321" s="55"/>
      <c r="JA321" s="55"/>
      <c r="JB321" s="55"/>
      <c r="JC321" s="55"/>
      <c r="JD321" s="55">
        <v>2017</v>
      </c>
    </row>
    <row r="322" spans="1:265" s="5" customFormat="1" ht="20.100000000000001" hidden="1" customHeight="1">
      <c r="A322" s="26" t="s">
        <v>9</v>
      </c>
      <c r="B322" s="26" t="s">
        <v>203</v>
      </c>
      <c r="C322" s="13" t="s">
        <v>349</v>
      </c>
      <c r="D322" s="13" t="s">
        <v>380</v>
      </c>
      <c r="E322" s="16" t="s">
        <v>350</v>
      </c>
      <c r="F322" s="13" t="s">
        <v>383</v>
      </c>
      <c r="G322" s="39" t="s">
        <v>351</v>
      </c>
      <c r="H322" s="28" t="s">
        <v>1548</v>
      </c>
      <c r="I322" s="47" t="s">
        <v>129</v>
      </c>
      <c r="J322" s="40">
        <v>3</v>
      </c>
      <c r="K322" s="49" t="s">
        <v>375</v>
      </c>
      <c r="L322" s="314" t="s">
        <v>429</v>
      </c>
      <c r="M322" s="14" t="s">
        <v>433</v>
      </c>
      <c r="N322" s="15"/>
      <c r="O322" s="13" t="s">
        <v>206</v>
      </c>
      <c r="P322" s="13" t="s">
        <v>4</v>
      </c>
      <c r="Q322" s="22" t="s">
        <v>794</v>
      </c>
      <c r="R322" s="22"/>
      <c r="S322" s="13"/>
      <c r="T322" s="13"/>
      <c r="U322" s="13"/>
      <c r="V322" s="13"/>
      <c r="W322" s="13" t="s">
        <v>570</v>
      </c>
      <c r="X322" s="13" t="s">
        <v>570</v>
      </c>
      <c r="Y322" s="13"/>
      <c r="Z322" s="13"/>
      <c r="AA322" s="29"/>
      <c r="AB322" s="45">
        <v>10148.040000000001</v>
      </c>
      <c r="AC322" s="29">
        <v>0</v>
      </c>
      <c r="AD322" s="41">
        <v>10148.040000000001</v>
      </c>
      <c r="AE322" s="29">
        <v>0</v>
      </c>
      <c r="AF322" s="29">
        <f t="shared" si="138"/>
        <v>10148.040000000001</v>
      </c>
      <c r="AG322" s="25">
        <v>0.12</v>
      </c>
      <c r="AH322" s="29">
        <f t="shared" si="143"/>
        <v>1217.7648000000002</v>
      </c>
      <c r="AI322" s="29">
        <f t="shared" si="144"/>
        <v>0</v>
      </c>
      <c r="AJ322" s="29">
        <f t="shared" si="145"/>
        <v>11365.804800000002</v>
      </c>
      <c r="AK322" s="29">
        <v>0</v>
      </c>
      <c r="AL322" s="29">
        <f t="shared" si="147"/>
        <v>10148.040000000001</v>
      </c>
      <c r="AM322" s="126"/>
      <c r="AN322" s="29"/>
      <c r="AO322" s="29"/>
      <c r="AP322" s="29"/>
      <c r="AQ322" s="29"/>
      <c r="AR322" s="29"/>
      <c r="AS322" s="29"/>
      <c r="AT322" s="29"/>
      <c r="AU322" s="29"/>
      <c r="AV322" s="29"/>
      <c r="AW322" s="29"/>
      <c r="AX322" s="29"/>
      <c r="AY322" s="29"/>
      <c r="AZ322" s="29"/>
      <c r="BA322" s="29"/>
      <c r="BB322" s="29"/>
      <c r="BC322" s="29"/>
      <c r="BD322" s="29"/>
      <c r="BE322" s="29"/>
      <c r="BF322" s="29"/>
      <c r="BG322" s="29">
        <f t="shared" si="139"/>
        <v>0</v>
      </c>
      <c r="BH322" s="29"/>
      <c r="BI322" s="23" t="s">
        <v>570</v>
      </c>
      <c r="BJ322" s="23" t="s">
        <v>570</v>
      </c>
      <c r="BK322" s="23"/>
      <c r="BL322" s="23"/>
      <c r="BM322" s="23"/>
      <c r="BN322" s="13"/>
      <c r="BO322" s="13"/>
      <c r="BP322" s="13"/>
      <c r="BQ322" s="13"/>
      <c r="BR322" s="13"/>
      <c r="BS322" s="13"/>
      <c r="BT322" s="13"/>
      <c r="BU322" s="13"/>
      <c r="BV322" s="13"/>
      <c r="BW322" s="13" t="s">
        <v>570</v>
      </c>
      <c r="BX322" s="13"/>
      <c r="BY322" s="13"/>
      <c r="BZ322" s="13"/>
      <c r="CA322" s="13"/>
      <c r="CB322" s="224" t="s">
        <v>570</v>
      </c>
      <c r="CC322" s="224" t="s">
        <v>570</v>
      </c>
      <c r="CD322" s="224" t="s">
        <v>570</v>
      </c>
      <c r="CE322" s="13"/>
      <c r="CF322" s="13"/>
      <c r="CG322" s="13"/>
      <c r="CH322" s="13"/>
      <c r="CI322" s="13"/>
      <c r="CJ322" s="13"/>
      <c r="CK322" s="13"/>
      <c r="CL322" s="13"/>
      <c r="CM322" s="13"/>
      <c r="CN322" s="13"/>
      <c r="CO322" s="13"/>
      <c r="CP322" s="13"/>
      <c r="CQ322" s="13"/>
      <c r="CR322" s="13"/>
      <c r="CS322" s="29" t="s">
        <v>570</v>
      </c>
      <c r="CT322" s="29" t="s">
        <v>570</v>
      </c>
      <c r="CU322" s="29" t="s">
        <v>570</v>
      </c>
      <c r="CV322" s="2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92">
        <f t="shared" si="136"/>
        <v>0</v>
      </c>
      <c r="DZ322" s="13"/>
      <c r="EA322" s="13"/>
      <c r="EB322" s="13"/>
      <c r="EC322" s="13"/>
      <c r="ED322" s="13"/>
      <c r="EE322" s="13"/>
      <c r="EF322" s="13"/>
      <c r="EG322" s="13"/>
      <c r="EH322" s="13"/>
      <c r="EI322" s="13"/>
      <c r="EJ322" s="13"/>
      <c r="EK322" s="13"/>
      <c r="EL322" s="13"/>
      <c r="EM322" s="13"/>
      <c r="EN322" s="13"/>
      <c r="EO322" s="13"/>
      <c r="EP322" s="13"/>
      <c r="EQ322" s="13"/>
      <c r="ER322" s="13"/>
      <c r="ES322" s="13"/>
      <c r="ET322" s="13"/>
      <c r="EU322" s="13"/>
      <c r="EV322" s="13"/>
      <c r="EW322" s="13"/>
      <c r="EX322" s="13"/>
      <c r="EY322" s="13"/>
      <c r="EZ322" s="13"/>
      <c r="FA322" s="13"/>
      <c r="FB322" s="13"/>
      <c r="FC322" s="13"/>
      <c r="FD322" s="13"/>
      <c r="FE322" s="13"/>
      <c r="FF322" s="13"/>
      <c r="FG322" s="13"/>
      <c r="FH322" s="13"/>
      <c r="FI322" s="13"/>
      <c r="FJ322" s="13"/>
      <c r="FK322" s="13"/>
      <c r="FL322" s="13"/>
      <c r="FM322" s="13"/>
      <c r="FN322" s="13"/>
      <c r="FO322" s="13"/>
      <c r="FP322" s="13"/>
      <c r="FQ322" s="13"/>
      <c r="FR322" s="13"/>
      <c r="FS322" s="13"/>
      <c r="FT322" s="13"/>
      <c r="FU322" s="13"/>
      <c r="FV322" s="13"/>
      <c r="FW322" s="13"/>
      <c r="FX322" s="13"/>
      <c r="FY322" s="13"/>
      <c r="FZ322" s="13"/>
      <c r="GA322" s="13"/>
      <c r="GB322" s="13"/>
      <c r="GC322" s="13"/>
      <c r="GD322" s="25">
        <v>1</v>
      </c>
      <c r="GE322" s="25">
        <v>1</v>
      </c>
      <c r="GF322" s="25">
        <v>1</v>
      </c>
      <c r="GG322" s="25">
        <v>1</v>
      </c>
      <c r="GH322" s="25">
        <v>1</v>
      </c>
      <c r="GI322" s="25">
        <v>1</v>
      </c>
      <c r="GJ322" s="25">
        <v>1</v>
      </c>
      <c r="GK322" s="25">
        <v>1</v>
      </c>
      <c r="GL322" s="25">
        <v>1</v>
      </c>
      <c r="GM322" s="25">
        <v>1</v>
      </c>
      <c r="GN322" s="25">
        <v>1</v>
      </c>
      <c r="GO322" s="25">
        <v>1</v>
      </c>
      <c r="GP322" s="25">
        <v>1</v>
      </c>
      <c r="GQ322" s="25">
        <v>1</v>
      </c>
      <c r="GR322" s="25">
        <v>1</v>
      </c>
      <c r="GS322" s="25">
        <v>1</v>
      </c>
      <c r="GT322" s="25">
        <v>1</v>
      </c>
      <c r="GU322" s="25">
        <v>1</v>
      </c>
      <c r="GV322" s="25" t="s">
        <v>1588</v>
      </c>
      <c r="GW322" s="25" t="s">
        <v>1588</v>
      </c>
      <c r="GX322" s="25" t="s">
        <v>1588</v>
      </c>
      <c r="GY322" s="25" t="s">
        <v>1588</v>
      </c>
      <c r="GZ322" s="25" t="s">
        <v>1588</v>
      </c>
      <c r="HA322" s="25" t="s">
        <v>1588</v>
      </c>
      <c r="HB322" s="25" t="s">
        <v>1588</v>
      </c>
      <c r="HC322" s="25" t="s">
        <v>1889</v>
      </c>
      <c r="HD322" s="25" t="s">
        <v>1889</v>
      </c>
      <c r="HE322" s="25" t="s">
        <v>1889</v>
      </c>
      <c r="HF322" s="25" t="s">
        <v>1889</v>
      </c>
      <c r="HG322" s="25" t="s">
        <v>1889</v>
      </c>
      <c r="HH322" s="25" t="s">
        <v>1889</v>
      </c>
      <c r="HI322" s="13"/>
      <c r="HJ322" s="25"/>
      <c r="HK322" s="25"/>
      <c r="HL322" s="25"/>
      <c r="HM322" s="84"/>
      <c r="HN322" s="84"/>
      <c r="HO322" s="84"/>
      <c r="HP322" s="84"/>
      <c r="HQ322" s="84"/>
      <c r="HR322" s="84"/>
      <c r="HS322" s="84"/>
      <c r="HT322" s="84"/>
      <c r="HU322" s="16" t="s">
        <v>1204</v>
      </c>
      <c r="HV322" s="16"/>
      <c r="HW322" s="13" t="s">
        <v>1202</v>
      </c>
      <c r="HX322" s="23">
        <v>42807</v>
      </c>
      <c r="HY322" s="55"/>
      <c r="HZ322" s="55"/>
      <c r="IA322" s="55"/>
      <c r="IB322" s="55"/>
      <c r="IC322" s="55"/>
      <c r="ID322" s="55"/>
      <c r="IE322" s="55"/>
      <c r="IF322" s="107">
        <v>10148.040000000001</v>
      </c>
      <c r="IG322" s="107">
        <v>0</v>
      </c>
      <c r="IH322" s="250">
        <f t="shared" si="146"/>
        <v>0</v>
      </c>
      <c r="II322" s="55"/>
      <c r="IJ322" s="55"/>
      <c r="IK322" s="55"/>
      <c r="IL322" s="55"/>
      <c r="IM322" s="55"/>
      <c r="IN322" s="55"/>
      <c r="IO322" s="55"/>
      <c r="IP322" s="55"/>
      <c r="IQ322" s="55"/>
      <c r="IR322" s="55"/>
      <c r="IS322" s="55"/>
      <c r="IT322" s="55"/>
      <c r="IU322" s="55"/>
      <c r="IV322" s="55"/>
      <c r="IW322" s="55"/>
      <c r="IX322" s="55"/>
      <c r="IY322" s="55"/>
      <c r="IZ322" s="55"/>
      <c r="JA322" s="55"/>
      <c r="JB322" s="55"/>
      <c r="JC322" s="55"/>
      <c r="JD322" s="55">
        <v>2017</v>
      </c>
    </row>
    <row r="323" spans="1:265" s="5" customFormat="1" ht="20.100000000000001" hidden="1" customHeight="1">
      <c r="A323" s="26" t="s">
        <v>9</v>
      </c>
      <c r="B323" s="26" t="s">
        <v>203</v>
      </c>
      <c r="C323" s="13" t="s">
        <v>349</v>
      </c>
      <c r="D323" s="13" t="s">
        <v>380</v>
      </c>
      <c r="E323" s="16" t="s">
        <v>360</v>
      </c>
      <c r="F323" s="13" t="s">
        <v>356</v>
      </c>
      <c r="G323" s="39" t="s">
        <v>354</v>
      </c>
      <c r="H323" s="28" t="s">
        <v>1548</v>
      </c>
      <c r="I323" s="69" t="s">
        <v>135</v>
      </c>
      <c r="J323" s="40">
        <v>6</v>
      </c>
      <c r="K323" s="49" t="s">
        <v>375</v>
      </c>
      <c r="L323" s="314" t="s">
        <v>430</v>
      </c>
      <c r="M323" s="14" t="s">
        <v>434</v>
      </c>
      <c r="N323" s="15"/>
      <c r="O323" s="13" t="s">
        <v>206</v>
      </c>
      <c r="P323" s="13" t="s">
        <v>4</v>
      </c>
      <c r="Q323" s="22" t="s">
        <v>794</v>
      </c>
      <c r="R323" s="22"/>
      <c r="S323" s="13"/>
      <c r="T323" s="13"/>
      <c r="U323" s="13"/>
      <c r="V323" s="13"/>
      <c r="W323" s="13" t="s">
        <v>570</v>
      </c>
      <c r="X323" s="13" t="s">
        <v>570</v>
      </c>
      <c r="Y323" s="13"/>
      <c r="Z323" s="13"/>
      <c r="AA323" s="29"/>
      <c r="AB323" s="45">
        <v>9684.09</v>
      </c>
      <c r="AC323" s="29">
        <v>0</v>
      </c>
      <c r="AD323" s="41">
        <v>9684.09</v>
      </c>
      <c r="AE323" s="29">
        <v>0</v>
      </c>
      <c r="AF323" s="29">
        <f t="shared" si="138"/>
        <v>9684.09</v>
      </c>
      <c r="AG323" s="25">
        <v>0.12</v>
      </c>
      <c r="AH323" s="29">
        <f t="shared" si="143"/>
        <v>1162.0907999999999</v>
      </c>
      <c r="AI323" s="29">
        <f t="shared" si="144"/>
        <v>0</v>
      </c>
      <c r="AJ323" s="29">
        <f t="shared" si="145"/>
        <v>10846.180800000002</v>
      </c>
      <c r="AK323" s="29">
        <v>0</v>
      </c>
      <c r="AL323" s="29">
        <f t="shared" si="147"/>
        <v>9684.09</v>
      </c>
      <c r="AM323" s="126"/>
      <c r="AN323" s="29"/>
      <c r="AO323" s="29"/>
      <c r="AP323" s="29"/>
      <c r="AQ323" s="29"/>
      <c r="AR323" s="29"/>
      <c r="AS323" s="29"/>
      <c r="AT323" s="29"/>
      <c r="AU323" s="29"/>
      <c r="AV323" s="29"/>
      <c r="AW323" s="29"/>
      <c r="AX323" s="29"/>
      <c r="AY323" s="29"/>
      <c r="AZ323" s="29"/>
      <c r="BA323" s="29"/>
      <c r="BB323" s="29"/>
      <c r="BC323" s="29"/>
      <c r="BD323" s="29"/>
      <c r="BE323" s="29"/>
      <c r="BF323" s="29"/>
      <c r="BG323" s="29">
        <f t="shared" si="139"/>
        <v>0</v>
      </c>
      <c r="BH323" s="29"/>
      <c r="BI323" s="23" t="s">
        <v>570</v>
      </c>
      <c r="BJ323" s="23" t="s">
        <v>570</v>
      </c>
      <c r="BK323" s="23"/>
      <c r="BL323" s="23"/>
      <c r="BM323" s="23"/>
      <c r="BN323" s="13"/>
      <c r="BO323" s="13"/>
      <c r="BP323" s="13"/>
      <c r="BQ323" s="13"/>
      <c r="BR323" s="13"/>
      <c r="BS323" s="13"/>
      <c r="BT323" s="13"/>
      <c r="BU323" s="13"/>
      <c r="BV323" s="13"/>
      <c r="BW323" s="13" t="s">
        <v>570</v>
      </c>
      <c r="BX323" s="13"/>
      <c r="BY323" s="13"/>
      <c r="BZ323" s="13"/>
      <c r="CA323" s="13"/>
      <c r="CB323" s="224" t="s">
        <v>570</v>
      </c>
      <c r="CC323" s="224" t="s">
        <v>570</v>
      </c>
      <c r="CD323" s="224" t="s">
        <v>570</v>
      </c>
      <c r="CE323" s="13"/>
      <c r="CF323" s="13"/>
      <c r="CG323" s="13"/>
      <c r="CH323" s="13"/>
      <c r="CI323" s="13"/>
      <c r="CJ323" s="13"/>
      <c r="CK323" s="13"/>
      <c r="CL323" s="13"/>
      <c r="CM323" s="13"/>
      <c r="CN323" s="13"/>
      <c r="CO323" s="13"/>
      <c r="CP323" s="13"/>
      <c r="CQ323" s="13"/>
      <c r="CR323" s="13"/>
      <c r="CS323" s="29" t="s">
        <v>570</v>
      </c>
      <c r="CT323" s="29" t="s">
        <v>570</v>
      </c>
      <c r="CU323" s="29" t="s">
        <v>570</v>
      </c>
      <c r="CV323" s="2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92">
        <f t="shared" si="136"/>
        <v>0</v>
      </c>
      <c r="DZ323" s="13"/>
      <c r="EA323" s="13"/>
      <c r="EB323" s="13"/>
      <c r="EC323" s="13"/>
      <c r="ED323" s="13"/>
      <c r="EE323" s="13"/>
      <c r="EF323" s="13"/>
      <c r="EG323" s="13"/>
      <c r="EH323" s="13"/>
      <c r="EI323" s="13"/>
      <c r="EJ323" s="13"/>
      <c r="EK323" s="13"/>
      <c r="EL323" s="13"/>
      <c r="EM323" s="13"/>
      <c r="EN323" s="13"/>
      <c r="EO323" s="13"/>
      <c r="EP323" s="13"/>
      <c r="EQ323" s="13"/>
      <c r="ER323" s="13"/>
      <c r="ES323" s="13"/>
      <c r="ET323" s="13"/>
      <c r="EU323" s="13"/>
      <c r="EV323" s="13"/>
      <c r="EW323" s="13"/>
      <c r="EX323" s="13"/>
      <c r="EY323" s="13"/>
      <c r="EZ323" s="13"/>
      <c r="FA323" s="13"/>
      <c r="FB323" s="13"/>
      <c r="FC323" s="13"/>
      <c r="FD323" s="13"/>
      <c r="FE323" s="13"/>
      <c r="FF323" s="13"/>
      <c r="FG323" s="13"/>
      <c r="FH323" s="13"/>
      <c r="FI323" s="13"/>
      <c r="FJ323" s="13"/>
      <c r="FK323" s="13"/>
      <c r="FL323" s="13"/>
      <c r="FM323" s="13"/>
      <c r="FN323" s="13"/>
      <c r="FO323" s="13"/>
      <c r="FP323" s="13"/>
      <c r="FQ323" s="13"/>
      <c r="FR323" s="13"/>
      <c r="FS323" s="13"/>
      <c r="FT323" s="13"/>
      <c r="FU323" s="25">
        <v>0.65</v>
      </c>
      <c r="FV323" s="25"/>
      <c r="FW323" s="25"/>
      <c r="FX323" s="25"/>
      <c r="FY323" s="25"/>
      <c r="FZ323" s="25"/>
      <c r="GA323" s="25"/>
      <c r="GB323" s="25"/>
      <c r="GC323" s="25"/>
      <c r="GD323" s="25">
        <v>1</v>
      </c>
      <c r="GE323" s="25">
        <v>1</v>
      </c>
      <c r="GF323" s="25">
        <v>1</v>
      </c>
      <c r="GG323" s="25">
        <v>1</v>
      </c>
      <c r="GH323" s="25">
        <v>1</v>
      </c>
      <c r="GI323" s="25">
        <v>1</v>
      </c>
      <c r="GJ323" s="25">
        <v>1</v>
      </c>
      <c r="GK323" s="25">
        <v>1</v>
      </c>
      <c r="GL323" s="25">
        <v>1</v>
      </c>
      <c r="GM323" s="25">
        <v>1</v>
      </c>
      <c r="GN323" s="25">
        <v>1</v>
      </c>
      <c r="GO323" s="25">
        <v>1</v>
      </c>
      <c r="GP323" s="25">
        <v>1</v>
      </c>
      <c r="GQ323" s="25">
        <v>1</v>
      </c>
      <c r="GR323" s="25">
        <v>1</v>
      </c>
      <c r="GS323" s="25">
        <v>1</v>
      </c>
      <c r="GT323" s="25">
        <v>1</v>
      </c>
      <c r="GU323" s="25">
        <v>1</v>
      </c>
      <c r="GV323" s="25" t="s">
        <v>1588</v>
      </c>
      <c r="GW323" s="25" t="s">
        <v>1588</v>
      </c>
      <c r="GX323" s="25" t="s">
        <v>1588</v>
      </c>
      <c r="GY323" s="25" t="s">
        <v>1588</v>
      </c>
      <c r="GZ323" s="25" t="s">
        <v>1588</v>
      </c>
      <c r="HA323" s="25" t="s">
        <v>1588</v>
      </c>
      <c r="HB323" s="25" t="s">
        <v>1588</v>
      </c>
      <c r="HC323" s="25" t="s">
        <v>1889</v>
      </c>
      <c r="HD323" s="25" t="s">
        <v>1889</v>
      </c>
      <c r="HE323" s="25" t="s">
        <v>1889</v>
      </c>
      <c r="HF323" s="25" t="s">
        <v>1889</v>
      </c>
      <c r="HG323" s="25" t="s">
        <v>1889</v>
      </c>
      <c r="HH323" s="25" t="s">
        <v>1889</v>
      </c>
      <c r="HI323" s="25"/>
      <c r="HJ323" s="25"/>
      <c r="HK323" s="25"/>
      <c r="HL323" s="25"/>
      <c r="HM323" s="84"/>
      <c r="HN323" s="84"/>
      <c r="HO323" s="84"/>
      <c r="HP323" s="84"/>
      <c r="HQ323" s="84"/>
      <c r="HR323" s="84"/>
      <c r="HS323" s="84"/>
      <c r="HT323" s="84"/>
      <c r="HU323" s="16" t="s">
        <v>1204</v>
      </c>
      <c r="HV323" s="16"/>
      <c r="HW323" s="13" t="s">
        <v>1202</v>
      </c>
      <c r="HX323" s="23">
        <v>42807</v>
      </c>
      <c r="HY323" s="55"/>
      <c r="HZ323" s="55"/>
      <c r="IA323" s="55"/>
      <c r="IB323" s="55"/>
      <c r="IC323" s="55"/>
      <c r="ID323" s="55"/>
      <c r="IE323" s="55"/>
      <c r="IF323" s="107">
        <v>9684.09</v>
      </c>
      <c r="IG323" s="107">
        <v>0</v>
      </c>
      <c r="IH323" s="250">
        <f t="shared" si="146"/>
        <v>0</v>
      </c>
      <c r="II323" s="55"/>
      <c r="IJ323" s="55"/>
      <c r="IK323" s="55"/>
      <c r="IL323" s="55"/>
      <c r="IM323" s="55"/>
      <c r="IN323" s="55"/>
      <c r="IO323" s="55"/>
      <c r="IP323" s="55"/>
      <c r="IQ323" s="55"/>
      <c r="IR323" s="55"/>
      <c r="IS323" s="55"/>
      <c r="IT323" s="55"/>
      <c r="IU323" s="55"/>
      <c r="IV323" s="55"/>
      <c r="IW323" s="55"/>
      <c r="IX323" s="55"/>
      <c r="IY323" s="55"/>
      <c r="IZ323" s="55"/>
      <c r="JA323" s="55"/>
      <c r="JB323" s="55"/>
      <c r="JC323" s="55"/>
      <c r="JD323" s="55">
        <v>2017</v>
      </c>
    </row>
    <row r="324" spans="1:265" s="5" customFormat="1" ht="20.100000000000001" hidden="1" customHeight="1">
      <c r="A324" s="26" t="s">
        <v>9</v>
      </c>
      <c r="B324" s="26" t="s">
        <v>203</v>
      </c>
      <c r="C324" s="13" t="s">
        <v>349</v>
      </c>
      <c r="D324" s="13" t="s">
        <v>380</v>
      </c>
      <c r="E324" s="16" t="s">
        <v>360</v>
      </c>
      <c r="F324" s="13" t="s">
        <v>383</v>
      </c>
      <c r="G324" s="39" t="s">
        <v>354</v>
      </c>
      <c r="H324" s="28" t="s">
        <v>1548</v>
      </c>
      <c r="I324" s="69" t="s">
        <v>135</v>
      </c>
      <c r="J324" s="40">
        <v>6</v>
      </c>
      <c r="K324" s="49" t="s">
        <v>375</v>
      </c>
      <c r="L324" s="314" t="s">
        <v>431</v>
      </c>
      <c r="M324" s="14" t="s">
        <v>435</v>
      </c>
      <c r="N324" s="15"/>
      <c r="O324" s="13" t="s">
        <v>206</v>
      </c>
      <c r="P324" s="13" t="s">
        <v>4</v>
      </c>
      <c r="Q324" s="22" t="s">
        <v>794</v>
      </c>
      <c r="R324" s="22"/>
      <c r="S324" s="13"/>
      <c r="T324" s="13"/>
      <c r="U324" s="13"/>
      <c r="V324" s="13"/>
      <c r="W324" s="13" t="s">
        <v>570</v>
      </c>
      <c r="X324" s="13" t="s">
        <v>570</v>
      </c>
      <c r="Y324" s="13"/>
      <c r="Z324" s="13"/>
      <c r="AA324" s="29"/>
      <c r="AB324" s="45">
        <v>7851.96</v>
      </c>
      <c r="AC324" s="29">
        <v>0</v>
      </c>
      <c r="AD324" s="41">
        <v>7851.96</v>
      </c>
      <c r="AE324" s="29">
        <v>0</v>
      </c>
      <c r="AF324" s="29">
        <f t="shared" si="138"/>
        <v>7851.96</v>
      </c>
      <c r="AG324" s="25">
        <v>0.12</v>
      </c>
      <c r="AH324" s="29">
        <f t="shared" si="143"/>
        <v>942.23519999999996</v>
      </c>
      <c r="AI324" s="29">
        <f t="shared" si="144"/>
        <v>0</v>
      </c>
      <c r="AJ324" s="29">
        <f t="shared" si="145"/>
        <v>8794.1952000000001</v>
      </c>
      <c r="AK324" s="29">
        <v>0</v>
      </c>
      <c r="AL324" s="29">
        <f t="shared" si="147"/>
        <v>7851.96</v>
      </c>
      <c r="AM324" s="126"/>
      <c r="AN324" s="29"/>
      <c r="AO324" s="29"/>
      <c r="AP324" s="29"/>
      <c r="AQ324" s="29"/>
      <c r="AR324" s="29"/>
      <c r="AS324" s="29"/>
      <c r="AT324" s="29"/>
      <c r="AU324" s="29"/>
      <c r="AV324" s="29"/>
      <c r="AW324" s="29"/>
      <c r="AX324" s="29"/>
      <c r="AY324" s="29"/>
      <c r="AZ324" s="29"/>
      <c r="BA324" s="29"/>
      <c r="BB324" s="29"/>
      <c r="BC324" s="29"/>
      <c r="BD324" s="29"/>
      <c r="BE324" s="29"/>
      <c r="BF324" s="29"/>
      <c r="BG324" s="29">
        <f t="shared" si="139"/>
        <v>0</v>
      </c>
      <c r="BH324" s="29"/>
      <c r="BI324" s="23" t="s">
        <v>570</v>
      </c>
      <c r="BJ324" s="23" t="s">
        <v>570</v>
      </c>
      <c r="BK324" s="23"/>
      <c r="BL324" s="23"/>
      <c r="BM324" s="23"/>
      <c r="BN324" s="13"/>
      <c r="BO324" s="13"/>
      <c r="BP324" s="13"/>
      <c r="BQ324" s="13"/>
      <c r="BR324" s="13"/>
      <c r="BS324" s="13"/>
      <c r="BT324" s="13"/>
      <c r="BU324" s="13"/>
      <c r="BV324" s="13"/>
      <c r="BW324" s="13" t="s">
        <v>570</v>
      </c>
      <c r="BX324" s="13"/>
      <c r="BY324" s="13"/>
      <c r="BZ324" s="13"/>
      <c r="CA324" s="13"/>
      <c r="CB324" s="224" t="s">
        <v>570</v>
      </c>
      <c r="CC324" s="224" t="s">
        <v>570</v>
      </c>
      <c r="CD324" s="224" t="s">
        <v>570</v>
      </c>
      <c r="CE324" s="13"/>
      <c r="CF324" s="13"/>
      <c r="CG324" s="13"/>
      <c r="CH324" s="13"/>
      <c r="CI324" s="13"/>
      <c r="CJ324" s="13"/>
      <c r="CK324" s="13"/>
      <c r="CL324" s="13"/>
      <c r="CM324" s="13"/>
      <c r="CN324" s="13"/>
      <c r="CO324" s="13"/>
      <c r="CP324" s="13"/>
      <c r="CQ324" s="13"/>
      <c r="CR324" s="13"/>
      <c r="CS324" s="29" t="s">
        <v>570</v>
      </c>
      <c r="CT324" s="29" t="s">
        <v>570</v>
      </c>
      <c r="CU324" s="29" t="s">
        <v>570</v>
      </c>
      <c r="CV324" s="2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92">
        <f t="shared" si="136"/>
        <v>0</v>
      </c>
      <c r="DZ324" s="13"/>
      <c r="EA324" s="13"/>
      <c r="EB324" s="13"/>
      <c r="EC324" s="13"/>
      <c r="ED324" s="13"/>
      <c r="EE324" s="13"/>
      <c r="EF324" s="13"/>
      <c r="EG324" s="13"/>
      <c r="EH324" s="13"/>
      <c r="EI324" s="13"/>
      <c r="EJ324" s="13"/>
      <c r="EK324" s="13"/>
      <c r="EL324" s="13"/>
      <c r="EM324" s="13"/>
      <c r="EN324" s="13"/>
      <c r="EO324" s="13"/>
      <c r="EP324" s="13"/>
      <c r="EQ324" s="13"/>
      <c r="ER324" s="13"/>
      <c r="ES324" s="13"/>
      <c r="ET324" s="13"/>
      <c r="EU324" s="13"/>
      <c r="EV324" s="13"/>
      <c r="EW324" s="13"/>
      <c r="EX324" s="13"/>
      <c r="EY324" s="13"/>
      <c r="EZ324" s="13"/>
      <c r="FA324" s="13"/>
      <c r="FB324" s="13"/>
      <c r="FC324" s="13"/>
      <c r="FD324" s="13"/>
      <c r="FE324" s="13"/>
      <c r="FF324" s="13"/>
      <c r="FG324" s="13"/>
      <c r="FH324" s="13"/>
      <c r="FI324" s="13"/>
      <c r="FJ324" s="13"/>
      <c r="FK324" s="13"/>
      <c r="FL324" s="13"/>
      <c r="FM324" s="13"/>
      <c r="FN324" s="13"/>
      <c r="FO324" s="13"/>
      <c r="FP324" s="13"/>
      <c r="FQ324" s="13"/>
      <c r="FR324" s="13"/>
      <c r="FS324" s="13"/>
      <c r="FT324" s="13"/>
      <c r="FU324" s="13"/>
      <c r="FV324" s="13"/>
      <c r="FW324" s="13"/>
      <c r="FX324" s="13"/>
      <c r="FY324" s="13"/>
      <c r="FZ324" s="13"/>
      <c r="GA324" s="13"/>
      <c r="GB324" s="13"/>
      <c r="GC324" s="13"/>
      <c r="GD324" s="25">
        <v>1</v>
      </c>
      <c r="GE324" s="25">
        <v>1</v>
      </c>
      <c r="GF324" s="25">
        <v>1</v>
      </c>
      <c r="GG324" s="25">
        <v>1</v>
      </c>
      <c r="GH324" s="25">
        <v>1</v>
      </c>
      <c r="GI324" s="25">
        <v>1</v>
      </c>
      <c r="GJ324" s="25">
        <v>1</v>
      </c>
      <c r="GK324" s="25">
        <v>1</v>
      </c>
      <c r="GL324" s="25">
        <v>1</v>
      </c>
      <c r="GM324" s="25">
        <v>1</v>
      </c>
      <c r="GN324" s="25">
        <v>1</v>
      </c>
      <c r="GO324" s="25">
        <v>1</v>
      </c>
      <c r="GP324" s="25">
        <v>1</v>
      </c>
      <c r="GQ324" s="25">
        <v>1</v>
      </c>
      <c r="GR324" s="25">
        <v>1</v>
      </c>
      <c r="GS324" s="25">
        <v>1</v>
      </c>
      <c r="GT324" s="25">
        <v>1</v>
      </c>
      <c r="GU324" s="25">
        <v>1</v>
      </c>
      <c r="GV324" s="25" t="s">
        <v>1588</v>
      </c>
      <c r="GW324" s="25" t="s">
        <v>1588</v>
      </c>
      <c r="GX324" s="25" t="s">
        <v>1588</v>
      </c>
      <c r="GY324" s="25" t="s">
        <v>1588</v>
      </c>
      <c r="GZ324" s="25" t="s">
        <v>1588</v>
      </c>
      <c r="HA324" s="25" t="s">
        <v>1588</v>
      </c>
      <c r="HB324" s="25" t="s">
        <v>1588</v>
      </c>
      <c r="HC324" s="25" t="s">
        <v>1889</v>
      </c>
      <c r="HD324" s="25" t="s">
        <v>1889</v>
      </c>
      <c r="HE324" s="25" t="s">
        <v>1889</v>
      </c>
      <c r="HF324" s="25" t="s">
        <v>1889</v>
      </c>
      <c r="HG324" s="25" t="s">
        <v>1889</v>
      </c>
      <c r="HH324" s="25" t="s">
        <v>1889</v>
      </c>
      <c r="HI324" s="13"/>
      <c r="HJ324" s="25"/>
      <c r="HK324" s="25"/>
      <c r="HL324" s="25"/>
      <c r="HM324" s="84"/>
      <c r="HN324" s="84"/>
      <c r="HO324" s="84"/>
      <c r="HP324" s="84"/>
      <c r="HQ324" s="84"/>
      <c r="HR324" s="84"/>
      <c r="HS324" s="84"/>
      <c r="HT324" s="84"/>
      <c r="HU324" s="16" t="s">
        <v>1204</v>
      </c>
      <c r="HV324" s="16"/>
      <c r="HW324" s="13" t="s">
        <v>1202</v>
      </c>
      <c r="HX324" s="23">
        <v>42807</v>
      </c>
      <c r="HY324" s="55"/>
      <c r="HZ324" s="55"/>
      <c r="IA324" s="55"/>
      <c r="IB324" s="55"/>
      <c r="IC324" s="55"/>
      <c r="ID324" s="55"/>
      <c r="IE324" s="55"/>
      <c r="IF324" s="107">
        <v>7851.96</v>
      </c>
      <c r="IG324" s="107">
        <v>0</v>
      </c>
      <c r="IH324" s="250">
        <f t="shared" si="146"/>
        <v>0</v>
      </c>
      <c r="II324" s="55"/>
      <c r="IJ324" s="55"/>
      <c r="IK324" s="55"/>
      <c r="IL324" s="55"/>
      <c r="IM324" s="55"/>
      <c r="IN324" s="55"/>
      <c r="IO324" s="55"/>
      <c r="IP324" s="55"/>
      <c r="IQ324" s="55"/>
      <c r="IR324" s="55"/>
      <c r="IS324" s="55"/>
      <c r="IT324" s="55"/>
      <c r="IU324" s="55"/>
      <c r="IV324" s="55"/>
      <c r="IW324" s="55"/>
      <c r="IX324" s="55"/>
      <c r="IY324" s="55"/>
      <c r="IZ324" s="55"/>
      <c r="JA324" s="55"/>
      <c r="JB324" s="55"/>
      <c r="JC324" s="55"/>
      <c r="JD324" s="55">
        <v>2017</v>
      </c>
    </row>
    <row r="325" spans="1:265" s="5" customFormat="1" ht="24.95" hidden="1" customHeight="1">
      <c r="A325" s="26" t="s">
        <v>16</v>
      </c>
      <c r="B325" s="26" t="s">
        <v>203</v>
      </c>
      <c r="C325" s="13" t="s">
        <v>349</v>
      </c>
      <c r="D325" s="13" t="s">
        <v>380</v>
      </c>
      <c r="E325" s="16" t="s">
        <v>350</v>
      </c>
      <c r="F325" s="13" t="s">
        <v>356</v>
      </c>
      <c r="G325" s="39" t="s">
        <v>354</v>
      </c>
      <c r="H325" s="28" t="s">
        <v>1518</v>
      </c>
      <c r="I325" s="20" t="s">
        <v>142</v>
      </c>
      <c r="J325" s="40">
        <v>2</v>
      </c>
      <c r="K325" s="49" t="s">
        <v>375</v>
      </c>
      <c r="L325" s="314" t="s">
        <v>2001</v>
      </c>
      <c r="M325" s="15" t="s">
        <v>285</v>
      </c>
      <c r="N325" s="43"/>
      <c r="O325" s="13" t="s">
        <v>206</v>
      </c>
      <c r="P325" s="13" t="s">
        <v>4</v>
      </c>
      <c r="Q325" s="22" t="s">
        <v>364</v>
      </c>
      <c r="R325" s="22" t="s">
        <v>871</v>
      </c>
      <c r="S325" s="13" t="s">
        <v>449</v>
      </c>
      <c r="T325" s="13" t="s">
        <v>1387</v>
      </c>
      <c r="U325" s="13" t="s">
        <v>477</v>
      </c>
      <c r="V325" s="13" t="s">
        <v>872</v>
      </c>
      <c r="W325" s="13" t="s">
        <v>570</v>
      </c>
      <c r="X325" s="13" t="s">
        <v>570</v>
      </c>
      <c r="Y325" s="13" t="s">
        <v>873</v>
      </c>
      <c r="Z325" s="13" t="s">
        <v>924</v>
      </c>
      <c r="AA325" s="29"/>
      <c r="AB325" s="29">
        <v>28114.38</v>
      </c>
      <c r="AC325" s="29">
        <v>0</v>
      </c>
      <c r="AD325" s="29">
        <v>28114.38</v>
      </c>
      <c r="AE325" s="29">
        <v>0</v>
      </c>
      <c r="AF325" s="29">
        <f t="shared" si="138"/>
        <v>28114.38</v>
      </c>
      <c r="AG325" s="25">
        <v>0.12</v>
      </c>
      <c r="AH325" s="29">
        <f t="shared" si="143"/>
        <v>3373.7256000000002</v>
      </c>
      <c r="AI325" s="29">
        <f t="shared" si="144"/>
        <v>0</v>
      </c>
      <c r="AJ325" s="29">
        <f t="shared" si="145"/>
        <v>31488.105600000003</v>
      </c>
      <c r="AK325" s="29">
        <v>28114.38</v>
      </c>
      <c r="AL325" s="29">
        <f>AB325-AK325</f>
        <v>0</v>
      </c>
      <c r="AM325" s="126"/>
      <c r="AN325" s="29"/>
      <c r="AO325" s="29">
        <v>28114.38</v>
      </c>
      <c r="AP325" s="29"/>
      <c r="AQ325" s="29">
        <v>28114.38</v>
      </c>
      <c r="AR325" s="35">
        <v>0.14000000000000001</v>
      </c>
      <c r="AS325" s="29">
        <f>AQ325*0.14</f>
        <v>3936.0132000000003</v>
      </c>
      <c r="AT325" s="29">
        <f>AQ325*1.14</f>
        <v>32050.393199999999</v>
      </c>
      <c r="AU325" s="29"/>
      <c r="AV325" s="29"/>
      <c r="AW325" s="29"/>
      <c r="AX325" s="29"/>
      <c r="AY325" s="29"/>
      <c r="AZ325" s="29"/>
      <c r="BA325" s="29"/>
      <c r="BB325" s="29"/>
      <c r="BC325" s="29"/>
      <c r="BD325" s="29"/>
      <c r="BE325" s="29"/>
      <c r="BF325" s="29">
        <f>AB325-AQ325</f>
        <v>0</v>
      </c>
      <c r="BG325" s="29">
        <f t="shared" si="139"/>
        <v>0</v>
      </c>
      <c r="BH325" s="29" t="s">
        <v>881</v>
      </c>
      <c r="BI325" s="23" t="s">
        <v>570</v>
      </c>
      <c r="BJ325" s="23" t="s">
        <v>570</v>
      </c>
      <c r="BK325" s="23"/>
      <c r="BL325" s="23"/>
      <c r="BM325" s="23"/>
      <c r="BN325" s="23">
        <v>42570</v>
      </c>
      <c r="BO325" s="13" t="s">
        <v>570</v>
      </c>
      <c r="BP325" s="13" t="s">
        <v>570</v>
      </c>
      <c r="BQ325" s="23">
        <v>42573</v>
      </c>
      <c r="BR325" s="13" t="s">
        <v>570</v>
      </c>
      <c r="BS325" s="23">
        <v>42573</v>
      </c>
      <c r="BT325" s="23">
        <v>42576</v>
      </c>
      <c r="BU325" s="13" t="s">
        <v>570</v>
      </c>
      <c r="BV325" s="13" t="s">
        <v>570</v>
      </c>
      <c r="BW325" s="13" t="s">
        <v>570</v>
      </c>
      <c r="BX325" s="23">
        <v>42612</v>
      </c>
      <c r="BY325" s="13" t="s">
        <v>570</v>
      </c>
      <c r="BZ325" s="23">
        <v>42613</v>
      </c>
      <c r="CA325" s="23">
        <v>42643</v>
      </c>
      <c r="CB325" s="224" t="s">
        <v>570</v>
      </c>
      <c r="CC325" s="224" t="s">
        <v>570</v>
      </c>
      <c r="CD325" s="224" t="s">
        <v>570</v>
      </c>
      <c r="CE325" s="13"/>
      <c r="CF325" s="13"/>
      <c r="CG325" s="13"/>
      <c r="CH325" s="13"/>
      <c r="CI325" s="13"/>
      <c r="CJ325" s="13"/>
      <c r="CK325" s="13"/>
      <c r="CL325" s="13"/>
      <c r="CM325" s="13"/>
      <c r="CN325" s="13"/>
      <c r="CO325" s="13"/>
      <c r="CP325" s="13"/>
      <c r="CQ325" s="13"/>
      <c r="CR325" s="13"/>
      <c r="CS325" s="29" t="s">
        <v>570</v>
      </c>
      <c r="CT325" s="29" t="s">
        <v>570</v>
      </c>
      <c r="CU325" s="29" t="s">
        <v>570</v>
      </c>
      <c r="CV325" s="23">
        <v>42654</v>
      </c>
      <c r="CW325" s="29">
        <v>8434.31</v>
      </c>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92">
        <f t="shared" si="136"/>
        <v>8434.31</v>
      </c>
      <c r="DZ325" s="13"/>
      <c r="EA325" s="13"/>
      <c r="EB325" s="13"/>
      <c r="EC325" s="13"/>
      <c r="ED325" s="13"/>
      <c r="EE325" s="13"/>
      <c r="EF325" s="13"/>
      <c r="EG325" s="13">
        <v>300</v>
      </c>
      <c r="EH325" s="13" t="s">
        <v>503</v>
      </c>
      <c r="EI325" s="13" t="s">
        <v>503</v>
      </c>
      <c r="EJ325" s="13" t="s">
        <v>503</v>
      </c>
      <c r="EK325" s="13"/>
      <c r="EL325" s="13"/>
      <c r="EM325" s="13"/>
      <c r="EN325" s="13"/>
      <c r="EO325" s="13"/>
      <c r="EP325" s="13"/>
      <c r="EQ325" s="13"/>
      <c r="ER325" s="13"/>
      <c r="ES325" s="13"/>
      <c r="ET325" s="13"/>
      <c r="EU325" s="13"/>
      <c r="EV325" s="13"/>
      <c r="EW325" s="13"/>
      <c r="EX325" s="13"/>
      <c r="EY325" s="13"/>
      <c r="EZ325" s="13"/>
      <c r="FA325" s="13"/>
      <c r="FB325" s="13"/>
      <c r="FC325" s="13"/>
      <c r="FD325" s="13"/>
      <c r="FE325" s="13"/>
      <c r="FF325" s="13"/>
      <c r="FG325" s="13"/>
      <c r="FH325" s="13"/>
      <c r="FI325" s="13"/>
      <c r="FJ325" s="13"/>
      <c r="FK325" s="13"/>
      <c r="FL325" s="13"/>
      <c r="FM325" s="13"/>
      <c r="FN325" s="13"/>
      <c r="FO325" s="13"/>
      <c r="FP325" s="13"/>
      <c r="FQ325" s="13"/>
      <c r="FR325" s="13"/>
      <c r="FS325" s="13"/>
      <c r="FT325" s="13"/>
      <c r="FU325" s="25" t="s">
        <v>1254</v>
      </c>
      <c r="FV325" s="25">
        <v>0.17499999999999999</v>
      </c>
      <c r="FW325" s="25">
        <v>0.17499999999999999</v>
      </c>
      <c r="FX325" s="25">
        <v>0.17499999999999999</v>
      </c>
      <c r="FY325" s="25">
        <v>0.2</v>
      </c>
      <c r="FZ325" s="25">
        <v>0.2</v>
      </c>
      <c r="GA325" s="25">
        <v>0.44</v>
      </c>
      <c r="GB325" s="25">
        <v>0.44</v>
      </c>
      <c r="GC325" s="25">
        <v>0.44</v>
      </c>
      <c r="GD325" s="25">
        <v>0.65</v>
      </c>
      <c r="GE325" s="25">
        <v>0.65</v>
      </c>
      <c r="GF325" s="25">
        <v>0.65</v>
      </c>
      <c r="GG325" s="25">
        <v>0.65</v>
      </c>
      <c r="GH325" s="25">
        <v>0.65</v>
      </c>
      <c r="GI325" s="25">
        <v>0.65</v>
      </c>
      <c r="GJ325" s="25">
        <v>0.65</v>
      </c>
      <c r="GK325" s="25">
        <v>0.65</v>
      </c>
      <c r="GL325" s="25">
        <v>0.65</v>
      </c>
      <c r="GM325" s="25">
        <v>0.65</v>
      </c>
      <c r="GN325" s="25">
        <v>0.65</v>
      </c>
      <c r="GO325" s="25">
        <v>0.65</v>
      </c>
      <c r="GP325" s="25">
        <v>0.65</v>
      </c>
      <c r="GQ325" s="25">
        <v>0.75</v>
      </c>
      <c r="GR325" s="25">
        <v>0.8</v>
      </c>
      <c r="GS325" s="25">
        <v>0.85</v>
      </c>
      <c r="GT325" s="25">
        <v>1</v>
      </c>
      <c r="GU325" s="25">
        <v>1</v>
      </c>
      <c r="GV325" s="25" t="s">
        <v>1588</v>
      </c>
      <c r="GW325" s="25" t="s">
        <v>1588</v>
      </c>
      <c r="GX325" s="25" t="s">
        <v>1588</v>
      </c>
      <c r="GY325" s="25" t="s">
        <v>1588</v>
      </c>
      <c r="GZ325" s="25" t="s">
        <v>1588</v>
      </c>
      <c r="HA325" s="25" t="s">
        <v>1588</v>
      </c>
      <c r="HB325" s="25" t="s">
        <v>1588</v>
      </c>
      <c r="HC325" s="25" t="s">
        <v>1588</v>
      </c>
      <c r="HD325" s="25" t="s">
        <v>1588</v>
      </c>
      <c r="HE325" s="25" t="s">
        <v>1588</v>
      </c>
      <c r="HF325" s="25" t="s">
        <v>1588</v>
      </c>
      <c r="HG325" s="25" t="s">
        <v>455</v>
      </c>
      <c r="HH325" s="25" t="s">
        <v>455</v>
      </c>
      <c r="HI325" s="25" t="s">
        <v>1645</v>
      </c>
      <c r="HJ325" s="25"/>
      <c r="HK325" s="25"/>
      <c r="HL325" s="25" t="s">
        <v>1718</v>
      </c>
      <c r="HM325" s="84" t="s">
        <v>1718</v>
      </c>
      <c r="HN325" s="84"/>
      <c r="HO325" s="84"/>
      <c r="HP325" s="84"/>
      <c r="HQ325" s="84"/>
      <c r="HR325" s="84"/>
      <c r="HS325" s="84"/>
      <c r="HT325" s="84"/>
      <c r="HU325" s="13"/>
      <c r="HV325" s="13"/>
      <c r="HW325" s="32"/>
      <c r="HX325" s="55"/>
      <c r="HY325" s="55"/>
      <c r="HZ325" s="55"/>
      <c r="IA325" s="55"/>
      <c r="IB325" s="55"/>
      <c r="IC325" s="55"/>
      <c r="ID325" s="55"/>
      <c r="IE325" s="55"/>
      <c r="IF325" s="107">
        <v>28114.38</v>
      </c>
      <c r="IG325" s="107"/>
      <c r="IH325" s="250">
        <f t="shared" si="146"/>
        <v>28114.38</v>
      </c>
      <c r="II325" s="55"/>
      <c r="IJ325" s="55"/>
      <c r="IK325" s="55"/>
      <c r="IL325" s="55"/>
      <c r="IM325" s="55"/>
      <c r="IN325" s="55"/>
      <c r="IO325" s="55"/>
      <c r="IP325" s="55"/>
      <c r="IQ325" s="55"/>
      <c r="IR325" s="55"/>
      <c r="IS325" s="55"/>
      <c r="IT325" s="55"/>
      <c r="IU325" s="55"/>
      <c r="IV325" s="55"/>
      <c r="IW325" s="55"/>
      <c r="IX325" s="55"/>
      <c r="IY325" s="55"/>
      <c r="IZ325" s="55"/>
      <c r="JA325" s="55"/>
      <c r="JB325" s="55"/>
      <c r="JC325" s="55"/>
      <c r="JD325" s="55">
        <v>2019</v>
      </c>
      <c r="JE325" s="5" t="s">
        <v>2015</v>
      </c>
    </row>
    <row r="326" spans="1:265" s="5" customFormat="1" ht="24.95" hidden="1" customHeight="1">
      <c r="A326" s="26" t="s">
        <v>16</v>
      </c>
      <c r="B326" s="26" t="s">
        <v>203</v>
      </c>
      <c r="C326" s="13" t="s">
        <v>349</v>
      </c>
      <c r="D326" s="13" t="s">
        <v>380</v>
      </c>
      <c r="E326" s="16" t="s">
        <v>350</v>
      </c>
      <c r="F326" s="13" t="s">
        <v>356</v>
      </c>
      <c r="G326" s="39" t="s">
        <v>354</v>
      </c>
      <c r="H326" s="28" t="s">
        <v>1518</v>
      </c>
      <c r="I326" s="20" t="s">
        <v>142</v>
      </c>
      <c r="J326" s="40">
        <v>2</v>
      </c>
      <c r="K326" s="49" t="s">
        <v>375</v>
      </c>
      <c r="L326" s="314" t="s">
        <v>2002</v>
      </c>
      <c r="M326" s="15" t="s">
        <v>336</v>
      </c>
      <c r="N326" s="43"/>
      <c r="O326" s="13" t="s">
        <v>206</v>
      </c>
      <c r="P326" s="13" t="s">
        <v>4</v>
      </c>
      <c r="Q326" s="22" t="s">
        <v>364</v>
      </c>
      <c r="R326" s="22" t="s">
        <v>874</v>
      </c>
      <c r="S326" s="13" t="s">
        <v>450</v>
      </c>
      <c r="T326" s="13" t="s">
        <v>1387</v>
      </c>
      <c r="U326" s="13" t="s">
        <v>477</v>
      </c>
      <c r="V326" s="13" t="s">
        <v>875</v>
      </c>
      <c r="W326" s="13" t="s">
        <v>570</v>
      </c>
      <c r="X326" s="13" t="s">
        <v>570</v>
      </c>
      <c r="Y326" s="13" t="s">
        <v>876</v>
      </c>
      <c r="Z326" s="13" t="s">
        <v>925</v>
      </c>
      <c r="AA326" s="29"/>
      <c r="AB326" s="29">
        <v>28114.38</v>
      </c>
      <c r="AC326" s="29">
        <v>0</v>
      </c>
      <c r="AD326" s="29">
        <v>28114.38</v>
      </c>
      <c r="AE326" s="29">
        <v>0</v>
      </c>
      <c r="AF326" s="29">
        <f t="shared" si="138"/>
        <v>28114.38</v>
      </c>
      <c r="AG326" s="25">
        <v>0.12</v>
      </c>
      <c r="AH326" s="29">
        <f t="shared" si="143"/>
        <v>3373.7256000000002</v>
      </c>
      <c r="AI326" s="29">
        <f t="shared" si="144"/>
        <v>0</v>
      </c>
      <c r="AJ326" s="29">
        <f t="shared" si="145"/>
        <v>31488.105600000003</v>
      </c>
      <c r="AK326" s="29">
        <v>28114.38</v>
      </c>
      <c r="AL326" s="29">
        <f>AB326-AK326</f>
        <v>0</v>
      </c>
      <c r="AM326" s="126"/>
      <c r="AN326" s="29"/>
      <c r="AO326" s="29">
        <v>28114.38</v>
      </c>
      <c r="AP326" s="29"/>
      <c r="AQ326" s="29">
        <v>28114.38</v>
      </c>
      <c r="AR326" s="35">
        <v>0.14000000000000001</v>
      </c>
      <c r="AS326" s="29">
        <f>AQ326*0.14</f>
        <v>3936.0132000000003</v>
      </c>
      <c r="AT326" s="29">
        <f>AQ326*1.14</f>
        <v>32050.393199999999</v>
      </c>
      <c r="AU326" s="29"/>
      <c r="AV326" s="29"/>
      <c r="AW326" s="29"/>
      <c r="AX326" s="29"/>
      <c r="AY326" s="29"/>
      <c r="AZ326" s="29"/>
      <c r="BA326" s="29"/>
      <c r="BB326" s="29"/>
      <c r="BC326" s="29"/>
      <c r="BD326" s="29"/>
      <c r="BE326" s="29"/>
      <c r="BF326" s="29">
        <f>AB326-AQ326</f>
        <v>0</v>
      </c>
      <c r="BG326" s="29">
        <f t="shared" si="139"/>
        <v>0</v>
      </c>
      <c r="BH326" s="29" t="s">
        <v>881</v>
      </c>
      <c r="BI326" s="23" t="s">
        <v>570</v>
      </c>
      <c r="BJ326" s="23" t="s">
        <v>570</v>
      </c>
      <c r="BK326" s="23"/>
      <c r="BL326" s="23"/>
      <c r="BM326" s="23"/>
      <c r="BN326" s="23">
        <v>42569</v>
      </c>
      <c r="BO326" s="13" t="s">
        <v>570</v>
      </c>
      <c r="BP326" s="13" t="s">
        <v>570</v>
      </c>
      <c r="BQ326" s="23">
        <v>42573</v>
      </c>
      <c r="BR326" s="13" t="s">
        <v>570</v>
      </c>
      <c r="BS326" s="23">
        <v>42573</v>
      </c>
      <c r="BT326" s="23">
        <v>42576</v>
      </c>
      <c r="BU326" s="13" t="s">
        <v>570</v>
      </c>
      <c r="BV326" s="13" t="s">
        <v>570</v>
      </c>
      <c r="BW326" s="13" t="s">
        <v>570</v>
      </c>
      <c r="BX326" s="23">
        <v>42612</v>
      </c>
      <c r="BY326" s="13" t="s">
        <v>570</v>
      </c>
      <c r="BZ326" s="23">
        <v>42612</v>
      </c>
      <c r="CA326" s="23">
        <v>42635</v>
      </c>
      <c r="CB326" s="224" t="s">
        <v>570</v>
      </c>
      <c r="CC326" s="224" t="s">
        <v>570</v>
      </c>
      <c r="CD326" s="224" t="s">
        <v>570</v>
      </c>
      <c r="CE326" s="13"/>
      <c r="CF326" s="13"/>
      <c r="CG326" s="13"/>
      <c r="CH326" s="13"/>
      <c r="CI326" s="13"/>
      <c r="CJ326" s="13"/>
      <c r="CK326" s="13"/>
      <c r="CL326" s="13"/>
      <c r="CM326" s="13"/>
      <c r="CN326" s="13"/>
      <c r="CO326" s="13"/>
      <c r="CP326" s="13"/>
      <c r="CQ326" s="13"/>
      <c r="CR326" s="13"/>
      <c r="CS326" s="29" t="s">
        <v>570</v>
      </c>
      <c r="CT326" s="29" t="s">
        <v>570</v>
      </c>
      <c r="CU326" s="29" t="s">
        <v>570</v>
      </c>
      <c r="CV326" s="23">
        <v>42650</v>
      </c>
      <c r="CW326" s="29">
        <v>8434.31</v>
      </c>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92">
        <f t="shared" si="136"/>
        <v>8434.31</v>
      </c>
      <c r="DZ326" s="13"/>
      <c r="EA326" s="13"/>
      <c r="EB326" s="13"/>
      <c r="EC326" s="13"/>
      <c r="ED326" s="13"/>
      <c r="EE326" s="13"/>
      <c r="EF326" s="13"/>
      <c r="EG326" s="13">
        <v>300</v>
      </c>
      <c r="EH326" s="13" t="s">
        <v>503</v>
      </c>
      <c r="EI326" s="13" t="s">
        <v>503</v>
      </c>
      <c r="EJ326" s="13" t="s">
        <v>503</v>
      </c>
      <c r="EK326" s="13"/>
      <c r="EL326" s="13"/>
      <c r="EM326" s="13"/>
      <c r="EN326" s="13"/>
      <c r="EO326" s="13"/>
      <c r="EP326" s="13"/>
      <c r="EQ326" s="13"/>
      <c r="ER326" s="13"/>
      <c r="ES326" s="13"/>
      <c r="ET326" s="13"/>
      <c r="EU326" s="13"/>
      <c r="EV326" s="13"/>
      <c r="EW326" s="13"/>
      <c r="EX326" s="13"/>
      <c r="EY326" s="13"/>
      <c r="EZ326" s="13"/>
      <c r="FA326" s="13"/>
      <c r="FB326" s="13"/>
      <c r="FC326" s="13"/>
      <c r="FD326" s="13"/>
      <c r="FE326" s="13"/>
      <c r="FF326" s="13"/>
      <c r="FG326" s="13"/>
      <c r="FH326" s="13"/>
      <c r="FI326" s="13"/>
      <c r="FJ326" s="13"/>
      <c r="FK326" s="13"/>
      <c r="FL326" s="13"/>
      <c r="FM326" s="13"/>
      <c r="FN326" s="13"/>
      <c r="FO326" s="13"/>
      <c r="FP326" s="13"/>
      <c r="FQ326" s="13"/>
      <c r="FR326" s="13"/>
      <c r="FS326" s="13"/>
      <c r="FT326" s="13"/>
      <c r="FU326" s="25" t="s">
        <v>1254</v>
      </c>
      <c r="FV326" s="25">
        <v>0.17499999999999999</v>
      </c>
      <c r="FW326" s="25">
        <v>0.17499999999999999</v>
      </c>
      <c r="FX326" s="25">
        <v>0.17499999999999999</v>
      </c>
      <c r="FY326" s="25">
        <v>0.2</v>
      </c>
      <c r="FZ326" s="25">
        <v>0.2</v>
      </c>
      <c r="GA326" s="25">
        <v>0.44</v>
      </c>
      <c r="GB326" s="25">
        <v>0.44</v>
      </c>
      <c r="GC326" s="25">
        <v>0.44</v>
      </c>
      <c r="GD326" s="25">
        <v>0.65</v>
      </c>
      <c r="GE326" s="25">
        <v>0.65</v>
      </c>
      <c r="GF326" s="25">
        <v>0.65</v>
      </c>
      <c r="GG326" s="25">
        <v>0.65</v>
      </c>
      <c r="GH326" s="25">
        <v>0.65</v>
      </c>
      <c r="GI326" s="25">
        <v>0.65</v>
      </c>
      <c r="GJ326" s="25">
        <v>0.65</v>
      </c>
      <c r="GK326" s="25">
        <v>0.65</v>
      </c>
      <c r="GL326" s="25">
        <v>0.65</v>
      </c>
      <c r="GM326" s="25">
        <v>0.65</v>
      </c>
      <c r="GN326" s="25">
        <v>0.65</v>
      </c>
      <c r="GO326" s="25">
        <v>0.65</v>
      </c>
      <c r="GP326" s="25">
        <v>0.65</v>
      </c>
      <c r="GQ326" s="25">
        <v>0.75</v>
      </c>
      <c r="GR326" s="25">
        <v>0.8</v>
      </c>
      <c r="GS326" s="25">
        <v>0.85</v>
      </c>
      <c r="GT326" s="25">
        <v>1</v>
      </c>
      <c r="GU326" s="25">
        <v>1</v>
      </c>
      <c r="GV326" s="25" t="s">
        <v>1588</v>
      </c>
      <c r="GW326" s="25" t="s">
        <v>1588</v>
      </c>
      <c r="GX326" s="25" t="s">
        <v>1588</v>
      </c>
      <c r="GY326" s="25" t="s">
        <v>1588</v>
      </c>
      <c r="GZ326" s="25" t="s">
        <v>1588</v>
      </c>
      <c r="HA326" s="25" t="s">
        <v>1588</v>
      </c>
      <c r="HB326" s="25" t="s">
        <v>1588</v>
      </c>
      <c r="HC326" s="25" t="s">
        <v>1588</v>
      </c>
      <c r="HD326" s="25" t="s">
        <v>1588</v>
      </c>
      <c r="HE326" s="25" t="s">
        <v>1588</v>
      </c>
      <c r="HF326" s="25" t="s">
        <v>1588</v>
      </c>
      <c r="HG326" s="25" t="s">
        <v>455</v>
      </c>
      <c r="HH326" s="25" t="s">
        <v>455</v>
      </c>
      <c r="HI326" s="25" t="s">
        <v>1645</v>
      </c>
      <c r="HJ326" s="25"/>
      <c r="HK326" s="25"/>
      <c r="HL326" s="25" t="s">
        <v>1718</v>
      </c>
      <c r="HM326" s="84" t="s">
        <v>1718</v>
      </c>
      <c r="HN326" s="84"/>
      <c r="HO326" s="84"/>
      <c r="HP326" s="84"/>
      <c r="HQ326" s="84"/>
      <c r="HR326" s="84"/>
      <c r="HS326" s="84"/>
      <c r="HT326" s="84"/>
      <c r="HU326" s="13"/>
      <c r="HV326" s="13"/>
      <c r="HW326" s="32"/>
      <c r="HX326" s="55"/>
      <c r="HY326" s="55"/>
      <c r="HZ326" s="55"/>
      <c r="IA326" s="55"/>
      <c r="IB326" s="55"/>
      <c r="IC326" s="55"/>
      <c r="ID326" s="55"/>
      <c r="IE326" s="55"/>
      <c r="IF326" s="107">
        <v>28114.38</v>
      </c>
      <c r="IG326" s="107"/>
      <c r="IH326" s="250">
        <f t="shared" si="146"/>
        <v>28114.38</v>
      </c>
      <c r="II326" s="55"/>
      <c r="IJ326" s="55"/>
      <c r="IK326" s="55"/>
      <c r="IL326" s="55"/>
      <c r="IM326" s="55"/>
      <c r="IN326" s="55"/>
      <c r="IO326" s="55"/>
      <c r="IP326" s="55"/>
      <c r="IQ326" s="55"/>
      <c r="IR326" s="55"/>
      <c r="IS326" s="55"/>
      <c r="IT326" s="55"/>
      <c r="IU326" s="55"/>
      <c r="IV326" s="55"/>
      <c r="IW326" s="55"/>
      <c r="IX326" s="55"/>
      <c r="IY326" s="55"/>
      <c r="IZ326" s="55"/>
      <c r="JA326" s="55"/>
      <c r="JB326" s="55"/>
      <c r="JC326" s="55"/>
      <c r="JD326" s="55">
        <v>2019</v>
      </c>
      <c r="JE326" s="5" t="s">
        <v>2015</v>
      </c>
    </row>
    <row r="327" spans="1:265" s="5" customFormat="1" ht="24.95" hidden="1" customHeight="1">
      <c r="A327" s="26" t="s">
        <v>16</v>
      </c>
      <c r="B327" s="26" t="s">
        <v>203</v>
      </c>
      <c r="C327" s="13" t="s">
        <v>349</v>
      </c>
      <c r="D327" s="13" t="s">
        <v>380</v>
      </c>
      <c r="E327" s="16" t="s">
        <v>350</v>
      </c>
      <c r="F327" s="13" t="s">
        <v>356</v>
      </c>
      <c r="G327" s="39" t="s">
        <v>351</v>
      </c>
      <c r="H327" s="28" t="s">
        <v>1518</v>
      </c>
      <c r="I327" s="20" t="s">
        <v>144</v>
      </c>
      <c r="J327" s="40">
        <v>3</v>
      </c>
      <c r="K327" s="49" t="s">
        <v>375</v>
      </c>
      <c r="L327" s="314" t="s">
        <v>2003</v>
      </c>
      <c r="M327" s="15" t="s">
        <v>286</v>
      </c>
      <c r="N327" s="43"/>
      <c r="O327" s="13" t="s">
        <v>206</v>
      </c>
      <c r="P327" s="13" t="s">
        <v>4</v>
      </c>
      <c r="Q327" s="22" t="s">
        <v>364</v>
      </c>
      <c r="R327" s="22" t="s">
        <v>877</v>
      </c>
      <c r="S327" s="13" t="s">
        <v>817</v>
      </c>
      <c r="T327" s="13" t="s">
        <v>1387</v>
      </c>
      <c r="U327" s="13" t="s">
        <v>477</v>
      </c>
      <c r="V327" s="13" t="s">
        <v>878</v>
      </c>
      <c r="W327" s="13" t="s">
        <v>570</v>
      </c>
      <c r="X327" s="13" t="s">
        <v>570</v>
      </c>
      <c r="Y327" s="13" t="s">
        <v>873</v>
      </c>
      <c r="Z327" s="13" t="s">
        <v>924</v>
      </c>
      <c r="AA327" s="29"/>
      <c r="AB327" s="29">
        <v>19660.84</v>
      </c>
      <c r="AC327" s="29">
        <v>0</v>
      </c>
      <c r="AD327" s="29">
        <v>19660.84</v>
      </c>
      <c r="AE327" s="29">
        <v>0</v>
      </c>
      <c r="AF327" s="29">
        <f t="shared" si="138"/>
        <v>19660.84</v>
      </c>
      <c r="AG327" s="25">
        <v>0.12</v>
      </c>
      <c r="AH327" s="29">
        <f t="shared" si="143"/>
        <v>2359.3008</v>
      </c>
      <c r="AI327" s="29">
        <f t="shared" si="144"/>
        <v>0</v>
      </c>
      <c r="AJ327" s="29">
        <f t="shared" si="145"/>
        <v>22020.140800000001</v>
      </c>
      <c r="AK327" s="29">
        <v>19660.830000000002</v>
      </c>
      <c r="AL327" s="29">
        <f>AB327-AK327</f>
        <v>9.9999999983992893E-3</v>
      </c>
      <c r="AM327" s="126"/>
      <c r="AN327" s="29"/>
      <c r="AO327" s="29">
        <v>19660.84</v>
      </c>
      <c r="AP327" s="29"/>
      <c r="AQ327" s="29">
        <v>19660.830000000002</v>
      </c>
      <c r="AR327" s="35">
        <v>0.14000000000000001</v>
      </c>
      <c r="AS327" s="29">
        <f>AQ327*0.14</f>
        <v>2752.5162000000005</v>
      </c>
      <c r="AT327" s="29">
        <f>AQ327*1.14</f>
        <v>22413.3462</v>
      </c>
      <c r="AU327" s="29"/>
      <c r="AV327" s="29"/>
      <c r="AW327" s="29"/>
      <c r="AX327" s="29"/>
      <c r="AY327" s="29"/>
      <c r="AZ327" s="29"/>
      <c r="BA327" s="29"/>
      <c r="BB327" s="29"/>
      <c r="BC327" s="29"/>
      <c r="BD327" s="29"/>
      <c r="BE327" s="29"/>
      <c r="BF327" s="29">
        <f>AB327-AQ327</f>
        <v>9.9999999983992893E-3</v>
      </c>
      <c r="BG327" s="29">
        <f t="shared" si="139"/>
        <v>9.9999999983992893E-3</v>
      </c>
      <c r="BH327" s="29" t="s">
        <v>881</v>
      </c>
      <c r="BI327" s="23" t="s">
        <v>570</v>
      </c>
      <c r="BJ327" s="23" t="s">
        <v>570</v>
      </c>
      <c r="BK327" s="23"/>
      <c r="BL327" s="23"/>
      <c r="BM327" s="23"/>
      <c r="BN327" s="23">
        <v>42569</v>
      </c>
      <c r="BO327" s="13" t="s">
        <v>570</v>
      </c>
      <c r="BP327" s="13" t="s">
        <v>570</v>
      </c>
      <c r="BQ327" s="23">
        <v>42573</v>
      </c>
      <c r="BR327" s="13" t="s">
        <v>570</v>
      </c>
      <c r="BS327" s="23">
        <v>42573</v>
      </c>
      <c r="BT327" s="23">
        <v>42576</v>
      </c>
      <c r="BU327" s="13" t="s">
        <v>570</v>
      </c>
      <c r="BV327" s="13" t="s">
        <v>570</v>
      </c>
      <c r="BW327" s="13" t="s">
        <v>570</v>
      </c>
      <c r="BX327" s="23">
        <v>42655</v>
      </c>
      <c r="BY327" s="13" t="s">
        <v>570</v>
      </c>
      <c r="BZ327" s="13" t="s">
        <v>503</v>
      </c>
      <c r="CA327" s="23">
        <v>42662</v>
      </c>
      <c r="CB327" s="224" t="s">
        <v>570</v>
      </c>
      <c r="CC327" s="224" t="s">
        <v>570</v>
      </c>
      <c r="CD327" s="224" t="s">
        <v>570</v>
      </c>
      <c r="CE327" s="13"/>
      <c r="CF327" s="13"/>
      <c r="CG327" s="13"/>
      <c r="CH327" s="13"/>
      <c r="CI327" s="13"/>
      <c r="CJ327" s="13"/>
      <c r="CK327" s="13"/>
      <c r="CL327" s="13"/>
      <c r="CM327" s="13"/>
      <c r="CN327" s="13"/>
      <c r="CO327" s="13"/>
      <c r="CP327" s="13"/>
      <c r="CQ327" s="13"/>
      <c r="CR327" s="13"/>
      <c r="CS327" s="29" t="s">
        <v>570</v>
      </c>
      <c r="CT327" s="29" t="s">
        <v>570</v>
      </c>
      <c r="CU327" s="29" t="s">
        <v>570</v>
      </c>
      <c r="CV327" s="23">
        <v>42713</v>
      </c>
      <c r="CW327" s="29">
        <v>5898.25</v>
      </c>
      <c r="CX327" s="13"/>
      <c r="CY327" s="23"/>
      <c r="CZ327" s="29"/>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92">
        <f t="shared" si="136"/>
        <v>5898.25</v>
      </c>
      <c r="DZ327" s="13"/>
      <c r="EA327" s="13"/>
      <c r="EB327" s="13"/>
      <c r="EC327" s="13"/>
      <c r="ED327" s="13"/>
      <c r="EE327" s="13"/>
      <c r="EF327" s="13"/>
      <c r="EG327" s="13">
        <v>300</v>
      </c>
      <c r="EH327" s="13" t="s">
        <v>879</v>
      </c>
      <c r="EI327" s="23">
        <v>42605</v>
      </c>
      <c r="EJ327" s="23">
        <f>EI327+EG327</f>
        <v>42905</v>
      </c>
      <c r="EK327" s="13"/>
      <c r="EL327" s="13"/>
      <c r="EM327" s="13"/>
      <c r="EN327" s="13"/>
      <c r="EO327" s="13"/>
      <c r="EP327" s="13"/>
      <c r="EQ327" s="13"/>
      <c r="ER327" s="13"/>
      <c r="ES327" s="13"/>
      <c r="ET327" s="13"/>
      <c r="EU327" s="13"/>
      <c r="EV327" s="13"/>
      <c r="EW327" s="13"/>
      <c r="EX327" s="13"/>
      <c r="EY327" s="13"/>
      <c r="EZ327" s="13"/>
      <c r="FA327" s="13"/>
      <c r="FB327" s="13"/>
      <c r="FC327" s="13"/>
      <c r="FD327" s="13"/>
      <c r="FE327" s="13"/>
      <c r="FF327" s="13"/>
      <c r="FG327" s="13"/>
      <c r="FH327" s="13"/>
      <c r="FI327" s="13"/>
      <c r="FJ327" s="13"/>
      <c r="FK327" s="13"/>
      <c r="FL327" s="13"/>
      <c r="FM327" s="13"/>
      <c r="FN327" s="13"/>
      <c r="FO327" s="13"/>
      <c r="FP327" s="13"/>
      <c r="FQ327" s="13"/>
      <c r="FR327" s="13"/>
      <c r="FS327" s="13"/>
      <c r="FT327" s="13"/>
      <c r="FU327" s="25" t="s">
        <v>1254</v>
      </c>
      <c r="FV327" s="25">
        <v>0.17499999999999999</v>
      </c>
      <c r="FW327" s="25">
        <v>0.17499999999999999</v>
      </c>
      <c r="FX327" s="25">
        <v>0.17499999999999999</v>
      </c>
      <c r="FY327" s="25">
        <v>0.2</v>
      </c>
      <c r="FZ327" s="25">
        <v>0.2</v>
      </c>
      <c r="GA327" s="25">
        <v>0.4</v>
      </c>
      <c r="GB327" s="25">
        <v>0.4</v>
      </c>
      <c r="GC327" s="25">
        <v>0.4</v>
      </c>
      <c r="GD327" s="25">
        <v>0.4</v>
      </c>
      <c r="GE327" s="25">
        <v>0.4</v>
      </c>
      <c r="GF327" s="25">
        <v>0.4</v>
      </c>
      <c r="GG327" s="25">
        <v>0.4</v>
      </c>
      <c r="GH327" s="25">
        <v>0.4</v>
      </c>
      <c r="GI327" s="25">
        <v>0.44</v>
      </c>
      <c r="GJ327" s="25">
        <v>0.44</v>
      </c>
      <c r="GK327" s="25">
        <v>0.44</v>
      </c>
      <c r="GL327" s="25">
        <v>0.44</v>
      </c>
      <c r="GM327" s="25">
        <v>0.44</v>
      </c>
      <c r="GN327" s="25">
        <v>0.44</v>
      </c>
      <c r="GO327" s="25">
        <v>0.95</v>
      </c>
      <c r="GP327" s="25">
        <v>0.98</v>
      </c>
      <c r="GQ327" s="25">
        <v>1</v>
      </c>
      <c r="GR327" s="25">
        <v>1</v>
      </c>
      <c r="GS327" s="25">
        <v>1</v>
      </c>
      <c r="GT327" s="25">
        <v>1</v>
      </c>
      <c r="GU327" s="25">
        <v>1</v>
      </c>
      <c r="GV327" s="25" t="s">
        <v>1588</v>
      </c>
      <c r="GW327" s="25" t="s">
        <v>1588</v>
      </c>
      <c r="GX327" s="25" t="s">
        <v>1588</v>
      </c>
      <c r="GY327" s="25" t="s">
        <v>1588</v>
      </c>
      <c r="GZ327" s="25" t="s">
        <v>1588</v>
      </c>
      <c r="HA327" s="25" t="s">
        <v>1588</v>
      </c>
      <c r="HB327" s="25" t="s">
        <v>1588</v>
      </c>
      <c r="HC327" s="25" t="s">
        <v>1588</v>
      </c>
      <c r="HD327" s="25" t="s">
        <v>1588</v>
      </c>
      <c r="HE327" s="25" t="s">
        <v>1588</v>
      </c>
      <c r="HF327" s="25" t="s">
        <v>1588</v>
      </c>
      <c r="HG327" s="25" t="s">
        <v>455</v>
      </c>
      <c r="HH327" s="25" t="s">
        <v>455</v>
      </c>
      <c r="HI327" s="25" t="s">
        <v>1645</v>
      </c>
      <c r="HJ327" s="25"/>
      <c r="HK327" s="25"/>
      <c r="HL327" s="25" t="s">
        <v>1683</v>
      </c>
      <c r="HM327" s="84" t="s">
        <v>1683</v>
      </c>
      <c r="HN327" s="84"/>
      <c r="HO327" s="84"/>
      <c r="HP327" s="84"/>
      <c r="HQ327" s="84"/>
      <c r="HR327" s="84"/>
      <c r="HS327" s="84"/>
      <c r="HT327" s="84"/>
      <c r="HU327" s="13"/>
      <c r="HV327" s="13"/>
      <c r="HW327" s="32"/>
      <c r="HX327" s="55"/>
      <c r="HY327" s="55"/>
      <c r="HZ327" s="55"/>
      <c r="IA327" s="55"/>
      <c r="IB327" s="55"/>
      <c r="IC327" s="55"/>
      <c r="ID327" s="55"/>
      <c r="IE327" s="55"/>
      <c r="IF327" s="107">
        <v>19660.84</v>
      </c>
      <c r="IG327" s="107"/>
      <c r="IH327" s="250">
        <f t="shared" si="146"/>
        <v>19660.830000000002</v>
      </c>
      <c r="II327" s="55"/>
      <c r="IJ327" s="55"/>
      <c r="IK327" s="55"/>
      <c r="IL327" s="55"/>
      <c r="IM327" s="55"/>
      <c r="IN327" s="55"/>
      <c r="IO327" s="55"/>
      <c r="IP327" s="55"/>
      <c r="IQ327" s="55"/>
      <c r="IR327" s="55"/>
      <c r="IS327" s="55"/>
      <c r="IT327" s="55"/>
      <c r="IU327" s="55"/>
      <c r="IV327" s="55"/>
      <c r="IW327" s="55"/>
      <c r="IX327" s="55"/>
      <c r="IY327" s="55"/>
      <c r="IZ327" s="55"/>
      <c r="JA327" s="55"/>
      <c r="JB327" s="55"/>
      <c r="JC327" s="55"/>
      <c r="JD327" s="55">
        <v>2019</v>
      </c>
    </row>
    <row r="328" spans="1:265" s="5" customFormat="1" ht="20.100000000000001" hidden="1" customHeight="1">
      <c r="A328" s="26" t="s">
        <v>19</v>
      </c>
      <c r="B328" s="26" t="s">
        <v>203</v>
      </c>
      <c r="C328" s="13" t="s">
        <v>349</v>
      </c>
      <c r="D328" s="13" t="s">
        <v>380</v>
      </c>
      <c r="E328" s="16" t="s">
        <v>360</v>
      </c>
      <c r="F328" s="13" t="s">
        <v>356</v>
      </c>
      <c r="G328" s="39" t="s">
        <v>354</v>
      </c>
      <c r="H328" s="39" t="s">
        <v>1580</v>
      </c>
      <c r="I328" s="313" t="s">
        <v>146</v>
      </c>
      <c r="J328" s="40">
        <v>2</v>
      </c>
      <c r="K328" s="49" t="s">
        <v>375</v>
      </c>
      <c r="L328" s="314" t="s">
        <v>287</v>
      </c>
      <c r="M328" s="15" t="s">
        <v>288</v>
      </c>
      <c r="N328" s="43"/>
      <c r="O328" s="13" t="s">
        <v>206</v>
      </c>
      <c r="P328" s="13" t="s">
        <v>4</v>
      </c>
      <c r="Q328" s="22" t="s">
        <v>794</v>
      </c>
      <c r="R328" s="22"/>
      <c r="S328" s="13"/>
      <c r="T328" s="13"/>
      <c r="U328" s="13"/>
      <c r="V328" s="13"/>
      <c r="W328" s="13" t="s">
        <v>570</v>
      </c>
      <c r="X328" s="13" t="s">
        <v>570</v>
      </c>
      <c r="Y328" s="13"/>
      <c r="Z328" s="13"/>
      <c r="AA328" s="29"/>
      <c r="AB328" s="29">
        <v>0</v>
      </c>
      <c r="AC328" s="29">
        <v>0</v>
      </c>
      <c r="AD328" s="29"/>
      <c r="AE328" s="29">
        <v>0</v>
      </c>
      <c r="AF328" s="29">
        <f t="shared" si="138"/>
        <v>0</v>
      </c>
      <c r="AG328" s="25">
        <v>0.12</v>
      </c>
      <c r="AH328" s="29">
        <f t="shared" si="143"/>
        <v>0</v>
      </c>
      <c r="AI328" s="29">
        <f t="shared" si="144"/>
        <v>0</v>
      </c>
      <c r="AJ328" s="29">
        <f t="shared" si="145"/>
        <v>0</v>
      </c>
      <c r="AK328" s="29"/>
      <c r="AL328" s="29"/>
      <c r="AM328" s="126"/>
      <c r="AN328" s="29"/>
      <c r="AO328" s="29"/>
      <c r="AP328" s="29"/>
      <c r="AQ328" s="29"/>
      <c r="AR328" s="29"/>
      <c r="AS328" s="29"/>
      <c r="AT328" s="29"/>
      <c r="AU328" s="29"/>
      <c r="AV328" s="29"/>
      <c r="AW328" s="29"/>
      <c r="AX328" s="29"/>
      <c r="AY328" s="29"/>
      <c r="AZ328" s="29"/>
      <c r="BA328" s="29"/>
      <c r="BB328" s="29"/>
      <c r="BC328" s="29"/>
      <c r="BD328" s="29"/>
      <c r="BE328" s="29"/>
      <c r="BF328" s="29"/>
      <c r="BG328" s="29">
        <f t="shared" si="139"/>
        <v>0</v>
      </c>
      <c r="BH328" s="29"/>
      <c r="BI328" s="29"/>
      <c r="BJ328" s="23" t="s">
        <v>570</v>
      </c>
      <c r="BK328" s="29"/>
      <c r="BL328" s="29"/>
      <c r="BM328" s="29"/>
      <c r="BN328" s="13"/>
      <c r="BO328" s="13"/>
      <c r="BP328" s="13"/>
      <c r="BQ328" s="13"/>
      <c r="BR328" s="13"/>
      <c r="BS328" s="13"/>
      <c r="BT328" s="13"/>
      <c r="BU328" s="13"/>
      <c r="BV328" s="13"/>
      <c r="BW328" s="13"/>
      <c r="BX328" s="13"/>
      <c r="BY328" s="13"/>
      <c r="BZ328" s="13"/>
      <c r="CA328" s="13"/>
      <c r="CB328" s="224" t="s">
        <v>570</v>
      </c>
      <c r="CC328" s="224" t="s">
        <v>570</v>
      </c>
      <c r="CD328" s="224" t="s">
        <v>570</v>
      </c>
      <c r="CE328" s="13" t="s">
        <v>570</v>
      </c>
      <c r="CF328" s="13" t="s">
        <v>570</v>
      </c>
      <c r="CG328" s="13" t="s">
        <v>570</v>
      </c>
      <c r="CH328" s="13" t="s">
        <v>570</v>
      </c>
      <c r="CI328" s="13" t="s">
        <v>570</v>
      </c>
      <c r="CJ328" s="13" t="s">
        <v>570</v>
      </c>
      <c r="CK328" s="13" t="s">
        <v>570</v>
      </c>
      <c r="CL328" s="13" t="s">
        <v>570</v>
      </c>
      <c r="CM328" s="13" t="s">
        <v>570</v>
      </c>
      <c r="CN328" s="13" t="s">
        <v>570</v>
      </c>
      <c r="CO328" s="13" t="s">
        <v>570</v>
      </c>
      <c r="CP328" s="13" t="s">
        <v>570</v>
      </c>
      <c r="CQ328" s="13" t="s">
        <v>570</v>
      </c>
      <c r="CR328" s="13" t="s">
        <v>570</v>
      </c>
      <c r="CS328" s="29" t="s">
        <v>570</v>
      </c>
      <c r="CT328" s="29" t="s">
        <v>570</v>
      </c>
      <c r="CU328" s="29" t="s">
        <v>570</v>
      </c>
      <c r="CV328" s="2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92">
        <f t="shared" si="136"/>
        <v>0</v>
      </c>
      <c r="DZ328" s="13"/>
      <c r="EA328" s="13"/>
      <c r="EB328" s="13"/>
      <c r="EC328" s="13"/>
      <c r="ED328" s="13"/>
      <c r="EE328" s="13"/>
      <c r="EF328" s="13"/>
      <c r="EG328" s="13"/>
      <c r="EH328" s="13"/>
      <c r="EI328" s="13"/>
      <c r="EJ328" s="13"/>
      <c r="EK328" s="13"/>
      <c r="EL328" s="13"/>
      <c r="EM328" s="13"/>
      <c r="EN328" s="13"/>
      <c r="EO328" s="13"/>
      <c r="EP328" s="13"/>
      <c r="EQ328" s="13"/>
      <c r="ER328" s="13"/>
      <c r="ES328" s="13"/>
      <c r="ET328" s="13"/>
      <c r="EU328" s="13"/>
      <c r="EV328" s="13"/>
      <c r="EW328" s="13"/>
      <c r="EX328" s="13"/>
      <c r="EY328" s="13"/>
      <c r="EZ328" s="13"/>
      <c r="FA328" s="13"/>
      <c r="FB328" s="13"/>
      <c r="FC328" s="13"/>
      <c r="FD328" s="13"/>
      <c r="FE328" s="13"/>
      <c r="FF328" s="13"/>
      <c r="FG328" s="13"/>
      <c r="FH328" s="13"/>
      <c r="FI328" s="13"/>
      <c r="FJ328" s="13"/>
      <c r="FK328" s="13"/>
      <c r="FL328" s="13"/>
      <c r="FM328" s="13"/>
      <c r="FN328" s="13"/>
      <c r="FO328" s="13"/>
      <c r="FP328" s="13"/>
      <c r="FQ328" s="13"/>
      <c r="FR328" s="13"/>
      <c r="FS328" s="13"/>
      <c r="FT328" s="13"/>
      <c r="FU328" s="13"/>
      <c r="FV328" s="25">
        <v>1</v>
      </c>
      <c r="FW328" s="25">
        <v>1</v>
      </c>
      <c r="FX328" s="25">
        <v>1</v>
      </c>
      <c r="FY328" s="25">
        <v>1</v>
      </c>
      <c r="FZ328" s="25">
        <v>1</v>
      </c>
      <c r="GA328" s="25">
        <v>1</v>
      </c>
      <c r="GB328" s="25">
        <v>1</v>
      </c>
      <c r="GC328" s="25">
        <v>1</v>
      </c>
      <c r="GD328" s="25">
        <v>1</v>
      </c>
      <c r="GE328" s="25">
        <v>1</v>
      </c>
      <c r="GF328" s="25">
        <v>1</v>
      </c>
      <c r="GG328" s="25">
        <v>1</v>
      </c>
      <c r="GH328" s="25">
        <v>1</v>
      </c>
      <c r="GI328" s="25">
        <v>1</v>
      </c>
      <c r="GJ328" s="25">
        <v>1</v>
      </c>
      <c r="GK328" s="25">
        <v>1</v>
      </c>
      <c r="GL328" s="25">
        <v>1</v>
      </c>
      <c r="GM328" s="25">
        <v>1</v>
      </c>
      <c r="GN328" s="25">
        <v>1</v>
      </c>
      <c r="GO328" s="25">
        <v>1</v>
      </c>
      <c r="GP328" s="25">
        <v>1</v>
      </c>
      <c r="GQ328" s="25">
        <v>1</v>
      </c>
      <c r="GR328" s="25">
        <v>1</v>
      </c>
      <c r="GS328" s="25">
        <v>1</v>
      </c>
      <c r="GT328" s="25">
        <v>1</v>
      </c>
      <c r="GU328" s="25">
        <v>1</v>
      </c>
      <c r="GV328" s="25" t="s">
        <v>1588</v>
      </c>
      <c r="GW328" s="25" t="s">
        <v>1588</v>
      </c>
      <c r="GX328" s="25" t="s">
        <v>1588</v>
      </c>
      <c r="GY328" s="25" t="s">
        <v>1588</v>
      </c>
      <c r="GZ328" s="25" t="s">
        <v>1588</v>
      </c>
      <c r="HA328" s="25" t="s">
        <v>1588</v>
      </c>
      <c r="HB328" s="25" t="s">
        <v>1588</v>
      </c>
      <c r="HC328" s="25" t="s">
        <v>1588</v>
      </c>
      <c r="HD328" s="25" t="s">
        <v>1588</v>
      </c>
      <c r="HE328" s="25" t="s">
        <v>1588</v>
      </c>
      <c r="HF328" s="25" t="s">
        <v>1588</v>
      </c>
      <c r="HG328" s="25" t="s">
        <v>1588</v>
      </c>
      <c r="HH328" s="25" t="s">
        <v>1588</v>
      </c>
      <c r="HI328" s="25"/>
      <c r="HJ328" s="25"/>
      <c r="HK328" s="25"/>
      <c r="HL328" s="25"/>
      <c r="HM328" s="84"/>
      <c r="HN328" s="84"/>
      <c r="HO328" s="84"/>
      <c r="HP328" s="84"/>
      <c r="HQ328" s="84"/>
      <c r="HR328" s="84"/>
      <c r="HS328" s="84"/>
      <c r="HT328" s="84"/>
      <c r="HU328" s="13" t="s">
        <v>443</v>
      </c>
      <c r="HV328" s="13"/>
      <c r="HW328" s="32"/>
      <c r="HX328" s="55"/>
      <c r="HY328" s="55"/>
      <c r="HZ328" s="55"/>
      <c r="IA328" s="55"/>
      <c r="IB328" s="55"/>
      <c r="IC328" s="55"/>
      <c r="ID328" s="55"/>
      <c r="IE328" s="55"/>
      <c r="IF328" s="107">
        <v>0</v>
      </c>
      <c r="IG328" s="107"/>
      <c r="IH328" s="250">
        <f t="shared" si="146"/>
        <v>0</v>
      </c>
      <c r="II328" s="55"/>
      <c r="IJ328" s="55"/>
      <c r="IK328" s="55"/>
      <c r="IL328" s="55"/>
      <c r="IM328" s="55"/>
      <c r="IN328" s="55"/>
      <c r="IO328" s="55"/>
      <c r="IP328" s="55"/>
      <c r="IQ328" s="55"/>
      <c r="IR328" s="55"/>
      <c r="IS328" s="55"/>
      <c r="IT328" s="55"/>
      <c r="IU328" s="55"/>
      <c r="IV328" s="55"/>
      <c r="IW328" s="55"/>
      <c r="IX328" s="55"/>
      <c r="IY328" s="55"/>
      <c r="IZ328" s="55"/>
      <c r="JA328" s="55"/>
      <c r="JB328" s="55"/>
      <c r="JC328" s="55"/>
      <c r="JD328" s="55">
        <v>2016</v>
      </c>
    </row>
    <row r="329" spans="1:265" s="5" customFormat="1" ht="20.100000000000001" hidden="1" customHeight="1">
      <c r="A329" s="26" t="s">
        <v>155</v>
      </c>
      <c r="B329" s="26" t="s">
        <v>203</v>
      </c>
      <c r="C329" s="13" t="s">
        <v>349</v>
      </c>
      <c r="D329" s="13" t="s">
        <v>382</v>
      </c>
      <c r="E329" s="16" t="s">
        <v>360</v>
      </c>
      <c r="F329" s="13" t="s">
        <v>356</v>
      </c>
      <c r="G329" s="39" t="s">
        <v>354</v>
      </c>
      <c r="H329" s="39" t="s">
        <v>1581</v>
      </c>
      <c r="I329" s="313" t="s">
        <v>321</v>
      </c>
      <c r="J329" s="40">
        <v>1</v>
      </c>
      <c r="K329" s="49" t="s">
        <v>375</v>
      </c>
      <c r="L329" s="314" t="s">
        <v>289</v>
      </c>
      <c r="M329" s="15" t="s">
        <v>290</v>
      </c>
      <c r="N329" s="20"/>
      <c r="O329" s="13" t="s">
        <v>206</v>
      </c>
      <c r="P329" s="13" t="s">
        <v>4</v>
      </c>
      <c r="Q329" s="22" t="s">
        <v>1118</v>
      </c>
      <c r="R329" s="314" t="s">
        <v>289</v>
      </c>
      <c r="S329" s="13" t="s">
        <v>914</v>
      </c>
      <c r="T329" s="13" t="s">
        <v>1387</v>
      </c>
      <c r="U329" s="13" t="s">
        <v>477</v>
      </c>
      <c r="V329" s="24">
        <v>1001993300001</v>
      </c>
      <c r="W329" s="13" t="s">
        <v>570</v>
      </c>
      <c r="X329" s="13" t="s">
        <v>570</v>
      </c>
      <c r="Y329" s="13" t="s">
        <v>915</v>
      </c>
      <c r="Z329" s="13"/>
      <c r="AA329" s="29"/>
      <c r="AB329" s="29">
        <v>21000</v>
      </c>
      <c r="AC329" s="29">
        <v>0</v>
      </c>
      <c r="AD329" s="29">
        <v>21000</v>
      </c>
      <c r="AE329" s="29">
        <v>0</v>
      </c>
      <c r="AF329" s="29">
        <f t="shared" si="138"/>
        <v>21000</v>
      </c>
      <c r="AG329" s="25">
        <v>0.12</v>
      </c>
      <c r="AH329" s="29">
        <f t="shared" si="143"/>
        <v>2520</v>
      </c>
      <c r="AI329" s="29">
        <f t="shared" si="144"/>
        <v>0</v>
      </c>
      <c r="AJ329" s="29">
        <f t="shared" si="145"/>
        <v>23520.000000000004</v>
      </c>
      <c r="AK329" s="29">
        <v>20676.399999999998</v>
      </c>
      <c r="AL329" s="29">
        <f t="shared" ref="AL329:AL337" si="148">AB329-AK329</f>
        <v>323.60000000000218</v>
      </c>
      <c r="AM329" s="126"/>
      <c r="AN329" s="29"/>
      <c r="AO329" s="29">
        <v>21000</v>
      </c>
      <c r="AP329" s="29"/>
      <c r="AQ329" s="29">
        <v>20676.41</v>
      </c>
      <c r="AR329" s="29"/>
      <c r="AS329" s="29"/>
      <c r="AT329" s="29"/>
      <c r="AU329" s="29"/>
      <c r="AV329" s="29"/>
      <c r="AW329" s="29"/>
      <c r="AX329" s="29"/>
      <c r="AY329" s="29"/>
      <c r="AZ329" s="29"/>
      <c r="BA329" s="29"/>
      <c r="BB329" s="29"/>
      <c r="BC329" s="29"/>
      <c r="BD329" s="29"/>
      <c r="BE329" s="29"/>
      <c r="BF329" s="29">
        <f t="shared" ref="BF329:BF348" si="149">AB329-AQ329</f>
        <v>323.59000000000015</v>
      </c>
      <c r="BG329" s="29">
        <f t="shared" si="139"/>
        <v>323.59000000000015</v>
      </c>
      <c r="BH329" s="93" t="s">
        <v>886</v>
      </c>
      <c r="BI329" s="23" t="s">
        <v>570</v>
      </c>
      <c r="BJ329" s="23" t="s">
        <v>570</v>
      </c>
      <c r="BK329" s="23"/>
      <c r="BL329" s="23"/>
      <c r="BM329" s="23"/>
      <c r="BN329" s="13" t="s">
        <v>916</v>
      </c>
      <c r="BO329" s="13" t="s">
        <v>570</v>
      </c>
      <c r="BP329" s="13" t="s">
        <v>570</v>
      </c>
      <c r="BQ329" s="23">
        <v>42291</v>
      </c>
      <c r="BR329" s="13" t="s">
        <v>570</v>
      </c>
      <c r="BS329" s="13" t="s">
        <v>570</v>
      </c>
      <c r="BT329" s="13" t="s">
        <v>570</v>
      </c>
      <c r="BU329" s="13" t="s">
        <v>570</v>
      </c>
      <c r="BV329" s="13" t="s">
        <v>570</v>
      </c>
      <c r="BW329" s="13" t="s">
        <v>570</v>
      </c>
      <c r="BX329" s="13" t="s">
        <v>570</v>
      </c>
      <c r="BY329" s="13" t="s">
        <v>570</v>
      </c>
      <c r="BZ329" s="23">
        <v>42306</v>
      </c>
      <c r="CA329" s="23">
        <v>42325</v>
      </c>
      <c r="CB329" s="224" t="s">
        <v>570</v>
      </c>
      <c r="CC329" s="224" t="s">
        <v>570</v>
      </c>
      <c r="CD329" s="224" t="s">
        <v>570</v>
      </c>
      <c r="CE329" s="13"/>
      <c r="CF329" s="13"/>
      <c r="CG329" s="13"/>
      <c r="CH329" s="13"/>
      <c r="CI329" s="13"/>
      <c r="CJ329" s="13"/>
      <c r="CK329" s="13"/>
      <c r="CL329" s="13"/>
      <c r="CM329" s="13"/>
      <c r="CN329" s="13"/>
      <c r="CO329" s="13"/>
      <c r="CP329" s="13"/>
      <c r="CQ329" s="13"/>
      <c r="CR329" s="13"/>
      <c r="CS329" s="29" t="s">
        <v>570</v>
      </c>
      <c r="CT329" s="29" t="s">
        <v>570</v>
      </c>
      <c r="CU329" s="29" t="s">
        <v>570</v>
      </c>
      <c r="CV329" s="99">
        <v>42611</v>
      </c>
      <c r="CW329" s="54">
        <v>7236.74</v>
      </c>
      <c r="CX329" s="170" t="s">
        <v>1486</v>
      </c>
      <c r="CY329" s="99">
        <v>42647</v>
      </c>
      <c r="CZ329" s="54">
        <v>7236.74</v>
      </c>
      <c r="DA329" s="80" t="s">
        <v>1487</v>
      </c>
      <c r="DB329" s="99">
        <v>42690</v>
      </c>
      <c r="DC329" s="54">
        <v>4135.28</v>
      </c>
      <c r="DD329" s="170" t="s">
        <v>1488</v>
      </c>
      <c r="DE329" s="99">
        <v>42821</v>
      </c>
      <c r="DF329" s="238">
        <v>2067.64</v>
      </c>
      <c r="DG329" s="13"/>
      <c r="DH329" s="13"/>
      <c r="DI329" s="13"/>
      <c r="DJ329" s="13"/>
      <c r="DK329" s="13"/>
      <c r="DL329" s="13"/>
      <c r="DM329" s="13"/>
      <c r="DN329" s="13"/>
      <c r="DO329" s="13"/>
      <c r="DP329" s="13"/>
      <c r="DQ329" s="13"/>
      <c r="DR329" s="13"/>
      <c r="DS329" s="13"/>
      <c r="DT329" s="13"/>
      <c r="DU329" s="13"/>
      <c r="DV329" s="13"/>
      <c r="DW329" s="13"/>
      <c r="DX329" s="13"/>
      <c r="DY329" s="92">
        <f t="shared" si="136"/>
        <v>20676.399999999998</v>
      </c>
      <c r="DZ329" s="13"/>
      <c r="EA329" s="13"/>
      <c r="EB329" s="13"/>
      <c r="EC329" s="13"/>
      <c r="ED329" s="13"/>
      <c r="EE329" s="13"/>
      <c r="EF329" s="13"/>
      <c r="EG329" s="24">
        <v>180</v>
      </c>
      <c r="EH329" s="13" t="s">
        <v>548</v>
      </c>
      <c r="EI329" s="23">
        <v>42355</v>
      </c>
      <c r="EJ329" s="23">
        <f>EI329+EG329</f>
        <v>42535</v>
      </c>
      <c r="EK329" s="13"/>
      <c r="EL329" s="13"/>
      <c r="EM329" s="13"/>
      <c r="EN329" s="13"/>
      <c r="EO329" s="13"/>
      <c r="EP329" s="13"/>
      <c r="EQ329" s="13"/>
      <c r="ER329" s="13"/>
      <c r="ES329" s="13"/>
      <c r="ET329" s="13"/>
      <c r="EU329" s="13"/>
      <c r="EV329" s="13"/>
      <c r="EW329" s="13"/>
      <c r="EX329" s="13"/>
      <c r="EY329" s="13"/>
      <c r="EZ329" s="13"/>
      <c r="FA329" s="13"/>
      <c r="FB329" s="13"/>
      <c r="FC329" s="13"/>
      <c r="FD329" s="13"/>
      <c r="FE329" s="13"/>
      <c r="FF329" s="13"/>
      <c r="FG329" s="13"/>
      <c r="FH329" s="25">
        <v>0.1</v>
      </c>
      <c r="FI329" s="25">
        <v>0.18</v>
      </c>
      <c r="FJ329" s="25">
        <v>0.28999999999999998</v>
      </c>
      <c r="FK329" s="25">
        <v>0.49880000000000002</v>
      </c>
      <c r="FL329" s="25">
        <v>0.67920000000000003</v>
      </c>
      <c r="FM329" s="25">
        <v>0.99</v>
      </c>
      <c r="FN329" s="25">
        <v>1</v>
      </c>
      <c r="FO329" s="25">
        <v>1</v>
      </c>
      <c r="FP329" s="25">
        <v>1</v>
      </c>
      <c r="FQ329" s="25">
        <v>1</v>
      </c>
      <c r="FR329" s="25">
        <v>1</v>
      </c>
      <c r="FS329" s="25">
        <v>1</v>
      </c>
      <c r="FT329" s="25">
        <v>1</v>
      </c>
      <c r="FU329" s="25">
        <v>1</v>
      </c>
      <c r="FV329" s="25">
        <v>1</v>
      </c>
      <c r="FW329" s="25">
        <v>1</v>
      </c>
      <c r="FX329" s="25">
        <v>1</v>
      </c>
      <c r="FY329" s="25">
        <v>1</v>
      </c>
      <c r="FZ329" s="25">
        <v>1</v>
      </c>
      <c r="GA329" s="25">
        <v>1</v>
      </c>
      <c r="GB329" s="25">
        <v>1</v>
      </c>
      <c r="GC329" s="25">
        <v>1</v>
      </c>
      <c r="GD329" s="25">
        <v>1</v>
      </c>
      <c r="GE329" s="25">
        <v>1</v>
      </c>
      <c r="GF329" s="25">
        <v>1</v>
      </c>
      <c r="GG329" s="25">
        <v>1</v>
      </c>
      <c r="GH329" s="25">
        <v>1</v>
      </c>
      <c r="GI329" s="25">
        <v>1</v>
      </c>
      <c r="GJ329" s="25">
        <v>1</v>
      </c>
      <c r="GK329" s="25">
        <v>1</v>
      </c>
      <c r="GL329" s="25">
        <v>1</v>
      </c>
      <c r="GM329" s="25">
        <v>1</v>
      </c>
      <c r="GN329" s="25">
        <v>1</v>
      </c>
      <c r="GO329" s="25">
        <v>1</v>
      </c>
      <c r="GP329" s="25">
        <v>1</v>
      </c>
      <c r="GQ329" s="25">
        <v>1</v>
      </c>
      <c r="GR329" s="25">
        <v>1</v>
      </c>
      <c r="GS329" s="25">
        <v>1</v>
      </c>
      <c r="GT329" s="25">
        <v>1</v>
      </c>
      <c r="GU329" s="25">
        <v>1</v>
      </c>
      <c r="GV329" s="25" t="s">
        <v>455</v>
      </c>
      <c r="GW329" s="25" t="s">
        <v>455</v>
      </c>
      <c r="GX329" s="25" t="s">
        <v>455</v>
      </c>
      <c r="GY329" s="25" t="s">
        <v>455</v>
      </c>
      <c r="GZ329" s="25" t="s">
        <v>455</v>
      </c>
      <c r="HA329" s="25" t="s">
        <v>455</v>
      </c>
      <c r="HB329" s="25" t="s">
        <v>455</v>
      </c>
      <c r="HC329" s="25" t="s">
        <v>455</v>
      </c>
      <c r="HD329" s="25" t="s">
        <v>455</v>
      </c>
      <c r="HE329" s="25" t="s">
        <v>455</v>
      </c>
      <c r="HF329" s="25" t="s">
        <v>455</v>
      </c>
      <c r="HG329" s="25" t="s">
        <v>455</v>
      </c>
      <c r="HH329" s="25" t="s">
        <v>455</v>
      </c>
      <c r="HI329" s="25"/>
      <c r="HJ329" s="25"/>
      <c r="HK329" s="25"/>
      <c r="HL329" s="25"/>
      <c r="HM329" s="84"/>
      <c r="HN329" s="84"/>
      <c r="HO329" s="84"/>
      <c r="HP329" s="84"/>
      <c r="HQ329" s="84"/>
      <c r="HR329" s="84"/>
      <c r="HS329" s="84"/>
      <c r="HT329" s="84"/>
      <c r="HU329" s="13"/>
      <c r="HV329" s="13"/>
      <c r="HW329" s="32"/>
      <c r="HX329" s="55"/>
      <c r="HY329" s="55"/>
      <c r="HZ329" s="55"/>
      <c r="IA329" s="55"/>
      <c r="IB329" s="55"/>
      <c r="IC329" s="55"/>
      <c r="ID329" s="55"/>
      <c r="IE329" s="55"/>
      <c r="IF329" s="107">
        <v>21000</v>
      </c>
      <c r="IG329" s="107">
        <v>20676.399999999998</v>
      </c>
      <c r="IH329" s="250">
        <f t="shared" si="146"/>
        <v>0</v>
      </c>
      <c r="II329" s="55"/>
      <c r="IJ329" s="55"/>
      <c r="IK329" s="55"/>
      <c r="IL329" s="55"/>
      <c r="IM329" s="55"/>
      <c r="IN329" s="55"/>
      <c r="IO329" s="55"/>
      <c r="IP329" s="55"/>
      <c r="IQ329" s="55"/>
      <c r="IR329" s="55"/>
      <c r="IS329" s="55"/>
      <c r="IT329" s="55"/>
      <c r="IU329" s="55"/>
      <c r="IV329" s="55"/>
      <c r="IW329" s="55"/>
      <c r="IX329" s="55"/>
      <c r="IY329" s="55"/>
      <c r="IZ329" s="55"/>
      <c r="JA329" s="55"/>
      <c r="JB329" s="55"/>
      <c r="JC329" s="55"/>
      <c r="JD329" s="55">
        <v>2016</v>
      </c>
    </row>
    <row r="330" spans="1:265" s="5" customFormat="1" ht="20.100000000000001" hidden="1" customHeight="1">
      <c r="A330" s="26" t="s">
        <v>155</v>
      </c>
      <c r="B330" s="26" t="s">
        <v>203</v>
      </c>
      <c r="C330" s="13" t="s">
        <v>349</v>
      </c>
      <c r="D330" s="13" t="s">
        <v>382</v>
      </c>
      <c r="E330" s="16" t="s">
        <v>360</v>
      </c>
      <c r="F330" s="13" t="s">
        <v>356</v>
      </c>
      <c r="G330" s="39" t="s">
        <v>354</v>
      </c>
      <c r="H330" s="39" t="s">
        <v>1581</v>
      </c>
      <c r="I330" s="313" t="s">
        <v>158</v>
      </c>
      <c r="J330" s="40">
        <v>2</v>
      </c>
      <c r="K330" s="49" t="s">
        <v>375</v>
      </c>
      <c r="L330" s="314" t="s">
        <v>291</v>
      </c>
      <c r="M330" s="15" t="s">
        <v>292</v>
      </c>
      <c r="N330" s="20"/>
      <c r="O330" s="13" t="s">
        <v>206</v>
      </c>
      <c r="P330" s="13" t="s">
        <v>4</v>
      </c>
      <c r="Q330" s="22" t="s">
        <v>1118</v>
      </c>
      <c r="R330" s="314" t="s">
        <v>291</v>
      </c>
      <c r="S330" s="13" t="s">
        <v>917</v>
      </c>
      <c r="T330" s="13" t="s">
        <v>1387</v>
      </c>
      <c r="U330" s="13" t="s">
        <v>477</v>
      </c>
      <c r="V330" s="24">
        <v>1002344909001</v>
      </c>
      <c r="W330" s="13" t="s">
        <v>570</v>
      </c>
      <c r="X330" s="13" t="s">
        <v>570</v>
      </c>
      <c r="Y330" s="13" t="s">
        <v>910</v>
      </c>
      <c r="Z330" s="13"/>
      <c r="AA330" s="29"/>
      <c r="AB330" s="29">
        <v>21000</v>
      </c>
      <c r="AC330" s="29">
        <v>0</v>
      </c>
      <c r="AD330" s="29">
        <v>21000</v>
      </c>
      <c r="AE330" s="29">
        <v>0</v>
      </c>
      <c r="AF330" s="29">
        <f t="shared" si="138"/>
        <v>21000</v>
      </c>
      <c r="AG330" s="25">
        <v>0.12</v>
      </c>
      <c r="AH330" s="29">
        <f t="shared" si="143"/>
        <v>2520</v>
      </c>
      <c r="AI330" s="29">
        <f t="shared" si="144"/>
        <v>0</v>
      </c>
      <c r="AJ330" s="29">
        <f t="shared" si="145"/>
        <v>23520.000000000004</v>
      </c>
      <c r="AK330" s="29">
        <v>20506.600000000002</v>
      </c>
      <c r="AL330" s="29">
        <f t="shared" si="148"/>
        <v>493.39999999999782</v>
      </c>
      <c r="AM330" s="126"/>
      <c r="AN330" s="29"/>
      <c r="AO330" s="29">
        <v>21000</v>
      </c>
      <c r="AP330" s="29"/>
      <c r="AQ330" s="29">
        <v>20506.59</v>
      </c>
      <c r="AR330" s="29"/>
      <c r="AS330" s="29"/>
      <c r="AT330" s="29"/>
      <c r="AU330" s="29"/>
      <c r="AV330" s="29"/>
      <c r="AW330" s="29"/>
      <c r="AX330" s="29"/>
      <c r="AY330" s="29"/>
      <c r="AZ330" s="29"/>
      <c r="BA330" s="29"/>
      <c r="BB330" s="29"/>
      <c r="BC330" s="29"/>
      <c r="BD330" s="29"/>
      <c r="BE330" s="29"/>
      <c r="BF330" s="29">
        <f t="shared" si="149"/>
        <v>493.40999999999985</v>
      </c>
      <c r="BG330" s="29">
        <f t="shared" si="139"/>
        <v>493.40999999999985</v>
      </c>
      <c r="BH330" s="93" t="s">
        <v>886</v>
      </c>
      <c r="BI330" s="23" t="s">
        <v>570</v>
      </c>
      <c r="BJ330" s="23" t="s">
        <v>570</v>
      </c>
      <c r="BK330" s="23"/>
      <c r="BL330" s="23"/>
      <c r="BM330" s="23"/>
      <c r="BN330" s="13" t="s">
        <v>916</v>
      </c>
      <c r="BO330" s="13" t="s">
        <v>570</v>
      </c>
      <c r="BP330" s="13" t="s">
        <v>570</v>
      </c>
      <c r="BQ330" s="23">
        <v>42291</v>
      </c>
      <c r="BR330" s="13" t="s">
        <v>570</v>
      </c>
      <c r="BS330" s="13" t="s">
        <v>570</v>
      </c>
      <c r="BT330" s="13" t="s">
        <v>570</v>
      </c>
      <c r="BU330" s="13" t="s">
        <v>570</v>
      </c>
      <c r="BV330" s="13" t="s">
        <v>570</v>
      </c>
      <c r="BW330" s="13" t="s">
        <v>570</v>
      </c>
      <c r="BX330" s="13" t="s">
        <v>570</v>
      </c>
      <c r="BY330" s="13" t="s">
        <v>570</v>
      </c>
      <c r="BZ330" s="23">
        <v>42306</v>
      </c>
      <c r="CA330" s="23">
        <v>42319</v>
      </c>
      <c r="CB330" s="224" t="s">
        <v>570</v>
      </c>
      <c r="CC330" s="224" t="s">
        <v>570</v>
      </c>
      <c r="CD330" s="224" t="s">
        <v>570</v>
      </c>
      <c r="CE330" s="13"/>
      <c r="CF330" s="13"/>
      <c r="CG330" s="13"/>
      <c r="CH330" s="13"/>
      <c r="CI330" s="13"/>
      <c r="CJ330" s="13"/>
      <c r="CK330" s="13"/>
      <c r="CL330" s="13"/>
      <c r="CM330" s="13"/>
      <c r="CN330" s="13"/>
      <c r="CO330" s="13"/>
      <c r="CP330" s="13"/>
      <c r="CQ330" s="13"/>
      <c r="CR330" s="13"/>
      <c r="CS330" s="29" t="s">
        <v>570</v>
      </c>
      <c r="CT330" s="29" t="s">
        <v>570</v>
      </c>
      <c r="CU330" s="29" t="s">
        <v>570</v>
      </c>
      <c r="CV330" s="23"/>
      <c r="CW330" s="13"/>
      <c r="CX330" s="13"/>
      <c r="CY330" s="23">
        <v>42605</v>
      </c>
      <c r="CZ330" s="29">
        <v>7177.31</v>
      </c>
      <c r="DA330" s="13"/>
      <c r="DB330" s="23">
        <v>42605</v>
      </c>
      <c r="DC330" s="29">
        <v>7177.31</v>
      </c>
      <c r="DD330" s="13"/>
      <c r="DE330" s="23">
        <v>42689</v>
      </c>
      <c r="DF330" s="29">
        <v>4101.32</v>
      </c>
      <c r="DG330" s="13"/>
      <c r="DH330" s="13"/>
      <c r="DI330" s="13"/>
      <c r="DJ330" s="13"/>
      <c r="DK330" s="13"/>
      <c r="DL330" s="13"/>
      <c r="DM330" s="13"/>
      <c r="DN330" s="13"/>
      <c r="DO330" s="13"/>
      <c r="DP330" s="13"/>
      <c r="DQ330" s="13"/>
      <c r="DR330" s="13"/>
      <c r="DS330" s="13"/>
      <c r="DT330" s="13"/>
      <c r="DU330" s="13"/>
      <c r="DV330" s="13"/>
      <c r="DW330" s="13"/>
      <c r="DX330" s="13"/>
      <c r="DY330" s="92">
        <f t="shared" si="136"/>
        <v>18455.940000000002</v>
      </c>
      <c r="DZ330" s="13"/>
      <c r="EA330" s="13"/>
      <c r="EB330" s="13"/>
      <c r="EC330" s="13"/>
      <c r="ED330" s="13"/>
      <c r="EE330" s="13"/>
      <c r="EF330" s="13"/>
      <c r="EG330" s="24">
        <v>180</v>
      </c>
      <c r="EH330" s="13" t="s">
        <v>548</v>
      </c>
      <c r="EI330" s="23">
        <v>42353</v>
      </c>
      <c r="EJ330" s="23">
        <f>EI330+EG330</f>
        <v>42533</v>
      </c>
      <c r="EK330" s="13"/>
      <c r="EL330" s="13"/>
      <c r="EM330" s="13"/>
      <c r="EN330" s="13"/>
      <c r="EO330" s="13"/>
      <c r="EP330" s="13"/>
      <c r="EQ330" s="13"/>
      <c r="ER330" s="13"/>
      <c r="ES330" s="13"/>
      <c r="ET330" s="13"/>
      <c r="EU330" s="13"/>
      <c r="EV330" s="13"/>
      <c r="EW330" s="13"/>
      <c r="EX330" s="13"/>
      <c r="EY330" s="13"/>
      <c r="EZ330" s="13"/>
      <c r="FA330" s="13"/>
      <c r="FB330" s="13"/>
      <c r="FC330" s="13"/>
      <c r="FD330" s="13"/>
      <c r="FE330" s="13"/>
      <c r="FF330" s="13"/>
      <c r="FG330" s="13"/>
      <c r="FH330" s="25">
        <v>0.15</v>
      </c>
      <c r="FI330" s="25">
        <v>0.28000000000000003</v>
      </c>
      <c r="FJ330" s="25">
        <v>0.3</v>
      </c>
      <c r="FK330" s="25">
        <v>0.5</v>
      </c>
      <c r="FL330" s="25">
        <v>0.75</v>
      </c>
      <c r="FM330" s="25">
        <v>0.8</v>
      </c>
      <c r="FN330" s="25">
        <v>0.88</v>
      </c>
      <c r="FO330" s="25">
        <v>1</v>
      </c>
      <c r="FP330" s="25">
        <v>1</v>
      </c>
      <c r="FQ330" s="25">
        <v>1</v>
      </c>
      <c r="FR330" s="25">
        <v>1</v>
      </c>
      <c r="FS330" s="25">
        <v>1</v>
      </c>
      <c r="FT330" s="25">
        <v>1</v>
      </c>
      <c r="FU330" s="25">
        <v>1</v>
      </c>
      <c r="FV330" s="25">
        <v>1</v>
      </c>
      <c r="FW330" s="25">
        <v>1</v>
      </c>
      <c r="FX330" s="25">
        <v>1</v>
      </c>
      <c r="FY330" s="25">
        <v>1</v>
      </c>
      <c r="FZ330" s="25">
        <v>1</v>
      </c>
      <c r="GA330" s="25">
        <v>1</v>
      </c>
      <c r="GB330" s="25">
        <v>1</v>
      </c>
      <c r="GC330" s="25">
        <v>1</v>
      </c>
      <c r="GD330" s="25">
        <v>1</v>
      </c>
      <c r="GE330" s="25">
        <v>1</v>
      </c>
      <c r="GF330" s="25">
        <v>1</v>
      </c>
      <c r="GG330" s="25">
        <v>1</v>
      </c>
      <c r="GH330" s="25">
        <v>1</v>
      </c>
      <c r="GI330" s="25">
        <v>1</v>
      </c>
      <c r="GJ330" s="25">
        <v>1</v>
      </c>
      <c r="GK330" s="25">
        <v>1</v>
      </c>
      <c r="GL330" s="25">
        <v>1</v>
      </c>
      <c r="GM330" s="25">
        <v>1</v>
      </c>
      <c r="GN330" s="25">
        <v>1</v>
      </c>
      <c r="GO330" s="25">
        <v>1</v>
      </c>
      <c r="GP330" s="25">
        <v>1</v>
      </c>
      <c r="GQ330" s="25">
        <v>1</v>
      </c>
      <c r="GR330" s="25">
        <v>1</v>
      </c>
      <c r="GS330" s="25">
        <v>1</v>
      </c>
      <c r="GT330" s="25">
        <v>1</v>
      </c>
      <c r="GU330" s="25">
        <v>1</v>
      </c>
      <c r="GV330" s="25" t="s">
        <v>455</v>
      </c>
      <c r="GW330" s="25" t="s">
        <v>455</v>
      </c>
      <c r="GX330" s="25" t="s">
        <v>455</v>
      </c>
      <c r="GY330" s="25" t="s">
        <v>455</v>
      </c>
      <c r="GZ330" s="25" t="s">
        <v>455</v>
      </c>
      <c r="HA330" s="25" t="s">
        <v>455</v>
      </c>
      <c r="HB330" s="25" t="s">
        <v>455</v>
      </c>
      <c r="HC330" s="25" t="s">
        <v>455</v>
      </c>
      <c r="HD330" s="25" t="s">
        <v>455</v>
      </c>
      <c r="HE330" s="25" t="s">
        <v>455</v>
      </c>
      <c r="HF330" s="25" t="s">
        <v>455</v>
      </c>
      <c r="HG330" s="25" t="s">
        <v>455</v>
      </c>
      <c r="HH330" s="25" t="s">
        <v>455</v>
      </c>
      <c r="HI330" s="25"/>
      <c r="HJ330" s="25"/>
      <c r="HK330" s="25"/>
      <c r="HL330" s="25"/>
      <c r="HM330" s="84"/>
      <c r="HN330" s="84"/>
      <c r="HO330" s="84"/>
      <c r="HP330" s="84"/>
      <c r="HQ330" s="84"/>
      <c r="HR330" s="84"/>
      <c r="HS330" s="84"/>
      <c r="HT330" s="84"/>
      <c r="HU330" s="13"/>
      <c r="HV330" s="13"/>
      <c r="HW330" s="32"/>
      <c r="HX330" s="55"/>
      <c r="HY330" s="55"/>
      <c r="HZ330" s="55"/>
      <c r="IA330" s="55"/>
      <c r="IB330" s="55"/>
      <c r="IC330" s="55"/>
      <c r="ID330" s="55"/>
      <c r="IE330" s="55"/>
      <c r="IF330" s="107">
        <v>21000</v>
      </c>
      <c r="IG330" s="107">
        <v>20506.600000000002</v>
      </c>
      <c r="IH330" s="250">
        <f t="shared" si="146"/>
        <v>0</v>
      </c>
      <c r="II330" s="55"/>
      <c r="IJ330" s="55"/>
      <c r="IK330" s="55"/>
      <c r="IL330" s="55"/>
      <c r="IM330" s="55"/>
      <c r="IN330" s="55"/>
      <c r="IO330" s="55"/>
      <c r="IP330" s="55"/>
      <c r="IQ330" s="55"/>
      <c r="IR330" s="55"/>
      <c r="IS330" s="55"/>
      <c r="IT330" s="55"/>
      <c r="IU330" s="55"/>
      <c r="IV330" s="55"/>
      <c r="IW330" s="55"/>
      <c r="IX330" s="55"/>
      <c r="IY330" s="55"/>
      <c r="IZ330" s="55"/>
      <c r="JA330" s="55"/>
      <c r="JB330" s="55"/>
      <c r="JC330" s="55"/>
      <c r="JD330" s="55">
        <v>2016</v>
      </c>
    </row>
    <row r="331" spans="1:265" s="5" customFormat="1" ht="20.100000000000001" hidden="1" customHeight="1">
      <c r="A331" s="26" t="s">
        <v>155</v>
      </c>
      <c r="B331" s="26" t="s">
        <v>203</v>
      </c>
      <c r="C331" s="13" t="s">
        <v>349</v>
      </c>
      <c r="D331" s="13" t="s">
        <v>382</v>
      </c>
      <c r="E331" s="16" t="s">
        <v>360</v>
      </c>
      <c r="F331" s="13" t="s">
        <v>356</v>
      </c>
      <c r="G331" s="39" t="s">
        <v>354</v>
      </c>
      <c r="H331" s="39" t="s">
        <v>1581</v>
      </c>
      <c r="I331" s="20" t="s">
        <v>160</v>
      </c>
      <c r="J331" s="40">
        <v>3</v>
      </c>
      <c r="K331" s="49" t="s">
        <v>375</v>
      </c>
      <c r="L331" s="314" t="s">
        <v>293</v>
      </c>
      <c r="M331" s="15" t="s">
        <v>294</v>
      </c>
      <c r="N331" s="20"/>
      <c r="O331" s="13" t="s">
        <v>206</v>
      </c>
      <c r="P331" s="13" t="s">
        <v>4</v>
      </c>
      <c r="Q331" s="22" t="s">
        <v>1118</v>
      </c>
      <c r="R331" s="314" t="s">
        <v>293</v>
      </c>
      <c r="S331" s="13" t="s">
        <v>918</v>
      </c>
      <c r="T331" s="13" t="s">
        <v>1387</v>
      </c>
      <c r="U331" s="13" t="s">
        <v>477</v>
      </c>
      <c r="V331" s="24">
        <v>1712452745001</v>
      </c>
      <c r="W331" s="13" t="s">
        <v>570</v>
      </c>
      <c r="X331" s="13" t="s">
        <v>570</v>
      </c>
      <c r="Y331" s="13" t="s">
        <v>919</v>
      </c>
      <c r="Z331" s="13"/>
      <c r="AA331" s="29"/>
      <c r="AB331" s="29">
        <v>25319.53</v>
      </c>
      <c r="AC331" s="29">
        <v>0</v>
      </c>
      <c r="AD331" s="29">
        <v>25319.531857142905</v>
      </c>
      <c r="AE331" s="29">
        <v>0</v>
      </c>
      <c r="AF331" s="29">
        <f t="shared" si="138"/>
        <v>25319.531857142905</v>
      </c>
      <c r="AG331" s="25">
        <v>0.12</v>
      </c>
      <c r="AH331" s="29">
        <f t="shared" si="143"/>
        <v>3038.3438228571486</v>
      </c>
      <c r="AI331" s="29">
        <f t="shared" si="144"/>
        <v>0</v>
      </c>
      <c r="AJ331" s="29">
        <f t="shared" si="145"/>
        <v>28357.875680000056</v>
      </c>
      <c r="AK331" s="29">
        <v>24050</v>
      </c>
      <c r="AL331" s="29">
        <f t="shared" si="148"/>
        <v>1269.5299999999988</v>
      </c>
      <c r="AM331" s="126"/>
      <c r="AN331" s="29"/>
      <c r="AO331" s="29">
        <v>25319.531857142905</v>
      </c>
      <c r="AP331" s="29"/>
      <c r="AQ331" s="29">
        <v>24050</v>
      </c>
      <c r="AR331" s="29"/>
      <c r="AS331" s="29"/>
      <c r="AT331" s="29"/>
      <c r="AU331" s="29"/>
      <c r="AV331" s="29"/>
      <c r="AW331" s="29"/>
      <c r="AX331" s="29"/>
      <c r="AY331" s="29"/>
      <c r="AZ331" s="29"/>
      <c r="BA331" s="29"/>
      <c r="BB331" s="29"/>
      <c r="BC331" s="29"/>
      <c r="BD331" s="29"/>
      <c r="BE331" s="29"/>
      <c r="BF331" s="29">
        <f t="shared" si="149"/>
        <v>1269.5299999999988</v>
      </c>
      <c r="BG331" s="29">
        <f t="shared" ref="BG331:BG351" si="150">BF331-AW331-AZ331-BC331-BE331</f>
        <v>1269.5299999999988</v>
      </c>
      <c r="BH331" s="93" t="s">
        <v>886</v>
      </c>
      <c r="BI331" s="23" t="s">
        <v>570</v>
      </c>
      <c r="BJ331" s="23" t="s">
        <v>570</v>
      </c>
      <c r="BK331" s="23"/>
      <c r="BL331" s="23"/>
      <c r="BM331" s="23"/>
      <c r="BN331" s="13" t="s">
        <v>916</v>
      </c>
      <c r="BO331" s="13" t="s">
        <v>570</v>
      </c>
      <c r="BP331" s="13" t="s">
        <v>570</v>
      </c>
      <c r="BQ331" s="23">
        <v>42291</v>
      </c>
      <c r="BR331" s="13" t="s">
        <v>570</v>
      </c>
      <c r="BS331" s="13" t="s">
        <v>570</v>
      </c>
      <c r="BT331" s="13" t="s">
        <v>570</v>
      </c>
      <c r="BU331" s="13" t="s">
        <v>570</v>
      </c>
      <c r="BV331" s="13" t="s">
        <v>570</v>
      </c>
      <c r="BW331" s="13" t="s">
        <v>570</v>
      </c>
      <c r="BX331" s="13" t="s">
        <v>570</v>
      </c>
      <c r="BY331" s="13" t="s">
        <v>570</v>
      </c>
      <c r="BZ331" s="23">
        <v>42342</v>
      </c>
      <c r="CA331" s="23">
        <v>42353</v>
      </c>
      <c r="CB331" s="224" t="s">
        <v>570</v>
      </c>
      <c r="CC331" s="224" t="s">
        <v>570</v>
      </c>
      <c r="CD331" s="224" t="s">
        <v>570</v>
      </c>
      <c r="CE331" s="13"/>
      <c r="CF331" s="13"/>
      <c r="CG331" s="13"/>
      <c r="CH331" s="13"/>
      <c r="CI331" s="13"/>
      <c r="CJ331" s="13"/>
      <c r="CK331" s="13"/>
      <c r="CL331" s="13"/>
      <c r="CM331" s="13"/>
      <c r="CN331" s="13"/>
      <c r="CO331" s="13"/>
      <c r="CP331" s="13"/>
      <c r="CQ331" s="13"/>
      <c r="CR331" s="13"/>
      <c r="CS331" s="29" t="s">
        <v>570</v>
      </c>
      <c r="CT331" s="29" t="s">
        <v>570</v>
      </c>
      <c r="CU331" s="29" t="s">
        <v>570</v>
      </c>
      <c r="CV331" s="23"/>
      <c r="CW331" s="13"/>
      <c r="CX331" s="80" t="s">
        <v>1034</v>
      </c>
      <c r="CY331" s="23">
        <v>42690</v>
      </c>
      <c r="CZ331" s="29">
        <v>8417.5</v>
      </c>
      <c r="DA331" s="80" t="s">
        <v>1035</v>
      </c>
      <c r="DB331" s="23">
        <v>42734</v>
      </c>
      <c r="DC331" s="29">
        <v>8417.5</v>
      </c>
      <c r="DD331" s="134" t="s">
        <v>1489</v>
      </c>
      <c r="DE331" s="23">
        <v>42829</v>
      </c>
      <c r="DF331" s="29">
        <v>4810</v>
      </c>
      <c r="DG331" s="13"/>
      <c r="DH331" s="13"/>
      <c r="DI331" s="13"/>
      <c r="DJ331" s="13"/>
      <c r="DK331" s="13"/>
      <c r="DL331" s="13"/>
      <c r="DM331" s="13"/>
      <c r="DN331" s="13"/>
      <c r="DO331" s="13"/>
      <c r="DP331" s="13"/>
      <c r="DQ331" s="13"/>
      <c r="DR331" s="13"/>
      <c r="DS331" s="13"/>
      <c r="DT331" s="13"/>
      <c r="DU331" s="13"/>
      <c r="DV331" s="13"/>
      <c r="DW331" s="13"/>
      <c r="DX331" s="13"/>
      <c r="DY331" s="92">
        <f t="shared" si="136"/>
        <v>21645</v>
      </c>
      <c r="DZ331" s="13"/>
      <c r="EA331" s="13"/>
      <c r="EB331" s="13"/>
      <c r="EC331" s="13"/>
      <c r="ED331" s="13"/>
      <c r="EE331" s="13"/>
      <c r="EF331" s="13"/>
      <c r="EG331" s="13">
        <v>240</v>
      </c>
      <c r="EH331" s="13" t="s">
        <v>548</v>
      </c>
      <c r="EI331" s="23">
        <v>42397</v>
      </c>
      <c r="EJ331" s="23">
        <f>EI331+EG331</f>
        <v>42637</v>
      </c>
      <c r="EK331" s="13"/>
      <c r="EL331" s="13"/>
      <c r="EM331" s="13"/>
      <c r="EN331" s="13"/>
      <c r="EO331" s="13"/>
      <c r="EP331" s="13"/>
      <c r="EQ331" s="13"/>
      <c r="ER331" s="13"/>
      <c r="ES331" s="13"/>
      <c r="ET331" s="13"/>
      <c r="EU331" s="13"/>
      <c r="EV331" s="13"/>
      <c r="EW331" s="13"/>
      <c r="EX331" s="13"/>
      <c r="EY331" s="13"/>
      <c r="EZ331" s="13"/>
      <c r="FA331" s="13"/>
      <c r="FB331" s="13"/>
      <c r="FC331" s="13"/>
      <c r="FD331" s="13"/>
      <c r="FE331" s="13"/>
      <c r="FF331" s="13"/>
      <c r="FG331" s="13"/>
      <c r="FH331" s="25"/>
      <c r="FI331" s="25"/>
      <c r="FJ331" s="25"/>
      <c r="FK331" s="25"/>
      <c r="FL331" s="25"/>
      <c r="FM331" s="25">
        <v>0.23</v>
      </c>
      <c r="FN331" s="25">
        <v>0.39240000000000003</v>
      </c>
      <c r="FO331" s="25">
        <v>0.52100000000000002</v>
      </c>
      <c r="FP331" s="25">
        <v>0.7177</v>
      </c>
      <c r="FQ331" s="25">
        <v>0.8</v>
      </c>
      <c r="FR331" s="25">
        <v>0.98</v>
      </c>
      <c r="FS331" s="25">
        <v>1</v>
      </c>
      <c r="FT331" s="25">
        <v>1</v>
      </c>
      <c r="FU331" s="25">
        <v>1</v>
      </c>
      <c r="FV331" s="25">
        <v>1</v>
      </c>
      <c r="FW331" s="25">
        <v>1</v>
      </c>
      <c r="FX331" s="25">
        <v>1</v>
      </c>
      <c r="FY331" s="25">
        <v>1</v>
      </c>
      <c r="FZ331" s="25">
        <v>1</v>
      </c>
      <c r="GA331" s="25">
        <v>1</v>
      </c>
      <c r="GB331" s="25">
        <v>1</v>
      </c>
      <c r="GC331" s="25">
        <v>1</v>
      </c>
      <c r="GD331" s="25">
        <v>1</v>
      </c>
      <c r="GE331" s="25">
        <v>1</v>
      </c>
      <c r="GF331" s="25">
        <v>1</v>
      </c>
      <c r="GG331" s="25">
        <v>1</v>
      </c>
      <c r="GH331" s="25">
        <v>1</v>
      </c>
      <c r="GI331" s="25">
        <v>1</v>
      </c>
      <c r="GJ331" s="25">
        <v>1</v>
      </c>
      <c r="GK331" s="25">
        <v>1</v>
      </c>
      <c r="GL331" s="25">
        <v>1</v>
      </c>
      <c r="GM331" s="25">
        <v>1</v>
      </c>
      <c r="GN331" s="25">
        <v>1</v>
      </c>
      <c r="GO331" s="25">
        <v>1</v>
      </c>
      <c r="GP331" s="25">
        <v>1</v>
      </c>
      <c r="GQ331" s="25">
        <v>1</v>
      </c>
      <c r="GR331" s="25">
        <v>1</v>
      </c>
      <c r="GS331" s="25">
        <v>1</v>
      </c>
      <c r="GT331" s="25">
        <v>1</v>
      </c>
      <c r="GU331" s="25">
        <v>1</v>
      </c>
      <c r="GV331" s="25" t="s">
        <v>455</v>
      </c>
      <c r="GW331" s="25" t="s">
        <v>455</v>
      </c>
      <c r="GX331" s="25" t="s">
        <v>455</v>
      </c>
      <c r="GY331" s="25" t="s">
        <v>455</v>
      </c>
      <c r="GZ331" s="25" t="s">
        <v>455</v>
      </c>
      <c r="HA331" s="25" t="s">
        <v>455</v>
      </c>
      <c r="HB331" s="25" t="s">
        <v>455</v>
      </c>
      <c r="HC331" s="25" t="s">
        <v>455</v>
      </c>
      <c r="HD331" s="25" t="s">
        <v>455</v>
      </c>
      <c r="HE331" s="25" t="s">
        <v>455</v>
      </c>
      <c r="HF331" s="25" t="s">
        <v>455</v>
      </c>
      <c r="HG331" s="25" t="s">
        <v>455</v>
      </c>
      <c r="HH331" s="25" t="s">
        <v>455</v>
      </c>
      <c r="HI331" s="25"/>
      <c r="HJ331" s="25"/>
      <c r="HK331" s="25"/>
      <c r="HL331" s="25"/>
      <c r="HM331" s="84"/>
      <c r="HN331" s="84"/>
      <c r="HO331" s="84"/>
      <c r="HP331" s="84"/>
      <c r="HQ331" s="84"/>
      <c r="HR331" s="84"/>
      <c r="HS331" s="84"/>
      <c r="HT331" s="84"/>
      <c r="HU331" s="13"/>
      <c r="HV331" s="13"/>
      <c r="HW331" s="32"/>
      <c r="HX331" s="55"/>
      <c r="HY331" s="55"/>
      <c r="HZ331" s="55"/>
      <c r="IA331" s="55"/>
      <c r="IB331" s="55"/>
      <c r="IC331" s="55"/>
      <c r="ID331" s="55"/>
      <c r="IE331" s="55"/>
      <c r="IF331" s="107">
        <v>25319.53</v>
      </c>
      <c r="IG331" s="107">
        <v>24050</v>
      </c>
      <c r="IH331" s="250">
        <f t="shared" si="146"/>
        <v>0</v>
      </c>
      <c r="II331" s="55"/>
      <c r="IJ331" s="55"/>
      <c r="IK331" s="55"/>
      <c r="IL331" s="55"/>
      <c r="IM331" s="55"/>
      <c r="IN331" s="55"/>
      <c r="IO331" s="55"/>
      <c r="IP331" s="55"/>
      <c r="IQ331" s="55"/>
      <c r="IR331" s="55"/>
      <c r="IS331" s="55"/>
      <c r="IT331" s="55"/>
      <c r="IU331" s="55"/>
      <c r="IV331" s="55"/>
      <c r="IW331" s="55"/>
      <c r="IX331" s="55"/>
      <c r="IY331" s="55"/>
      <c r="IZ331" s="55"/>
      <c r="JA331" s="55"/>
      <c r="JB331" s="55"/>
      <c r="JC331" s="55"/>
      <c r="JD331" s="55">
        <v>2016</v>
      </c>
    </row>
    <row r="332" spans="1:265" s="5" customFormat="1" ht="20.100000000000001" hidden="1" customHeight="1">
      <c r="A332" s="26" t="s">
        <v>175</v>
      </c>
      <c r="B332" s="26" t="s">
        <v>203</v>
      </c>
      <c r="C332" s="13" t="s">
        <v>349</v>
      </c>
      <c r="D332" s="13" t="s">
        <v>380</v>
      </c>
      <c r="E332" s="16" t="s">
        <v>360</v>
      </c>
      <c r="F332" s="13" t="s">
        <v>356</v>
      </c>
      <c r="G332" s="39" t="s">
        <v>354</v>
      </c>
      <c r="H332" s="13" t="s">
        <v>1552</v>
      </c>
      <c r="I332" s="47" t="s">
        <v>177</v>
      </c>
      <c r="J332" s="40">
        <v>1</v>
      </c>
      <c r="K332" s="49" t="s">
        <v>375</v>
      </c>
      <c r="L332" s="314" t="s">
        <v>295</v>
      </c>
      <c r="M332" s="14" t="s">
        <v>320</v>
      </c>
      <c r="N332" s="20"/>
      <c r="O332" s="13" t="s">
        <v>206</v>
      </c>
      <c r="P332" s="13" t="s">
        <v>4</v>
      </c>
      <c r="Q332" s="22" t="s">
        <v>1118</v>
      </c>
      <c r="R332" s="22" t="s">
        <v>535</v>
      </c>
      <c r="S332" s="13" t="s">
        <v>511</v>
      </c>
      <c r="T332" s="13" t="s">
        <v>1387</v>
      </c>
      <c r="U332" s="13" t="s">
        <v>477</v>
      </c>
      <c r="V332" s="13" t="s">
        <v>512</v>
      </c>
      <c r="W332" s="13" t="s">
        <v>570</v>
      </c>
      <c r="X332" s="13" t="s">
        <v>570</v>
      </c>
      <c r="Y332" s="13"/>
      <c r="Z332" s="13"/>
      <c r="AA332" s="29"/>
      <c r="AB332" s="29">
        <v>35000</v>
      </c>
      <c r="AC332" s="29">
        <v>0</v>
      </c>
      <c r="AD332" s="29">
        <v>35000</v>
      </c>
      <c r="AE332" s="29">
        <v>0</v>
      </c>
      <c r="AF332" s="29">
        <f t="shared" si="138"/>
        <v>35000</v>
      </c>
      <c r="AG332" s="25">
        <v>0.12</v>
      </c>
      <c r="AH332" s="29">
        <f t="shared" si="143"/>
        <v>4200</v>
      </c>
      <c r="AI332" s="29">
        <f t="shared" si="144"/>
        <v>0</v>
      </c>
      <c r="AJ332" s="29">
        <f t="shared" si="145"/>
        <v>39200.000000000007</v>
      </c>
      <c r="AK332" s="29">
        <v>35000</v>
      </c>
      <c r="AL332" s="29">
        <f t="shared" si="148"/>
        <v>0</v>
      </c>
      <c r="AM332" s="126"/>
      <c r="AN332" s="29"/>
      <c r="AO332" s="29">
        <v>35000</v>
      </c>
      <c r="AP332" s="29"/>
      <c r="AQ332" s="29">
        <v>35000</v>
      </c>
      <c r="AR332" s="29"/>
      <c r="AS332" s="29"/>
      <c r="AT332" s="29"/>
      <c r="AU332" s="29"/>
      <c r="AV332" s="29"/>
      <c r="AW332" s="29"/>
      <c r="AX332" s="29"/>
      <c r="AY332" s="29"/>
      <c r="AZ332" s="29"/>
      <c r="BA332" s="29"/>
      <c r="BB332" s="29"/>
      <c r="BC332" s="29"/>
      <c r="BD332" s="29"/>
      <c r="BE332" s="29"/>
      <c r="BF332" s="29">
        <f t="shared" si="149"/>
        <v>0</v>
      </c>
      <c r="BG332" s="29">
        <f t="shared" si="150"/>
        <v>0</v>
      </c>
      <c r="BH332" s="29"/>
      <c r="BI332" s="23" t="s">
        <v>570</v>
      </c>
      <c r="BJ332" s="23" t="s">
        <v>570</v>
      </c>
      <c r="BK332" s="23"/>
      <c r="BL332" s="23"/>
      <c r="BM332" s="23"/>
      <c r="BN332" s="13"/>
      <c r="BO332" s="13"/>
      <c r="BP332" s="13"/>
      <c r="BQ332" s="13"/>
      <c r="BR332" s="13"/>
      <c r="BS332" s="13"/>
      <c r="BT332" s="13"/>
      <c r="BU332" s="23">
        <v>42352</v>
      </c>
      <c r="BV332" s="23">
        <v>42353</v>
      </c>
      <c r="BW332" s="13" t="s">
        <v>570</v>
      </c>
      <c r="BX332" s="102" t="s">
        <v>570</v>
      </c>
      <c r="BY332" s="102" t="s">
        <v>570</v>
      </c>
      <c r="BZ332" s="102" t="s">
        <v>570</v>
      </c>
      <c r="CA332" s="23">
        <v>42362</v>
      </c>
      <c r="CB332" s="224" t="s">
        <v>570</v>
      </c>
      <c r="CC332" s="224" t="s">
        <v>570</v>
      </c>
      <c r="CD332" s="224" t="s">
        <v>570</v>
      </c>
      <c r="CE332" s="23"/>
      <c r="CF332" s="23"/>
      <c r="CG332" s="23"/>
      <c r="CH332" s="23"/>
      <c r="CI332" s="23"/>
      <c r="CJ332" s="23"/>
      <c r="CK332" s="23"/>
      <c r="CL332" s="23"/>
      <c r="CM332" s="23"/>
      <c r="CN332" s="23"/>
      <c r="CO332" s="23"/>
      <c r="CP332" s="23"/>
      <c r="CQ332" s="23"/>
      <c r="CR332" s="23"/>
      <c r="CS332" s="29" t="s">
        <v>570</v>
      </c>
      <c r="CT332" s="29" t="s">
        <v>570</v>
      </c>
      <c r="CU332" s="29" t="s">
        <v>570</v>
      </c>
      <c r="CV332" s="23"/>
      <c r="CW332" s="13"/>
      <c r="CX332" s="80" t="s">
        <v>1322</v>
      </c>
      <c r="CY332" s="23">
        <v>42621</v>
      </c>
      <c r="CZ332" s="29">
        <v>3500</v>
      </c>
      <c r="DA332" s="80" t="s">
        <v>1323</v>
      </c>
      <c r="DB332" s="23">
        <v>42640</v>
      </c>
      <c r="DC332" s="29">
        <v>8750</v>
      </c>
      <c r="DD332" s="197" t="s">
        <v>1324</v>
      </c>
      <c r="DE332" s="23">
        <v>42741</v>
      </c>
      <c r="DF332" s="29">
        <v>8750</v>
      </c>
      <c r="DG332" s="197" t="s">
        <v>1326</v>
      </c>
      <c r="DH332" s="23">
        <v>42741</v>
      </c>
      <c r="DI332" s="29">
        <v>10500</v>
      </c>
      <c r="DJ332" s="170" t="s">
        <v>1325</v>
      </c>
      <c r="DK332" s="23">
        <v>42775</v>
      </c>
      <c r="DL332" s="29">
        <v>3500</v>
      </c>
      <c r="DM332" s="13"/>
      <c r="DN332" s="13"/>
      <c r="DO332" s="13"/>
      <c r="DP332" s="13"/>
      <c r="DQ332" s="13"/>
      <c r="DR332" s="13"/>
      <c r="DS332" s="13"/>
      <c r="DT332" s="13"/>
      <c r="DU332" s="13"/>
      <c r="DV332" s="13"/>
      <c r="DW332" s="13"/>
      <c r="DX332" s="13"/>
      <c r="DY332" s="92">
        <f t="shared" si="136"/>
        <v>35000</v>
      </c>
      <c r="DZ332" s="13"/>
      <c r="EA332" s="13"/>
      <c r="EB332" s="13"/>
      <c r="EC332" s="13"/>
      <c r="ED332" s="13"/>
      <c r="EE332" s="13"/>
      <c r="EF332" s="13"/>
      <c r="EG332" s="13">
        <v>360</v>
      </c>
      <c r="EH332" s="13"/>
      <c r="EI332" s="13" t="s">
        <v>503</v>
      </c>
      <c r="EJ332" s="13" t="s">
        <v>503</v>
      </c>
      <c r="EK332" s="23"/>
      <c r="EL332" s="23"/>
      <c r="EM332" s="23"/>
      <c r="EN332" s="23"/>
      <c r="EO332" s="23"/>
      <c r="EP332" s="23"/>
      <c r="EQ332" s="23"/>
      <c r="ER332" s="23"/>
      <c r="ES332" s="23"/>
      <c r="ET332" s="23"/>
      <c r="EU332" s="23"/>
      <c r="EV332" s="23"/>
      <c r="EW332" s="23"/>
      <c r="EX332" s="23"/>
      <c r="EY332" s="23"/>
      <c r="EZ332" s="23"/>
      <c r="FA332" s="23"/>
      <c r="FB332" s="23"/>
      <c r="FC332" s="23"/>
      <c r="FD332" s="23"/>
      <c r="FE332" s="23"/>
      <c r="FF332" s="23"/>
      <c r="FG332" s="23"/>
      <c r="FH332" s="23"/>
      <c r="FI332" s="23"/>
      <c r="FJ332" s="23"/>
      <c r="FK332" s="23"/>
      <c r="FL332" s="23"/>
      <c r="FM332" s="23"/>
      <c r="FN332" s="23"/>
      <c r="FO332" s="23"/>
      <c r="FP332" s="23"/>
      <c r="FQ332" s="25">
        <v>0.5</v>
      </c>
      <c r="FR332" s="25">
        <v>0.5</v>
      </c>
      <c r="FS332" s="25">
        <v>0.5</v>
      </c>
      <c r="FT332" s="25">
        <v>0.8</v>
      </c>
      <c r="FU332" s="25">
        <v>0.8</v>
      </c>
      <c r="FV332" s="25">
        <v>0.85</v>
      </c>
      <c r="FW332" s="25">
        <v>0.85</v>
      </c>
      <c r="FX332" s="25">
        <v>0.85</v>
      </c>
      <c r="FY332" s="25">
        <v>0.91</v>
      </c>
      <c r="FZ332" s="25">
        <v>1</v>
      </c>
      <c r="GA332" s="25">
        <v>1</v>
      </c>
      <c r="GB332" s="25">
        <v>1</v>
      </c>
      <c r="GC332" s="25">
        <v>1</v>
      </c>
      <c r="GD332" s="25">
        <v>1</v>
      </c>
      <c r="GE332" s="25">
        <v>1</v>
      </c>
      <c r="GF332" s="25">
        <v>1</v>
      </c>
      <c r="GG332" s="25">
        <v>1</v>
      </c>
      <c r="GH332" s="25">
        <v>1</v>
      </c>
      <c r="GI332" s="25">
        <v>1</v>
      </c>
      <c r="GJ332" s="25">
        <v>1</v>
      </c>
      <c r="GK332" s="25">
        <v>1</v>
      </c>
      <c r="GL332" s="25">
        <v>1</v>
      </c>
      <c r="GM332" s="25">
        <v>1</v>
      </c>
      <c r="GN332" s="25">
        <v>1</v>
      </c>
      <c r="GO332" s="25">
        <v>1</v>
      </c>
      <c r="GP332" s="25">
        <v>1</v>
      </c>
      <c r="GQ332" s="25">
        <v>1</v>
      </c>
      <c r="GR332" s="25">
        <v>1</v>
      </c>
      <c r="GS332" s="25">
        <v>1</v>
      </c>
      <c r="GT332" s="25">
        <v>1</v>
      </c>
      <c r="GU332" s="25">
        <v>1</v>
      </c>
      <c r="GV332" s="25" t="s">
        <v>455</v>
      </c>
      <c r="GW332" s="25" t="s">
        <v>455</v>
      </c>
      <c r="GX332" s="25" t="s">
        <v>455</v>
      </c>
      <c r="GY332" s="25" t="s">
        <v>455</v>
      </c>
      <c r="GZ332" s="25" t="s">
        <v>455</v>
      </c>
      <c r="HA332" s="25" t="s">
        <v>455</v>
      </c>
      <c r="HB332" s="25" t="s">
        <v>455</v>
      </c>
      <c r="HC332" s="25" t="s">
        <v>455</v>
      </c>
      <c r="HD332" s="25" t="s">
        <v>455</v>
      </c>
      <c r="HE332" s="25" t="s">
        <v>455</v>
      </c>
      <c r="HF332" s="25" t="s">
        <v>455</v>
      </c>
      <c r="HG332" s="25" t="s">
        <v>455</v>
      </c>
      <c r="HH332" s="25" t="s">
        <v>455</v>
      </c>
      <c r="HI332" s="25"/>
      <c r="HJ332" s="25"/>
      <c r="HK332" s="25"/>
      <c r="HL332" s="25"/>
      <c r="HM332" s="84"/>
      <c r="HN332" s="84"/>
      <c r="HO332" s="84"/>
      <c r="HP332" s="84"/>
      <c r="HQ332" s="84"/>
      <c r="HR332" s="84"/>
      <c r="HS332" s="84"/>
      <c r="HT332" s="84"/>
      <c r="HU332" s="13"/>
      <c r="HV332" s="13"/>
      <c r="HW332" s="32"/>
      <c r="HX332" s="55"/>
      <c r="HY332" s="55"/>
      <c r="HZ332" s="55"/>
      <c r="IA332" s="55"/>
      <c r="IB332" s="55"/>
      <c r="IC332" s="55"/>
      <c r="ID332" s="55"/>
      <c r="IE332" s="55"/>
      <c r="IF332" s="107">
        <v>35000</v>
      </c>
      <c r="IG332" s="107">
        <v>35000</v>
      </c>
      <c r="IH332" s="250">
        <f t="shared" si="146"/>
        <v>0</v>
      </c>
      <c r="II332" s="55"/>
      <c r="IJ332" s="55"/>
      <c r="IK332" s="55"/>
      <c r="IL332" s="55"/>
      <c r="IM332" s="55"/>
      <c r="IN332" s="55"/>
      <c r="IO332" s="55"/>
      <c r="IP332" s="55"/>
      <c r="IQ332" s="55"/>
      <c r="IR332" s="55"/>
      <c r="IS332" s="55"/>
      <c r="IT332" s="55"/>
      <c r="IU332" s="55"/>
      <c r="IV332" s="55"/>
      <c r="IW332" s="55"/>
      <c r="IX332" s="55"/>
      <c r="IY332" s="55"/>
      <c r="IZ332" s="55"/>
      <c r="JA332" s="55"/>
      <c r="JB332" s="55"/>
      <c r="JC332" s="55"/>
      <c r="JD332" s="55">
        <v>2017</v>
      </c>
    </row>
    <row r="333" spans="1:265" s="5" customFormat="1" ht="20.100000000000001" hidden="1" customHeight="1">
      <c r="A333" s="26" t="s">
        <v>175</v>
      </c>
      <c r="B333" s="26" t="s">
        <v>203</v>
      </c>
      <c r="C333" s="13" t="s">
        <v>349</v>
      </c>
      <c r="D333" s="13" t="s">
        <v>380</v>
      </c>
      <c r="E333" s="16" t="s">
        <v>360</v>
      </c>
      <c r="F333" s="13" t="s">
        <v>356</v>
      </c>
      <c r="G333" s="39" t="s">
        <v>354</v>
      </c>
      <c r="H333" s="13" t="s">
        <v>1552</v>
      </c>
      <c r="I333" s="47" t="s">
        <v>177</v>
      </c>
      <c r="J333" s="40">
        <v>1</v>
      </c>
      <c r="K333" s="49" t="s">
        <v>375</v>
      </c>
      <c r="L333" s="314" t="s">
        <v>296</v>
      </c>
      <c r="M333" s="14" t="s">
        <v>297</v>
      </c>
      <c r="N333" s="20"/>
      <c r="O333" s="13" t="s">
        <v>206</v>
      </c>
      <c r="P333" s="13" t="s">
        <v>4</v>
      </c>
      <c r="Q333" s="22" t="s">
        <v>1118</v>
      </c>
      <c r="R333" s="13" t="s">
        <v>513</v>
      </c>
      <c r="S333" s="13" t="s">
        <v>514</v>
      </c>
      <c r="T333" s="13" t="s">
        <v>1387</v>
      </c>
      <c r="U333" s="26" t="s">
        <v>477</v>
      </c>
      <c r="V333" s="173" t="s">
        <v>515</v>
      </c>
      <c r="W333" s="13" t="s">
        <v>570</v>
      </c>
      <c r="X333" s="13" t="s">
        <v>570</v>
      </c>
      <c r="Y333" s="173"/>
      <c r="Z333" s="173"/>
      <c r="AA333" s="29"/>
      <c r="AB333" s="29">
        <v>35000</v>
      </c>
      <c r="AC333" s="29">
        <v>0</v>
      </c>
      <c r="AD333" s="29">
        <v>35000</v>
      </c>
      <c r="AE333" s="29">
        <v>0</v>
      </c>
      <c r="AF333" s="29">
        <f t="shared" si="138"/>
        <v>35000</v>
      </c>
      <c r="AG333" s="25">
        <v>0.12</v>
      </c>
      <c r="AH333" s="29">
        <f t="shared" si="143"/>
        <v>4200</v>
      </c>
      <c r="AI333" s="29">
        <f t="shared" si="144"/>
        <v>0</v>
      </c>
      <c r="AJ333" s="29">
        <f t="shared" si="145"/>
        <v>39200.000000000007</v>
      </c>
      <c r="AK333" s="29">
        <v>35000</v>
      </c>
      <c r="AL333" s="29">
        <f t="shared" si="148"/>
        <v>0</v>
      </c>
      <c r="AM333" s="126"/>
      <c r="AN333" s="29"/>
      <c r="AO333" s="29">
        <v>35000</v>
      </c>
      <c r="AP333" s="29"/>
      <c r="AQ333" s="29">
        <v>35000</v>
      </c>
      <c r="AR333" s="29"/>
      <c r="AS333" s="29"/>
      <c r="AT333" s="29"/>
      <c r="AU333" s="29"/>
      <c r="AV333" s="29"/>
      <c r="AW333" s="29"/>
      <c r="AX333" s="29"/>
      <c r="AY333" s="29"/>
      <c r="AZ333" s="29"/>
      <c r="BA333" s="29"/>
      <c r="BB333" s="29"/>
      <c r="BC333" s="29"/>
      <c r="BD333" s="29"/>
      <c r="BE333" s="29"/>
      <c r="BF333" s="29">
        <f t="shared" si="149"/>
        <v>0</v>
      </c>
      <c r="BG333" s="29">
        <f t="shared" si="150"/>
        <v>0</v>
      </c>
      <c r="BH333" s="29"/>
      <c r="BI333" s="23" t="s">
        <v>570</v>
      </c>
      <c r="BJ333" s="23" t="s">
        <v>570</v>
      </c>
      <c r="BK333" s="23"/>
      <c r="BL333" s="23"/>
      <c r="BM333" s="23"/>
      <c r="BN333" s="13"/>
      <c r="BO333" s="13"/>
      <c r="BP333" s="13"/>
      <c r="BQ333" s="13"/>
      <c r="BR333" s="13"/>
      <c r="BS333" s="13"/>
      <c r="BT333" s="13"/>
      <c r="BU333" s="23">
        <v>42353</v>
      </c>
      <c r="BV333" s="23">
        <v>42353</v>
      </c>
      <c r="BW333" s="13" t="s">
        <v>570</v>
      </c>
      <c r="BX333" s="102" t="s">
        <v>570</v>
      </c>
      <c r="BY333" s="102" t="s">
        <v>570</v>
      </c>
      <c r="BZ333" s="102" t="s">
        <v>570</v>
      </c>
      <c r="CA333" s="23">
        <v>42362</v>
      </c>
      <c r="CB333" s="224" t="s">
        <v>570</v>
      </c>
      <c r="CC333" s="224" t="s">
        <v>570</v>
      </c>
      <c r="CD333" s="224" t="s">
        <v>570</v>
      </c>
      <c r="CE333" s="23"/>
      <c r="CF333" s="23"/>
      <c r="CG333" s="23"/>
      <c r="CH333" s="23"/>
      <c r="CI333" s="23"/>
      <c r="CJ333" s="23"/>
      <c r="CK333" s="23"/>
      <c r="CL333" s="23"/>
      <c r="CM333" s="23"/>
      <c r="CN333" s="23"/>
      <c r="CO333" s="23"/>
      <c r="CP333" s="23"/>
      <c r="CQ333" s="23"/>
      <c r="CR333" s="23"/>
      <c r="CS333" s="29" t="s">
        <v>570</v>
      </c>
      <c r="CT333" s="29" t="s">
        <v>570</v>
      </c>
      <c r="CU333" s="29" t="s">
        <v>570</v>
      </c>
      <c r="CV333" s="23"/>
      <c r="CW333" s="13"/>
      <c r="CX333" s="170" t="s">
        <v>1327</v>
      </c>
      <c r="CY333" s="23">
        <v>42671</v>
      </c>
      <c r="CZ333" s="29">
        <v>3500</v>
      </c>
      <c r="DA333" s="170" t="s">
        <v>1328</v>
      </c>
      <c r="DB333" s="23">
        <v>42671</v>
      </c>
      <c r="DC333" s="29">
        <v>8750</v>
      </c>
      <c r="DD333" s="170" t="s">
        <v>1329</v>
      </c>
      <c r="DE333" s="23">
        <v>42741</v>
      </c>
      <c r="DF333" s="29">
        <v>8750</v>
      </c>
      <c r="DG333" s="170" t="s">
        <v>1330</v>
      </c>
      <c r="DH333" s="23">
        <v>42741</v>
      </c>
      <c r="DI333" s="29">
        <v>10500</v>
      </c>
      <c r="DJ333" s="170" t="s">
        <v>1331</v>
      </c>
      <c r="DK333" s="23">
        <v>42775</v>
      </c>
      <c r="DL333" s="29">
        <v>3500</v>
      </c>
      <c r="DM333" s="13"/>
      <c r="DN333" s="13"/>
      <c r="DO333" s="13"/>
      <c r="DP333" s="13"/>
      <c r="DQ333" s="13"/>
      <c r="DR333" s="13"/>
      <c r="DS333" s="13"/>
      <c r="DT333" s="13"/>
      <c r="DU333" s="13"/>
      <c r="DV333" s="13"/>
      <c r="DW333" s="13"/>
      <c r="DX333" s="13"/>
      <c r="DY333" s="92">
        <f t="shared" si="136"/>
        <v>35000</v>
      </c>
      <c r="DZ333" s="13"/>
      <c r="EA333" s="13"/>
      <c r="EB333" s="13"/>
      <c r="EC333" s="13"/>
      <c r="ED333" s="13"/>
      <c r="EE333" s="13"/>
      <c r="EF333" s="13"/>
      <c r="EG333" s="13">
        <v>360</v>
      </c>
      <c r="EH333" s="13"/>
      <c r="EI333" s="13" t="s">
        <v>503</v>
      </c>
      <c r="EJ333" s="13" t="s">
        <v>503</v>
      </c>
      <c r="EK333" s="23"/>
      <c r="EL333" s="23"/>
      <c r="EM333" s="23"/>
      <c r="EN333" s="23"/>
      <c r="EO333" s="23"/>
      <c r="EP333" s="23"/>
      <c r="EQ333" s="23"/>
      <c r="ER333" s="23"/>
      <c r="ES333" s="23"/>
      <c r="ET333" s="23"/>
      <c r="EU333" s="23"/>
      <c r="EV333" s="23"/>
      <c r="EW333" s="23"/>
      <c r="EX333" s="23"/>
      <c r="EY333" s="23"/>
      <c r="EZ333" s="23"/>
      <c r="FA333" s="23"/>
      <c r="FB333" s="23"/>
      <c r="FC333" s="23"/>
      <c r="FD333" s="23"/>
      <c r="FE333" s="23"/>
      <c r="FF333" s="23"/>
      <c r="FG333" s="23"/>
      <c r="FH333" s="23"/>
      <c r="FI333" s="23"/>
      <c r="FJ333" s="23"/>
      <c r="FK333" s="23"/>
      <c r="FL333" s="23"/>
      <c r="FM333" s="23"/>
      <c r="FN333" s="23"/>
      <c r="FO333" s="23"/>
      <c r="FP333" s="23"/>
      <c r="FQ333" s="25">
        <v>0.5</v>
      </c>
      <c r="FR333" s="25">
        <v>0.5</v>
      </c>
      <c r="FS333" s="25">
        <v>0.5</v>
      </c>
      <c r="FT333" s="25">
        <v>0.8</v>
      </c>
      <c r="FU333" s="25">
        <v>0.8</v>
      </c>
      <c r="FV333" s="25">
        <v>0.85</v>
      </c>
      <c r="FW333" s="25">
        <v>0.85</v>
      </c>
      <c r="FX333" s="25">
        <v>0.85</v>
      </c>
      <c r="FY333" s="25">
        <v>0.91</v>
      </c>
      <c r="FZ333" s="25">
        <v>1</v>
      </c>
      <c r="GA333" s="25">
        <v>1</v>
      </c>
      <c r="GB333" s="25">
        <v>1</v>
      </c>
      <c r="GC333" s="25">
        <v>1</v>
      </c>
      <c r="GD333" s="25">
        <v>1</v>
      </c>
      <c r="GE333" s="25">
        <v>1</v>
      </c>
      <c r="GF333" s="25">
        <v>1</v>
      </c>
      <c r="GG333" s="25">
        <v>1</v>
      </c>
      <c r="GH333" s="25">
        <v>1</v>
      </c>
      <c r="GI333" s="25">
        <v>1</v>
      </c>
      <c r="GJ333" s="25">
        <v>1</v>
      </c>
      <c r="GK333" s="25">
        <v>1</v>
      </c>
      <c r="GL333" s="25">
        <v>1</v>
      </c>
      <c r="GM333" s="25">
        <v>1</v>
      </c>
      <c r="GN333" s="25">
        <v>1</v>
      </c>
      <c r="GO333" s="25">
        <v>1</v>
      </c>
      <c r="GP333" s="25">
        <v>1</v>
      </c>
      <c r="GQ333" s="25">
        <v>1</v>
      </c>
      <c r="GR333" s="25">
        <v>1</v>
      </c>
      <c r="GS333" s="25">
        <v>1</v>
      </c>
      <c r="GT333" s="25">
        <v>1</v>
      </c>
      <c r="GU333" s="25">
        <v>1</v>
      </c>
      <c r="GV333" s="25" t="s">
        <v>455</v>
      </c>
      <c r="GW333" s="25" t="s">
        <v>455</v>
      </c>
      <c r="GX333" s="25" t="s">
        <v>455</v>
      </c>
      <c r="GY333" s="25" t="s">
        <v>455</v>
      </c>
      <c r="GZ333" s="25" t="s">
        <v>455</v>
      </c>
      <c r="HA333" s="25" t="s">
        <v>455</v>
      </c>
      <c r="HB333" s="25" t="s">
        <v>455</v>
      </c>
      <c r="HC333" s="25" t="s">
        <v>455</v>
      </c>
      <c r="HD333" s="25" t="s">
        <v>455</v>
      </c>
      <c r="HE333" s="25" t="s">
        <v>455</v>
      </c>
      <c r="HF333" s="25" t="s">
        <v>455</v>
      </c>
      <c r="HG333" s="25" t="s">
        <v>455</v>
      </c>
      <c r="HH333" s="25" t="s">
        <v>455</v>
      </c>
      <c r="HI333" s="25"/>
      <c r="HJ333" s="25"/>
      <c r="HK333" s="25"/>
      <c r="HL333" s="25"/>
      <c r="HM333" s="84"/>
      <c r="HN333" s="84"/>
      <c r="HO333" s="84"/>
      <c r="HP333" s="84"/>
      <c r="HQ333" s="84"/>
      <c r="HR333" s="84"/>
      <c r="HS333" s="84"/>
      <c r="HT333" s="84"/>
      <c r="HU333" s="13"/>
      <c r="HV333" s="13"/>
      <c r="HW333" s="32"/>
      <c r="HX333" s="55"/>
      <c r="HY333" s="55"/>
      <c r="HZ333" s="55"/>
      <c r="IA333" s="55"/>
      <c r="IB333" s="55"/>
      <c r="IC333" s="55"/>
      <c r="ID333" s="55"/>
      <c r="IE333" s="55"/>
      <c r="IF333" s="107">
        <v>35000</v>
      </c>
      <c r="IG333" s="107">
        <v>35000</v>
      </c>
      <c r="IH333" s="250">
        <f t="shared" si="146"/>
        <v>0</v>
      </c>
      <c r="II333" s="55"/>
      <c r="IJ333" s="55"/>
      <c r="IK333" s="55"/>
      <c r="IL333" s="55"/>
      <c r="IM333" s="55"/>
      <c r="IN333" s="55"/>
      <c r="IO333" s="55"/>
      <c r="IP333" s="55"/>
      <c r="IQ333" s="55"/>
      <c r="IR333" s="55"/>
      <c r="IS333" s="55"/>
      <c r="IT333" s="55"/>
      <c r="IU333" s="55"/>
      <c r="IV333" s="55"/>
      <c r="IW333" s="55"/>
      <c r="IX333" s="55"/>
      <c r="IY333" s="55"/>
      <c r="IZ333" s="55"/>
      <c r="JA333" s="55"/>
      <c r="JB333" s="55"/>
      <c r="JC333" s="55"/>
      <c r="JD333" s="55">
        <v>2017</v>
      </c>
    </row>
    <row r="334" spans="1:265" s="5" customFormat="1" ht="87" hidden="1" customHeight="1">
      <c r="A334" s="26" t="s">
        <v>175</v>
      </c>
      <c r="B334" s="26" t="s">
        <v>203</v>
      </c>
      <c r="C334" s="13" t="s">
        <v>349</v>
      </c>
      <c r="D334" s="13" t="s">
        <v>380</v>
      </c>
      <c r="E334" s="16" t="s">
        <v>360</v>
      </c>
      <c r="F334" s="13" t="s">
        <v>356</v>
      </c>
      <c r="G334" s="39" t="s">
        <v>354</v>
      </c>
      <c r="H334" s="13" t="s">
        <v>1552</v>
      </c>
      <c r="I334" s="47" t="s">
        <v>179</v>
      </c>
      <c r="J334" s="40">
        <v>2</v>
      </c>
      <c r="K334" s="49" t="s">
        <v>375</v>
      </c>
      <c r="L334" s="314" t="s">
        <v>298</v>
      </c>
      <c r="M334" s="15" t="s">
        <v>299</v>
      </c>
      <c r="N334" s="20"/>
      <c r="O334" s="13" t="s">
        <v>206</v>
      </c>
      <c r="P334" s="13" t="s">
        <v>4</v>
      </c>
      <c r="Q334" s="22" t="s">
        <v>1118</v>
      </c>
      <c r="R334" s="22" t="s">
        <v>516</v>
      </c>
      <c r="S334" s="13" t="s">
        <v>517</v>
      </c>
      <c r="T334" s="13" t="s">
        <v>1387</v>
      </c>
      <c r="U334" s="26" t="s">
        <v>477</v>
      </c>
      <c r="V334" s="173" t="s">
        <v>518</v>
      </c>
      <c r="W334" s="13" t="s">
        <v>570</v>
      </c>
      <c r="X334" s="13" t="s">
        <v>570</v>
      </c>
      <c r="Y334" s="173"/>
      <c r="Z334" s="173"/>
      <c r="AA334" s="29"/>
      <c r="AB334" s="29">
        <v>46900</v>
      </c>
      <c r="AC334" s="29">
        <v>0</v>
      </c>
      <c r="AD334" s="29">
        <v>46900</v>
      </c>
      <c r="AE334" s="29">
        <v>0</v>
      </c>
      <c r="AF334" s="29">
        <f t="shared" si="138"/>
        <v>46900</v>
      </c>
      <c r="AG334" s="25">
        <v>0.12</v>
      </c>
      <c r="AH334" s="29">
        <f t="shared" si="143"/>
        <v>5628</v>
      </c>
      <c r="AI334" s="29">
        <f t="shared" si="144"/>
        <v>0</v>
      </c>
      <c r="AJ334" s="29">
        <f t="shared" si="145"/>
        <v>52528.000000000007</v>
      </c>
      <c r="AK334" s="29">
        <v>46900</v>
      </c>
      <c r="AL334" s="29">
        <f t="shared" si="148"/>
        <v>0</v>
      </c>
      <c r="AM334" s="126"/>
      <c r="AN334" s="29"/>
      <c r="AO334" s="29">
        <v>46900</v>
      </c>
      <c r="AP334" s="29"/>
      <c r="AQ334" s="29">
        <v>46900</v>
      </c>
      <c r="AR334" s="29"/>
      <c r="AS334" s="29"/>
      <c r="AT334" s="29"/>
      <c r="AU334" s="29"/>
      <c r="AV334" s="29"/>
      <c r="AW334" s="29"/>
      <c r="AX334" s="29"/>
      <c r="AY334" s="29"/>
      <c r="AZ334" s="29"/>
      <c r="BA334" s="29"/>
      <c r="BB334" s="29"/>
      <c r="BC334" s="29"/>
      <c r="BD334" s="29"/>
      <c r="BE334" s="29"/>
      <c r="BF334" s="29">
        <f t="shared" si="149"/>
        <v>0</v>
      </c>
      <c r="BG334" s="29">
        <f t="shared" si="150"/>
        <v>0</v>
      </c>
      <c r="BH334" s="29"/>
      <c r="BI334" s="23" t="s">
        <v>570</v>
      </c>
      <c r="BJ334" s="23" t="s">
        <v>570</v>
      </c>
      <c r="BK334" s="23"/>
      <c r="BL334" s="23"/>
      <c r="BM334" s="23"/>
      <c r="BN334" s="13"/>
      <c r="BO334" s="13"/>
      <c r="BP334" s="13"/>
      <c r="BQ334" s="13"/>
      <c r="BR334" s="13"/>
      <c r="BS334" s="13"/>
      <c r="BT334" s="13"/>
      <c r="BU334" s="23">
        <v>42339</v>
      </c>
      <c r="BV334" s="23">
        <v>42353</v>
      </c>
      <c r="BW334" s="13" t="s">
        <v>570</v>
      </c>
      <c r="BX334" s="102" t="s">
        <v>570</v>
      </c>
      <c r="BY334" s="102" t="s">
        <v>570</v>
      </c>
      <c r="BZ334" s="102" t="s">
        <v>570</v>
      </c>
      <c r="CA334" s="23">
        <v>42360</v>
      </c>
      <c r="CB334" s="224" t="s">
        <v>570</v>
      </c>
      <c r="CC334" s="224" t="s">
        <v>570</v>
      </c>
      <c r="CD334" s="224" t="s">
        <v>570</v>
      </c>
      <c r="CE334" s="23"/>
      <c r="CF334" s="23"/>
      <c r="CG334" s="23"/>
      <c r="CH334" s="23"/>
      <c r="CI334" s="23"/>
      <c r="CJ334" s="23"/>
      <c r="CK334" s="23"/>
      <c r="CL334" s="23"/>
      <c r="CM334" s="23"/>
      <c r="CN334" s="23"/>
      <c r="CO334" s="23"/>
      <c r="CP334" s="23"/>
      <c r="CQ334" s="23"/>
      <c r="CR334" s="23"/>
      <c r="CS334" s="29" t="s">
        <v>570</v>
      </c>
      <c r="CT334" s="29" t="s">
        <v>570</v>
      </c>
      <c r="CU334" s="29" t="s">
        <v>570</v>
      </c>
      <c r="CV334" s="23"/>
      <c r="CW334" s="13"/>
      <c r="CX334" s="13"/>
      <c r="CY334" s="23">
        <v>42576</v>
      </c>
      <c r="CZ334" s="29">
        <v>4690</v>
      </c>
      <c r="DA334" s="29"/>
      <c r="DB334" s="23">
        <v>42703</v>
      </c>
      <c r="DC334" s="29">
        <v>11725</v>
      </c>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92">
        <f t="shared" si="136"/>
        <v>16415</v>
      </c>
      <c r="DZ334" s="13"/>
      <c r="EA334" s="13"/>
      <c r="EB334" s="13"/>
      <c r="EC334" s="13"/>
      <c r="ED334" s="13"/>
      <c r="EE334" s="13"/>
      <c r="EF334" s="13"/>
      <c r="EG334" s="13">
        <v>420</v>
      </c>
      <c r="EH334" s="13" t="s">
        <v>548</v>
      </c>
      <c r="EI334" s="23">
        <v>42452</v>
      </c>
      <c r="EJ334" s="23">
        <f>EI334+EG334</f>
        <v>42872</v>
      </c>
      <c r="EK334" s="23"/>
      <c r="EL334" s="23"/>
      <c r="EM334" s="23"/>
      <c r="EN334" s="23"/>
      <c r="EO334" s="23"/>
      <c r="EP334" s="23"/>
      <c r="EQ334" s="23"/>
      <c r="ER334" s="23"/>
      <c r="ES334" s="23"/>
      <c r="ET334" s="23"/>
      <c r="EU334" s="23"/>
      <c r="EV334" s="23"/>
      <c r="EW334" s="23"/>
      <c r="EX334" s="23"/>
      <c r="EY334" s="23"/>
      <c r="EZ334" s="23"/>
      <c r="FA334" s="23"/>
      <c r="FB334" s="23"/>
      <c r="FC334" s="23"/>
      <c r="FD334" s="23"/>
      <c r="FE334" s="13"/>
      <c r="FF334" s="13"/>
      <c r="FG334" s="13"/>
      <c r="FH334" s="13"/>
      <c r="FI334" s="13"/>
      <c r="FJ334" s="13"/>
      <c r="FK334" s="13"/>
      <c r="FL334" s="13"/>
      <c r="FM334" s="13"/>
      <c r="FN334" s="13"/>
      <c r="FO334" s="13"/>
      <c r="FP334" s="13"/>
      <c r="FQ334" s="13"/>
      <c r="FR334" s="25">
        <v>0.2</v>
      </c>
      <c r="FS334" s="25">
        <v>0.2</v>
      </c>
      <c r="FT334" s="25">
        <v>0.5</v>
      </c>
      <c r="FU334" s="25">
        <v>0.5</v>
      </c>
      <c r="FV334" s="25">
        <v>0.55000000000000004</v>
      </c>
      <c r="FW334" s="25">
        <v>0.55000000000000004</v>
      </c>
      <c r="FX334" s="25">
        <v>0.55000000000000004</v>
      </c>
      <c r="FY334" s="25">
        <v>0.55000000000000004</v>
      </c>
      <c r="FZ334" s="25">
        <v>0.55000000000000004</v>
      </c>
      <c r="GA334" s="25">
        <v>0.55000000000000004</v>
      </c>
      <c r="GB334" s="25">
        <v>0.55000000000000004</v>
      </c>
      <c r="GC334" s="25">
        <v>0.55000000000000004</v>
      </c>
      <c r="GD334" s="25">
        <v>0.55000000000000004</v>
      </c>
      <c r="GE334" s="25">
        <v>0.55000000000000004</v>
      </c>
      <c r="GF334" s="25">
        <v>1</v>
      </c>
      <c r="GG334" s="25">
        <v>1</v>
      </c>
      <c r="GH334" s="25">
        <v>1</v>
      </c>
      <c r="GI334" s="25">
        <v>1</v>
      </c>
      <c r="GJ334" s="25">
        <v>1</v>
      </c>
      <c r="GK334" s="25">
        <v>1</v>
      </c>
      <c r="GL334" s="25">
        <v>1</v>
      </c>
      <c r="GM334" s="25">
        <v>1</v>
      </c>
      <c r="GN334" s="25">
        <v>1</v>
      </c>
      <c r="GO334" s="25">
        <v>1</v>
      </c>
      <c r="GP334" s="25">
        <v>1</v>
      </c>
      <c r="GQ334" s="25">
        <v>1</v>
      </c>
      <c r="GR334" s="25">
        <v>1</v>
      </c>
      <c r="GS334" s="25">
        <v>1</v>
      </c>
      <c r="GT334" s="25">
        <v>1</v>
      </c>
      <c r="GU334" s="25">
        <v>1</v>
      </c>
      <c r="GV334" s="25" t="s">
        <v>1588</v>
      </c>
      <c r="GW334" s="25" t="s">
        <v>455</v>
      </c>
      <c r="GX334" s="25" t="s">
        <v>455</v>
      </c>
      <c r="GY334" s="25" t="s">
        <v>455</v>
      </c>
      <c r="GZ334" s="25" t="s">
        <v>455</v>
      </c>
      <c r="HA334" s="25" t="s">
        <v>455</v>
      </c>
      <c r="HB334" s="25" t="s">
        <v>455</v>
      </c>
      <c r="HC334" s="25" t="s">
        <v>455</v>
      </c>
      <c r="HD334" s="25" t="s">
        <v>455</v>
      </c>
      <c r="HE334" s="25" t="s">
        <v>455</v>
      </c>
      <c r="HF334" s="25" t="s">
        <v>455</v>
      </c>
      <c r="HG334" s="25" t="s">
        <v>455</v>
      </c>
      <c r="HH334" s="25" t="s">
        <v>455</v>
      </c>
      <c r="HI334" s="25"/>
      <c r="HJ334" s="25"/>
      <c r="HK334" s="25"/>
      <c r="HL334" s="25"/>
      <c r="HM334" s="84"/>
      <c r="HN334" s="84"/>
      <c r="HO334" s="84"/>
      <c r="HP334" s="84"/>
      <c r="HQ334" s="84"/>
      <c r="HR334" s="84"/>
      <c r="HS334" s="84"/>
      <c r="HT334" s="84"/>
      <c r="HU334" s="13"/>
      <c r="HV334" s="13"/>
      <c r="HW334" s="32"/>
      <c r="HX334" s="55"/>
      <c r="HY334" s="55"/>
      <c r="HZ334" s="55"/>
      <c r="IA334" s="55"/>
      <c r="IB334" s="55"/>
      <c r="IC334" s="55"/>
      <c r="ID334" s="55"/>
      <c r="IE334" s="55"/>
      <c r="IF334" s="107">
        <v>46900</v>
      </c>
      <c r="IG334" s="107">
        <v>46900</v>
      </c>
      <c r="IH334" s="250">
        <f t="shared" si="146"/>
        <v>0</v>
      </c>
      <c r="II334" s="55"/>
      <c r="IJ334" s="55"/>
      <c r="IK334" s="55"/>
      <c r="IL334" s="55"/>
      <c r="IM334" s="55"/>
      <c r="IN334" s="55"/>
      <c r="IO334" s="55"/>
      <c r="IP334" s="55"/>
      <c r="IQ334" s="55"/>
      <c r="IR334" s="55"/>
      <c r="IS334" s="55"/>
      <c r="IT334" s="55"/>
      <c r="IU334" s="55"/>
      <c r="IV334" s="55"/>
      <c r="IW334" s="55"/>
      <c r="IX334" s="55"/>
      <c r="IY334" s="55"/>
      <c r="IZ334" s="55"/>
      <c r="JA334" s="55"/>
      <c r="JB334" s="55"/>
      <c r="JC334" s="55"/>
      <c r="JD334" s="55">
        <v>2018</v>
      </c>
    </row>
    <row r="335" spans="1:265" s="5" customFormat="1" ht="79.5" hidden="1" customHeight="1">
      <c r="A335" s="26" t="s">
        <v>175</v>
      </c>
      <c r="B335" s="26" t="s">
        <v>203</v>
      </c>
      <c r="C335" s="13" t="s">
        <v>349</v>
      </c>
      <c r="D335" s="13" t="s">
        <v>380</v>
      </c>
      <c r="E335" s="16" t="s">
        <v>360</v>
      </c>
      <c r="F335" s="13" t="s">
        <v>356</v>
      </c>
      <c r="G335" s="39" t="s">
        <v>354</v>
      </c>
      <c r="H335" s="13" t="s">
        <v>1552</v>
      </c>
      <c r="I335" s="47" t="s">
        <v>179</v>
      </c>
      <c r="J335" s="40">
        <v>3</v>
      </c>
      <c r="K335" s="49" t="s">
        <v>375</v>
      </c>
      <c r="L335" s="314" t="s">
        <v>300</v>
      </c>
      <c r="M335" s="15" t="s">
        <v>301</v>
      </c>
      <c r="N335" s="20"/>
      <c r="O335" s="13" t="s">
        <v>206</v>
      </c>
      <c r="P335" s="13" t="s">
        <v>4</v>
      </c>
      <c r="Q335" s="22" t="s">
        <v>1118</v>
      </c>
      <c r="R335" s="22" t="s">
        <v>519</v>
      </c>
      <c r="S335" s="13" t="s">
        <v>520</v>
      </c>
      <c r="T335" s="13" t="s">
        <v>1387</v>
      </c>
      <c r="U335" s="26" t="s">
        <v>477</v>
      </c>
      <c r="V335" s="173" t="s">
        <v>521</v>
      </c>
      <c r="W335" s="13" t="s">
        <v>570</v>
      </c>
      <c r="X335" s="13" t="s">
        <v>570</v>
      </c>
      <c r="Y335" s="173"/>
      <c r="Z335" s="173"/>
      <c r="AA335" s="29"/>
      <c r="AB335" s="29">
        <v>43228.61</v>
      </c>
      <c r="AC335" s="29">
        <v>0</v>
      </c>
      <c r="AD335" s="29">
        <v>43228.61</v>
      </c>
      <c r="AE335" s="29">
        <v>0</v>
      </c>
      <c r="AF335" s="29">
        <f t="shared" si="138"/>
        <v>43228.61</v>
      </c>
      <c r="AG335" s="25">
        <v>0.12</v>
      </c>
      <c r="AH335" s="29">
        <f t="shared" si="143"/>
        <v>5187.4331999999995</v>
      </c>
      <c r="AI335" s="29">
        <f t="shared" si="144"/>
        <v>0</v>
      </c>
      <c r="AJ335" s="29">
        <f t="shared" si="145"/>
        <v>48416.043200000007</v>
      </c>
      <c r="AK335" s="29">
        <v>43228.6</v>
      </c>
      <c r="AL335" s="29">
        <f t="shared" si="148"/>
        <v>1.0000000002037268E-2</v>
      </c>
      <c r="AM335" s="126"/>
      <c r="AN335" s="29"/>
      <c r="AO335" s="29">
        <v>43228.61</v>
      </c>
      <c r="AP335" s="29"/>
      <c r="AQ335" s="29">
        <v>43228.61</v>
      </c>
      <c r="AR335" s="29"/>
      <c r="AS335" s="29"/>
      <c r="AT335" s="29"/>
      <c r="AU335" s="29"/>
      <c r="AV335" s="29"/>
      <c r="AW335" s="29"/>
      <c r="AX335" s="29"/>
      <c r="AY335" s="29"/>
      <c r="AZ335" s="29"/>
      <c r="BA335" s="29"/>
      <c r="BB335" s="29"/>
      <c r="BC335" s="29"/>
      <c r="BD335" s="29"/>
      <c r="BE335" s="29"/>
      <c r="BF335" s="29">
        <f t="shared" si="149"/>
        <v>0</v>
      </c>
      <c r="BG335" s="29">
        <f t="shared" si="150"/>
        <v>0</v>
      </c>
      <c r="BH335" s="29"/>
      <c r="BI335" s="23" t="s">
        <v>570</v>
      </c>
      <c r="BJ335" s="23" t="s">
        <v>570</v>
      </c>
      <c r="BK335" s="23"/>
      <c r="BL335" s="23"/>
      <c r="BM335" s="23"/>
      <c r="BN335" s="13"/>
      <c r="BO335" s="13"/>
      <c r="BP335" s="13"/>
      <c r="BQ335" s="13"/>
      <c r="BR335" s="13"/>
      <c r="BS335" s="13"/>
      <c r="BT335" s="13"/>
      <c r="BU335" s="23">
        <v>42339</v>
      </c>
      <c r="BV335" s="23">
        <v>42353</v>
      </c>
      <c r="BW335" s="13" t="s">
        <v>570</v>
      </c>
      <c r="BX335" s="102" t="s">
        <v>570</v>
      </c>
      <c r="BY335" s="102" t="s">
        <v>570</v>
      </c>
      <c r="BZ335" s="102" t="s">
        <v>570</v>
      </c>
      <c r="CA335" s="102">
        <v>42360</v>
      </c>
      <c r="CB335" s="224" t="s">
        <v>570</v>
      </c>
      <c r="CC335" s="224" t="s">
        <v>570</v>
      </c>
      <c r="CD335" s="224" t="s">
        <v>570</v>
      </c>
      <c r="CE335" s="102"/>
      <c r="CF335" s="102"/>
      <c r="CG335" s="102"/>
      <c r="CH335" s="102"/>
      <c r="CI335" s="102"/>
      <c r="CJ335" s="102"/>
      <c r="CK335" s="102"/>
      <c r="CL335" s="102"/>
      <c r="CM335" s="102"/>
      <c r="CN335" s="102"/>
      <c r="CO335" s="102"/>
      <c r="CP335" s="102"/>
      <c r="CQ335" s="102"/>
      <c r="CR335" s="102"/>
      <c r="CS335" s="29" t="s">
        <v>570</v>
      </c>
      <c r="CT335" s="29" t="s">
        <v>570</v>
      </c>
      <c r="CU335" s="29" t="s">
        <v>570</v>
      </c>
      <c r="CV335" s="23"/>
      <c r="CW335" s="13"/>
      <c r="CX335" s="170" t="s">
        <v>1332</v>
      </c>
      <c r="CY335" s="23">
        <v>42550</v>
      </c>
      <c r="CZ335" s="29">
        <v>4322.8599999999997</v>
      </c>
      <c r="DA335" s="197" t="s">
        <v>1333</v>
      </c>
      <c r="DB335" s="23">
        <v>42698</v>
      </c>
      <c r="DC335" s="29">
        <v>10807.15</v>
      </c>
      <c r="DD335" s="197" t="s">
        <v>1334</v>
      </c>
      <c r="DE335" s="23">
        <v>42741</v>
      </c>
      <c r="DF335" s="29">
        <v>10807.15</v>
      </c>
      <c r="DG335" s="13"/>
      <c r="DH335" s="13"/>
      <c r="DI335" s="13"/>
      <c r="DJ335" s="13"/>
      <c r="DK335" s="13"/>
      <c r="DL335" s="13"/>
      <c r="DM335" s="13"/>
      <c r="DN335" s="13"/>
      <c r="DO335" s="13"/>
      <c r="DP335" s="13"/>
      <c r="DQ335" s="13"/>
      <c r="DR335" s="13"/>
      <c r="DS335" s="13"/>
      <c r="DT335" s="13"/>
      <c r="DU335" s="13"/>
      <c r="DV335" s="13"/>
      <c r="DW335" s="13"/>
      <c r="DX335" s="13"/>
      <c r="DY335" s="92">
        <f t="shared" si="136"/>
        <v>25937.159999999996</v>
      </c>
      <c r="DZ335" s="13"/>
      <c r="EA335" s="13"/>
      <c r="EB335" s="13"/>
      <c r="EC335" s="13"/>
      <c r="ED335" s="13"/>
      <c r="EE335" s="13"/>
      <c r="EF335" s="13"/>
      <c r="EG335" s="13">
        <v>420</v>
      </c>
      <c r="EH335" s="13" t="s">
        <v>548</v>
      </c>
      <c r="EI335" s="23">
        <v>42390</v>
      </c>
      <c r="EJ335" s="23">
        <f>EI335+EG335</f>
        <v>42810</v>
      </c>
      <c r="EK335" s="23"/>
      <c r="EL335" s="23"/>
      <c r="EM335" s="23"/>
      <c r="EN335" s="23"/>
      <c r="EO335" s="23"/>
      <c r="EP335" s="23"/>
      <c r="EQ335" s="23"/>
      <c r="ER335" s="23"/>
      <c r="ES335" s="23"/>
      <c r="ET335" s="23"/>
      <c r="EU335" s="23"/>
      <c r="EV335" s="23"/>
      <c r="EW335" s="23"/>
      <c r="EX335" s="23"/>
      <c r="EY335" s="23"/>
      <c r="EZ335" s="23"/>
      <c r="FA335" s="23"/>
      <c r="FB335" s="23"/>
      <c r="FC335" s="23"/>
      <c r="FD335" s="23"/>
      <c r="FE335" s="13"/>
      <c r="FF335" s="13"/>
      <c r="FG335" s="13"/>
      <c r="FH335" s="13"/>
      <c r="FI335" s="13"/>
      <c r="FJ335" s="13"/>
      <c r="FK335" s="13"/>
      <c r="FL335" s="13"/>
      <c r="FM335" s="13"/>
      <c r="FN335" s="13"/>
      <c r="FO335" s="13"/>
      <c r="FP335" s="13"/>
      <c r="FQ335" s="13"/>
      <c r="FR335" s="25">
        <v>0.2</v>
      </c>
      <c r="FS335" s="25">
        <v>0.2</v>
      </c>
      <c r="FT335" s="25">
        <v>0.2</v>
      </c>
      <c r="FU335" s="25">
        <v>0.5</v>
      </c>
      <c r="FV335" s="25">
        <v>0.55000000000000004</v>
      </c>
      <c r="FW335" s="25">
        <v>0.55000000000000004</v>
      </c>
      <c r="FX335" s="25">
        <v>0.55000000000000004</v>
      </c>
      <c r="FY335" s="25">
        <v>0.55000000000000004</v>
      </c>
      <c r="FZ335" s="25">
        <v>0.82</v>
      </c>
      <c r="GA335" s="25">
        <v>0.82</v>
      </c>
      <c r="GB335" s="25">
        <v>0.82</v>
      </c>
      <c r="GC335" s="25">
        <v>0.82</v>
      </c>
      <c r="GD335" s="25">
        <v>0.82</v>
      </c>
      <c r="GE335" s="25">
        <v>0.82</v>
      </c>
      <c r="GF335" s="25">
        <v>1</v>
      </c>
      <c r="GG335" s="25">
        <v>1</v>
      </c>
      <c r="GH335" s="25">
        <v>1</v>
      </c>
      <c r="GI335" s="25">
        <v>1</v>
      </c>
      <c r="GJ335" s="25">
        <v>1</v>
      </c>
      <c r="GK335" s="25">
        <v>1</v>
      </c>
      <c r="GL335" s="25">
        <v>1</v>
      </c>
      <c r="GM335" s="25">
        <v>1</v>
      </c>
      <c r="GN335" s="25">
        <v>1</v>
      </c>
      <c r="GO335" s="25">
        <v>1</v>
      </c>
      <c r="GP335" s="25">
        <v>1</v>
      </c>
      <c r="GQ335" s="25">
        <v>1</v>
      </c>
      <c r="GR335" s="25">
        <v>1</v>
      </c>
      <c r="GS335" s="25">
        <v>1</v>
      </c>
      <c r="GT335" s="25">
        <v>1</v>
      </c>
      <c r="GU335" s="25">
        <v>1</v>
      </c>
      <c r="GV335" s="25" t="s">
        <v>1588</v>
      </c>
      <c r="GW335" s="25" t="s">
        <v>455</v>
      </c>
      <c r="GX335" s="25" t="s">
        <v>455</v>
      </c>
      <c r="GY335" s="25" t="s">
        <v>455</v>
      </c>
      <c r="GZ335" s="25" t="s">
        <v>455</v>
      </c>
      <c r="HA335" s="25" t="s">
        <v>455</v>
      </c>
      <c r="HB335" s="25" t="s">
        <v>455</v>
      </c>
      <c r="HC335" s="25" t="s">
        <v>455</v>
      </c>
      <c r="HD335" s="25" t="s">
        <v>455</v>
      </c>
      <c r="HE335" s="25" t="s">
        <v>455</v>
      </c>
      <c r="HF335" s="25" t="s">
        <v>455</v>
      </c>
      <c r="HG335" s="25" t="s">
        <v>455</v>
      </c>
      <c r="HH335" s="25" t="s">
        <v>455</v>
      </c>
      <c r="HI335" s="25"/>
      <c r="HJ335" s="25"/>
      <c r="HK335" s="25"/>
      <c r="HL335" s="25"/>
      <c r="HM335" s="84"/>
      <c r="HN335" s="84"/>
      <c r="HO335" s="84"/>
      <c r="HP335" s="84"/>
      <c r="HQ335" s="84"/>
      <c r="HR335" s="84"/>
      <c r="HS335" s="84"/>
      <c r="HT335" s="84"/>
      <c r="HU335" s="13"/>
      <c r="HV335" s="13"/>
      <c r="HW335" s="32"/>
      <c r="HX335" s="55"/>
      <c r="HY335" s="55"/>
      <c r="HZ335" s="55"/>
      <c r="IA335" s="55"/>
      <c r="IB335" s="55"/>
      <c r="IC335" s="55"/>
      <c r="ID335" s="55"/>
      <c r="IE335" s="55"/>
      <c r="IF335" s="107">
        <v>43228.61</v>
      </c>
      <c r="IG335" s="107">
        <v>43228.6</v>
      </c>
      <c r="IH335" s="250">
        <f t="shared" si="146"/>
        <v>0</v>
      </c>
      <c r="II335" s="55"/>
      <c r="IJ335" s="55"/>
      <c r="IK335" s="55"/>
      <c r="IL335" s="55"/>
      <c r="IM335" s="55"/>
      <c r="IN335" s="55"/>
      <c r="IO335" s="55"/>
      <c r="IP335" s="55"/>
      <c r="IQ335" s="55"/>
      <c r="IR335" s="55"/>
      <c r="IS335" s="55"/>
      <c r="IT335" s="55"/>
      <c r="IU335" s="55"/>
      <c r="IV335" s="55"/>
      <c r="IW335" s="55"/>
      <c r="IX335" s="55"/>
      <c r="IY335" s="55"/>
      <c r="IZ335" s="55"/>
      <c r="JA335" s="55"/>
      <c r="JB335" s="55"/>
      <c r="JC335" s="55"/>
      <c r="JD335" s="55">
        <v>2018</v>
      </c>
    </row>
    <row r="336" spans="1:265" s="5" customFormat="1" ht="57" hidden="1" customHeight="1">
      <c r="A336" s="26" t="s">
        <v>175</v>
      </c>
      <c r="B336" s="26" t="s">
        <v>203</v>
      </c>
      <c r="C336" s="13" t="s">
        <v>349</v>
      </c>
      <c r="D336" s="13" t="s">
        <v>380</v>
      </c>
      <c r="E336" s="16" t="s">
        <v>360</v>
      </c>
      <c r="F336" s="13" t="s">
        <v>356</v>
      </c>
      <c r="G336" s="39" t="s">
        <v>354</v>
      </c>
      <c r="H336" s="13" t="s">
        <v>1552</v>
      </c>
      <c r="I336" s="47" t="s">
        <v>179</v>
      </c>
      <c r="J336" s="40">
        <v>4</v>
      </c>
      <c r="K336" s="49" t="s">
        <v>375</v>
      </c>
      <c r="L336" s="314" t="s">
        <v>302</v>
      </c>
      <c r="M336" s="15" t="s">
        <v>303</v>
      </c>
      <c r="N336" s="20"/>
      <c r="O336" s="13" t="s">
        <v>206</v>
      </c>
      <c r="P336" s="13" t="s">
        <v>4</v>
      </c>
      <c r="Q336" s="22" t="s">
        <v>1118</v>
      </c>
      <c r="R336" s="22" t="s">
        <v>522</v>
      </c>
      <c r="S336" s="13" t="s">
        <v>523</v>
      </c>
      <c r="T336" s="13" t="s">
        <v>1387</v>
      </c>
      <c r="U336" s="13" t="s">
        <v>477</v>
      </c>
      <c r="V336" s="13" t="s">
        <v>524</v>
      </c>
      <c r="W336" s="13" t="s">
        <v>570</v>
      </c>
      <c r="X336" s="13" t="s">
        <v>570</v>
      </c>
      <c r="Y336" s="13"/>
      <c r="Z336" s="13"/>
      <c r="AA336" s="29"/>
      <c r="AB336" s="29">
        <v>49900</v>
      </c>
      <c r="AC336" s="29">
        <v>0</v>
      </c>
      <c r="AD336" s="29">
        <v>49900</v>
      </c>
      <c r="AE336" s="29">
        <v>0</v>
      </c>
      <c r="AF336" s="29">
        <f t="shared" si="138"/>
        <v>49900</v>
      </c>
      <c r="AG336" s="25">
        <v>0.12</v>
      </c>
      <c r="AH336" s="29">
        <f t="shared" si="143"/>
        <v>5988</v>
      </c>
      <c r="AI336" s="29">
        <f t="shared" si="144"/>
        <v>0</v>
      </c>
      <c r="AJ336" s="29">
        <f t="shared" si="145"/>
        <v>55888.000000000007</v>
      </c>
      <c r="AK336" s="29">
        <v>49900</v>
      </c>
      <c r="AL336" s="29">
        <f t="shared" si="148"/>
        <v>0</v>
      </c>
      <c r="AM336" s="126"/>
      <c r="AN336" s="29"/>
      <c r="AO336" s="29">
        <v>49900</v>
      </c>
      <c r="AP336" s="29"/>
      <c r="AQ336" s="29">
        <v>49900</v>
      </c>
      <c r="AR336" s="29"/>
      <c r="AS336" s="29"/>
      <c r="AT336" s="29"/>
      <c r="AU336" s="29"/>
      <c r="AV336" s="29"/>
      <c r="AW336" s="29"/>
      <c r="AX336" s="29"/>
      <c r="AY336" s="29"/>
      <c r="AZ336" s="29"/>
      <c r="BA336" s="29"/>
      <c r="BB336" s="29"/>
      <c r="BC336" s="29"/>
      <c r="BD336" s="29"/>
      <c r="BE336" s="29"/>
      <c r="BF336" s="29">
        <f t="shared" si="149"/>
        <v>0</v>
      </c>
      <c r="BG336" s="29">
        <f t="shared" si="150"/>
        <v>0</v>
      </c>
      <c r="BH336" s="29"/>
      <c r="BI336" s="23" t="s">
        <v>570</v>
      </c>
      <c r="BJ336" s="23" t="s">
        <v>570</v>
      </c>
      <c r="BK336" s="23"/>
      <c r="BL336" s="23"/>
      <c r="BM336" s="23"/>
      <c r="BN336" s="13"/>
      <c r="BO336" s="13"/>
      <c r="BP336" s="13"/>
      <c r="BQ336" s="13"/>
      <c r="BR336" s="13"/>
      <c r="BS336" s="13"/>
      <c r="BT336" s="13"/>
      <c r="BU336" s="23">
        <v>42705</v>
      </c>
      <c r="BV336" s="23">
        <v>42353</v>
      </c>
      <c r="BW336" s="13" t="s">
        <v>570</v>
      </c>
      <c r="BX336" s="102" t="s">
        <v>570</v>
      </c>
      <c r="BY336" s="102" t="s">
        <v>570</v>
      </c>
      <c r="BZ336" s="102" t="s">
        <v>570</v>
      </c>
      <c r="CA336" s="102">
        <v>42360</v>
      </c>
      <c r="CB336" s="224" t="s">
        <v>570</v>
      </c>
      <c r="CC336" s="224" t="s">
        <v>570</v>
      </c>
      <c r="CD336" s="224" t="s">
        <v>570</v>
      </c>
      <c r="CE336" s="102"/>
      <c r="CF336" s="102"/>
      <c r="CG336" s="102"/>
      <c r="CH336" s="102"/>
      <c r="CI336" s="102"/>
      <c r="CJ336" s="102"/>
      <c r="CK336" s="102"/>
      <c r="CL336" s="102"/>
      <c r="CM336" s="102"/>
      <c r="CN336" s="102"/>
      <c r="CO336" s="102"/>
      <c r="CP336" s="102"/>
      <c r="CQ336" s="102"/>
      <c r="CR336" s="102"/>
      <c r="CS336" s="29" t="s">
        <v>570</v>
      </c>
      <c r="CT336" s="29" t="s">
        <v>570</v>
      </c>
      <c r="CU336" s="29" t="s">
        <v>570</v>
      </c>
      <c r="CV336" s="23"/>
      <c r="CW336" s="13"/>
      <c r="CX336" s="170" t="s">
        <v>1020</v>
      </c>
      <c r="CY336" s="23">
        <v>42601</v>
      </c>
      <c r="CZ336" s="29">
        <v>4990</v>
      </c>
      <c r="DA336" s="198" t="s">
        <v>1021</v>
      </c>
      <c r="DB336" s="23">
        <v>42712</v>
      </c>
      <c r="DC336" s="29">
        <v>12475</v>
      </c>
      <c r="DD336" s="241" t="s">
        <v>1339</v>
      </c>
      <c r="DE336" s="23">
        <v>42741</v>
      </c>
      <c r="DF336" s="29">
        <v>12475</v>
      </c>
      <c r="DG336" s="13"/>
      <c r="DH336" s="13"/>
      <c r="DI336" s="13"/>
      <c r="DJ336" s="13"/>
      <c r="DK336" s="13"/>
      <c r="DL336" s="13"/>
      <c r="DM336" s="13"/>
      <c r="DN336" s="13"/>
      <c r="DO336" s="13"/>
      <c r="DP336" s="13"/>
      <c r="DQ336" s="13"/>
      <c r="DR336" s="13"/>
      <c r="DS336" s="13"/>
      <c r="DT336" s="13"/>
      <c r="DU336" s="13"/>
      <c r="DV336" s="13"/>
      <c r="DW336" s="13"/>
      <c r="DX336" s="13"/>
      <c r="DY336" s="92">
        <f t="shared" si="136"/>
        <v>29940</v>
      </c>
      <c r="DZ336" s="13"/>
      <c r="EA336" s="13"/>
      <c r="EB336" s="13"/>
      <c r="EC336" s="13"/>
      <c r="ED336" s="13"/>
      <c r="EE336" s="13"/>
      <c r="EF336" s="13"/>
      <c r="EG336" s="13">
        <v>420</v>
      </c>
      <c r="EH336" s="13" t="s">
        <v>548</v>
      </c>
      <c r="EI336" s="13" t="s">
        <v>503</v>
      </c>
      <c r="EJ336" s="13" t="s">
        <v>503</v>
      </c>
      <c r="EK336" s="23"/>
      <c r="EL336" s="23"/>
      <c r="EM336" s="23"/>
      <c r="EN336" s="23"/>
      <c r="EO336" s="23"/>
      <c r="EP336" s="23"/>
      <c r="EQ336" s="23"/>
      <c r="ER336" s="23"/>
      <c r="ES336" s="23"/>
      <c r="ET336" s="23"/>
      <c r="EU336" s="23"/>
      <c r="EV336" s="23"/>
      <c r="EW336" s="23"/>
      <c r="EX336" s="23"/>
      <c r="EY336" s="23"/>
      <c r="EZ336" s="23"/>
      <c r="FA336" s="23"/>
      <c r="FB336" s="23"/>
      <c r="FC336" s="23"/>
      <c r="FD336" s="23"/>
      <c r="FE336" s="13"/>
      <c r="FF336" s="13"/>
      <c r="FG336" s="13"/>
      <c r="FH336" s="13"/>
      <c r="FI336" s="13"/>
      <c r="FJ336" s="13"/>
      <c r="FK336" s="13"/>
      <c r="FL336" s="13"/>
      <c r="FM336" s="13"/>
      <c r="FN336" s="13"/>
      <c r="FO336" s="13"/>
      <c r="FP336" s="13"/>
      <c r="FQ336" s="13"/>
      <c r="FR336" s="25">
        <v>0.2</v>
      </c>
      <c r="FS336" s="25">
        <v>0.2</v>
      </c>
      <c r="FT336" s="25">
        <v>0.5</v>
      </c>
      <c r="FU336" s="25">
        <v>0.5</v>
      </c>
      <c r="FV336" s="25">
        <v>0.55000000000000004</v>
      </c>
      <c r="FW336" s="25">
        <v>0.55000000000000004</v>
      </c>
      <c r="FX336" s="25">
        <v>0.55000000000000004</v>
      </c>
      <c r="FY336" s="25">
        <v>0.82</v>
      </c>
      <c r="FZ336" s="25">
        <v>0.82</v>
      </c>
      <c r="GA336" s="25">
        <v>0.82</v>
      </c>
      <c r="GB336" s="25">
        <v>0.82</v>
      </c>
      <c r="GC336" s="25">
        <v>0.82</v>
      </c>
      <c r="GD336" s="25">
        <v>0.82</v>
      </c>
      <c r="GE336" s="25">
        <v>0.82</v>
      </c>
      <c r="GF336" s="25">
        <v>1</v>
      </c>
      <c r="GG336" s="25">
        <v>1</v>
      </c>
      <c r="GH336" s="25">
        <v>1</v>
      </c>
      <c r="GI336" s="25">
        <v>1</v>
      </c>
      <c r="GJ336" s="25">
        <v>1</v>
      </c>
      <c r="GK336" s="25">
        <v>1</v>
      </c>
      <c r="GL336" s="25">
        <v>1</v>
      </c>
      <c r="GM336" s="25">
        <v>1</v>
      </c>
      <c r="GN336" s="25">
        <v>1</v>
      </c>
      <c r="GO336" s="25">
        <v>1</v>
      </c>
      <c r="GP336" s="25">
        <v>1</v>
      </c>
      <c r="GQ336" s="25">
        <v>1</v>
      </c>
      <c r="GR336" s="25">
        <v>1</v>
      </c>
      <c r="GS336" s="25">
        <v>1</v>
      </c>
      <c r="GT336" s="25">
        <v>1</v>
      </c>
      <c r="GU336" s="25">
        <v>1</v>
      </c>
      <c r="GV336" s="25" t="s">
        <v>1588</v>
      </c>
      <c r="GW336" s="25" t="s">
        <v>455</v>
      </c>
      <c r="GX336" s="25" t="s">
        <v>455</v>
      </c>
      <c r="GY336" s="25" t="s">
        <v>455</v>
      </c>
      <c r="GZ336" s="25" t="s">
        <v>455</v>
      </c>
      <c r="HA336" s="25" t="s">
        <v>455</v>
      </c>
      <c r="HB336" s="25" t="s">
        <v>455</v>
      </c>
      <c r="HC336" s="25" t="s">
        <v>455</v>
      </c>
      <c r="HD336" s="25" t="s">
        <v>455</v>
      </c>
      <c r="HE336" s="25" t="s">
        <v>455</v>
      </c>
      <c r="HF336" s="25" t="s">
        <v>455</v>
      </c>
      <c r="HG336" s="25" t="s">
        <v>455</v>
      </c>
      <c r="HH336" s="25" t="s">
        <v>455</v>
      </c>
      <c r="HI336" s="25"/>
      <c r="HJ336" s="25"/>
      <c r="HK336" s="25"/>
      <c r="HL336" s="25"/>
      <c r="HM336" s="84"/>
      <c r="HN336" s="84"/>
      <c r="HO336" s="84"/>
      <c r="HP336" s="84"/>
      <c r="HQ336" s="84"/>
      <c r="HR336" s="84"/>
      <c r="HS336" s="84"/>
      <c r="HT336" s="84"/>
      <c r="HU336" s="13"/>
      <c r="HV336" s="13"/>
      <c r="HW336" s="32"/>
      <c r="HX336" s="55"/>
      <c r="HY336" s="55"/>
      <c r="HZ336" s="55"/>
      <c r="IA336" s="55"/>
      <c r="IB336" s="55"/>
      <c r="IC336" s="55"/>
      <c r="ID336" s="55"/>
      <c r="IE336" s="55"/>
      <c r="IF336" s="107">
        <v>49900</v>
      </c>
      <c r="IG336" s="107">
        <v>49900</v>
      </c>
      <c r="IH336" s="250">
        <f t="shared" si="146"/>
        <v>0</v>
      </c>
      <c r="II336" s="55"/>
      <c r="IJ336" s="55"/>
      <c r="IK336" s="55"/>
      <c r="IL336" s="55"/>
      <c r="IM336" s="55"/>
      <c r="IN336" s="55"/>
      <c r="IO336" s="55"/>
      <c r="IP336" s="55"/>
      <c r="IQ336" s="55"/>
      <c r="IR336" s="55"/>
      <c r="IS336" s="55"/>
      <c r="IT336" s="55"/>
      <c r="IU336" s="55"/>
      <c r="IV336" s="55"/>
      <c r="IW336" s="55"/>
      <c r="IX336" s="55"/>
      <c r="IY336" s="55"/>
      <c r="IZ336" s="55"/>
      <c r="JA336" s="55"/>
      <c r="JB336" s="55"/>
      <c r="JC336" s="55"/>
      <c r="JD336" s="55">
        <v>2018</v>
      </c>
    </row>
    <row r="337" spans="1:264" s="5" customFormat="1" ht="20.100000000000001" hidden="1" customHeight="1">
      <c r="A337" s="26" t="s">
        <v>175</v>
      </c>
      <c r="B337" s="26" t="s">
        <v>203</v>
      </c>
      <c r="C337" s="13" t="s">
        <v>349</v>
      </c>
      <c r="D337" s="13" t="s">
        <v>380</v>
      </c>
      <c r="E337" s="16" t="s">
        <v>360</v>
      </c>
      <c r="F337" s="13" t="s">
        <v>356</v>
      </c>
      <c r="G337" s="39" t="s">
        <v>354</v>
      </c>
      <c r="H337" s="13" t="s">
        <v>1552</v>
      </c>
      <c r="I337" s="313" t="s">
        <v>340</v>
      </c>
      <c r="J337" s="40">
        <v>6</v>
      </c>
      <c r="K337" s="49" t="s">
        <v>375</v>
      </c>
      <c r="L337" s="314" t="s">
        <v>304</v>
      </c>
      <c r="M337" s="69" t="s">
        <v>1795</v>
      </c>
      <c r="N337" s="20" t="s">
        <v>1927</v>
      </c>
      <c r="O337" s="13" t="s">
        <v>206</v>
      </c>
      <c r="P337" s="13" t="s">
        <v>4</v>
      </c>
      <c r="Q337" s="22" t="s">
        <v>1118</v>
      </c>
      <c r="R337" s="26" t="s">
        <v>525</v>
      </c>
      <c r="S337" s="13" t="s">
        <v>526</v>
      </c>
      <c r="T337" s="13" t="s">
        <v>1387</v>
      </c>
      <c r="U337" s="26" t="s">
        <v>477</v>
      </c>
      <c r="V337" s="173" t="s">
        <v>527</v>
      </c>
      <c r="W337" s="13" t="s">
        <v>570</v>
      </c>
      <c r="X337" s="13" t="s">
        <v>570</v>
      </c>
      <c r="Y337" s="173"/>
      <c r="Z337" s="173"/>
      <c r="AA337" s="29">
        <v>30838.01</v>
      </c>
      <c r="AB337" s="100">
        <v>49700</v>
      </c>
      <c r="AC337" s="29">
        <v>0</v>
      </c>
      <c r="AD337" s="100">
        <v>49700</v>
      </c>
      <c r="AE337" s="29">
        <v>0</v>
      </c>
      <c r="AF337" s="29">
        <f t="shared" si="138"/>
        <v>49700</v>
      </c>
      <c r="AG337" s="25">
        <v>0.12</v>
      </c>
      <c r="AH337" s="29">
        <f t="shared" si="143"/>
        <v>5964</v>
      </c>
      <c r="AI337" s="29">
        <f t="shared" si="144"/>
        <v>0</v>
      </c>
      <c r="AJ337" s="29">
        <f t="shared" si="145"/>
        <v>55664.000000000007</v>
      </c>
      <c r="AK337" s="29">
        <v>29974.87</v>
      </c>
      <c r="AL337" s="29">
        <f t="shared" si="148"/>
        <v>19725.13</v>
      </c>
      <c r="AM337" s="126"/>
      <c r="AN337" s="29"/>
      <c r="AO337" s="29">
        <v>49700</v>
      </c>
      <c r="AP337" s="29"/>
      <c r="AQ337" s="29">
        <v>49700</v>
      </c>
      <c r="AR337" s="29"/>
      <c r="AS337" s="29"/>
      <c r="AT337" s="29"/>
      <c r="AU337" s="29"/>
      <c r="AV337" s="29"/>
      <c r="AW337" s="29"/>
      <c r="AX337" s="29"/>
      <c r="AY337" s="29"/>
      <c r="AZ337" s="29"/>
      <c r="BA337" s="29"/>
      <c r="BB337" s="29"/>
      <c r="BC337" s="29"/>
      <c r="BD337" s="29"/>
      <c r="BE337" s="29"/>
      <c r="BF337" s="29">
        <f t="shared" si="149"/>
        <v>0</v>
      </c>
      <c r="BG337" s="29">
        <f t="shared" si="150"/>
        <v>0</v>
      </c>
      <c r="BH337" s="29"/>
      <c r="BI337" s="23" t="s">
        <v>570</v>
      </c>
      <c r="BJ337" s="23" t="s">
        <v>570</v>
      </c>
      <c r="BK337" s="23"/>
      <c r="BL337" s="23"/>
      <c r="BM337" s="23"/>
      <c r="BN337" s="13"/>
      <c r="BO337" s="13"/>
      <c r="BP337" s="13"/>
      <c r="BQ337" s="13"/>
      <c r="BR337" s="13"/>
      <c r="BS337" s="13"/>
      <c r="BT337" s="13"/>
      <c r="BU337" s="23">
        <v>42339</v>
      </c>
      <c r="BV337" s="23">
        <v>42353</v>
      </c>
      <c r="BW337" s="13" t="s">
        <v>570</v>
      </c>
      <c r="BX337" s="102" t="s">
        <v>570</v>
      </c>
      <c r="BY337" s="102" t="s">
        <v>570</v>
      </c>
      <c r="BZ337" s="102" t="s">
        <v>570</v>
      </c>
      <c r="CA337" s="23">
        <v>42356</v>
      </c>
      <c r="CB337" s="224" t="s">
        <v>570</v>
      </c>
      <c r="CC337" s="224" t="s">
        <v>570</v>
      </c>
      <c r="CD337" s="224" t="s">
        <v>570</v>
      </c>
      <c r="CE337" s="23"/>
      <c r="CF337" s="23"/>
      <c r="CG337" s="23"/>
      <c r="CH337" s="23"/>
      <c r="CI337" s="23"/>
      <c r="CJ337" s="23"/>
      <c r="CK337" s="23"/>
      <c r="CL337" s="23"/>
      <c r="CM337" s="23"/>
      <c r="CN337" s="23"/>
      <c r="CO337" s="23"/>
      <c r="CP337" s="23"/>
      <c r="CQ337" s="23"/>
      <c r="CR337" s="23"/>
      <c r="CS337" s="29" t="s">
        <v>570</v>
      </c>
      <c r="CT337" s="29" t="s">
        <v>570</v>
      </c>
      <c r="CU337" s="29" t="s">
        <v>570</v>
      </c>
      <c r="CV337" s="23"/>
      <c r="CW337" s="13"/>
      <c r="CX337" s="170" t="s">
        <v>1335</v>
      </c>
      <c r="CY337" s="23">
        <v>42668</v>
      </c>
      <c r="CZ337" s="29">
        <v>4970</v>
      </c>
      <c r="DA337" s="170" t="s">
        <v>1336</v>
      </c>
      <c r="DB337" s="23">
        <v>42769</v>
      </c>
      <c r="DC337" s="29">
        <v>12425</v>
      </c>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92">
        <f t="shared" si="136"/>
        <v>17395</v>
      </c>
      <c r="DZ337" s="13"/>
      <c r="EA337" s="13"/>
      <c r="EB337" s="13"/>
      <c r="EC337" s="13"/>
      <c r="ED337" s="13"/>
      <c r="EE337" s="13"/>
      <c r="EF337" s="13"/>
      <c r="EG337" s="13">
        <v>420</v>
      </c>
      <c r="EH337" s="13"/>
      <c r="EI337" s="13"/>
      <c r="EJ337" s="13"/>
      <c r="EK337" s="13"/>
      <c r="EL337" s="13"/>
      <c r="EM337" s="13"/>
      <c r="EN337" s="13"/>
      <c r="EO337" s="13"/>
      <c r="EP337" s="13"/>
      <c r="EQ337" s="13"/>
      <c r="ER337" s="13"/>
      <c r="ES337" s="13"/>
      <c r="ET337" s="13"/>
      <c r="EU337" s="13"/>
      <c r="EV337" s="13"/>
      <c r="EW337" s="13"/>
      <c r="EX337" s="13"/>
      <c r="EY337" s="13"/>
      <c r="EZ337" s="13"/>
      <c r="FA337" s="13"/>
      <c r="FB337" s="13"/>
      <c r="FC337" s="13"/>
      <c r="FD337" s="13"/>
      <c r="FE337" s="13"/>
      <c r="FF337" s="13"/>
      <c r="FG337" s="13"/>
      <c r="FH337" s="13"/>
      <c r="FI337" s="13"/>
      <c r="FJ337" s="13"/>
      <c r="FK337" s="13"/>
      <c r="FL337" s="13"/>
      <c r="FM337" s="13"/>
      <c r="FN337" s="13"/>
      <c r="FO337" s="13"/>
      <c r="FP337" s="13"/>
      <c r="FQ337" s="25">
        <v>0.25</v>
      </c>
      <c r="FR337" s="25">
        <v>0.25</v>
      </c>
      <c r="FS337" s="25">
        <v>0.25</v>
      </c>
      <c r="FT337" s="25">
        <v>0.5</v>
      </c>
      <c r="FU337" s="25">
        <v>0.5</v>
      </c>
      <c r="FV337" s="25">
        <v>0.57999999999999996</v>
      </c>
      <c r="FW337" s="25">
        <v>0.57999999999999996</v>
      </c>
      <c r="FX337" s="25">
        <v>0.57999999999999996</v>
      </c>
      <c r="FY337" s="25">
        <v>0.57999999999999996</v>
      </c>
      <c r="FZ337" s="25">
        <v>0.7</v>
      </c>
      <c r="GA337" s="25">
        <v>0.7</v>
      </c>
      <c r="GB337" s="25">
        <v>0.7</v>
      </c>
      <c r="GC337" s="25">
        <v>0.7</v>
      </c>
      <c r="GD337" s="25">
        <v>1</v>
      </c>
      <c r="GE337" s="25">
        <v>1</v>
      </c>
      <c r="GF337" s="25">
        <v>1</v>
      </c>
      <c r="GG337" s="25">
        <v>1</v>
      </c>
      <c r="GH337" s="25">
        <v>1</v>
      </c>
      <c r="GI337" s="25">
        <v>1</v>
      </c>
      <c r="GJ337" s="25">
        <v>1</v>
      </c>
      <c r="GK337" s="25">
        <v>1</v>
      </c>
      <c r="GL337" s="25">
        <v>1</v>
      </c>
      <c r="GM337" s="25">
        <v>1</v>
      </c>
      <c r="GN337" s="25">
        <v>1</v>
      </c>
      <c r="GO337" s="25">
        <v>1</v>
      </c>
      <c r="GP337" s="25">
        <v>1</v>
      </c>
      <c r="GQ337" s="25">
        <v>1</v>
      </c>
      <c r="GR337" s="25">
        <v>1</v>
      </c>
      <c r="GS337" s="25">
        <v>1</v>
      </c>
      <c r="GT337" s="25">
        <v>1</v>
      </c>
      <c r="GU337" s="25">
        <v>1</v>
      </c>
      <c r="GV337" s="25" t="s">
        <v>1588</v>
      </c>
      <c r="GW337" s="25" t="s">
        <v>1588</v>
      </c>
      <c r="GX337" s="25" t="s">
        <v>1588</v>
      </c>
      <c r="GY337" s="25" t="s">
        <v>1588</v>
      </c>
      <c r="GZ337" s="25" t="s">
        <v>1588</v>
      </c>
      <c r="HA337" s="25" t="s">
        <v>455</v>
      </c>
      <c r="HB337" s="25" t="s">
        <v>455</v>
      </c>
      <c r="HC337" s="25" t="s">
        <v>455</v>
      </c>
      <c r="HD337" s="25" t="s">
        <v>455</v>
      </c>
      <c r="HE337" s="25" t="s">
        <v>455</v>
      </c>
      <c r="HF337" s="25" t="s">
        <v>455</v>
      </c>
      <c r="HG337" s="25" t="s">
        <v>455</v>
      </c>
      <c r="HH337" s="25" t="s">
        <v>455</v>
      </c>
      <c r="HI337" s="25"/>
      <c r="HJ337" s="25"/>
      <c r="HK337" s="25"/>
      <c r="HL337" s="25" t="s">
        <v>1696</v>
      </c>
      <c r="HM337" s="84" t="s">
        <v>1696</v>
      </c>
      <c r="HN337" s="84" t="s">
        <v>1793</v>
      </c>
      <c r="HO337" s="84"/>
      <c r="HP337" s="84"/>
      <c r="HQ337" s="84"/>
      <c r="HR337" s="84"/>
      <c r="HS337" s="84"/>
      <c r="HT337" s="84"/>
      <c r="HU337" s="13"/>
      <c r="HV337" s="13"/>
      <c r="HW337" s="32"/>
      <c r="HX337" s="55"/>
      <c r="HY337" s="55"/>
      <c r="HZ337" s="55"/>
      <c r="IA337" s="55"/>
      <c r="IB337" s="55"/>
      <c r="IC337" s="55"/>
      <c r="ID337" s="55"/>
      <c r="IE337" s="55"/>
      <c r="IF337" s="107">
        <v>49700</v>
      </c>
      <c r="IG337" s="107">
        <v>29974.87</v>
      </c>
      <c r="IH337" s="250">
        <f t="shared" si="146"/>
        <v>0</v>
      </c>
      <c r="II337" s="55"/>
      <c r="IJ337" s="55"/>
      <c r="IK337" s="55"/>
      <c r="IL337" s="55"/>
      <c r="IM337" s="55"/>
      <c r="IN337" s="55"/>
      <c r="IO337" s="55"/>
      <c r="IP337" s="55"/>
      <c r="IQ337" s="55"/>
      <c r="IR337" s="55"/>
      <c r="IS337" s="55"/>
      <c r="IT337" s="55"/>
      <c r="IU337" s="55"/>
      <c r="IV337" s="55"/>
      <c r="IW337" s="55"/>
      <c r="IX337" s="55"/>
      <c r="IY337" s="55"/>
      <c r="IZ337" s="55"/>
      <c r="JA337" s="55"/>
      <c r="JB337" s="55"/>
      <c r="JC337" s="55"/>
      <c r="JD337" s="55">
        <v>2017</v>
      </c>
    </row>
    <row r="338" spans="1:264" s="5" customFormat="1" ht="20.100000000000001" hidden="1" customHeight="1">
      <c r="A338" s="26" t="s">
        <v>175</v>
      </c>
      <c r="B338" s="26" t="s">
        <v>203</v>
      </c>
      <c r="C338" s="13" t="s">
        <v>349</v>
      </c>
      <c r="D338" s="13" t="s">
        <v>380</v>
      </c>
      <c r="E338" s="16" t="s">
        <v>360</v>
      </c>
      <c r="F338" s="13" t="s">
        <v>356</v>
      </c>
      <c r="G338" s="39" t="s">
        <v>354</v>
      </c>
      <c r="H338" s="13" t="s">
        <v>1552</v>
      </c>
      <c r="I338" s="313" t="s">
        <v>341</v>
      </c>
      <c r="J338" s="40">
        <v>5</v>
      </c>
      <c r="K338" s="49" t="s">
        <v>375</v>
      </c>
      <c r="L338" s="314" t="s">
        <v>304</v>
      </c>
      <c r="M338" s="69" t="s">
        <v>1796</v>
      </c>
      <c r="N338" s="20" t="s">
        <v>1928</v>
      </c>
      <c r="O338" s="13" t="s">
        <v>206</v>
      </c>
      <c r="P338" s="13" t="s">
        <v>4</v>
      </c>
      <c r="Q338" s="22" t="s">
        <v>794</v>
      </c>
      <c r="R338" s="26" t="s">
        <v>525</v>
      </c>
      <c r="S338" s="13" t="s">
        <v>526</v>
      </c>
      <c r="T338" s="13" t="s">
        <v>1387</v>
      </c>
      <c r="U338" s="26" t="s">
        <v>477</v>
      </c>
      <c r="V338" s="173" t="s">
        <v>527</v>
      </c>
      <c r="W338" s="13" t="s">
        <v>570</v>
      </c>
      <c r="X338" s="13" t="s">
        <v>570</v>
      </c>
      <c r="Y338" s="173"/>
      <c r="Z338" s="173"/>
      <c r="AA338" s="29">
        <v>18861.990000000002</v>
      </c>
      <c r="AB338" s="100">
        <v>0</v>
      </c>
      <c r="AC338" s="29">
        <v>0</v>
      </c>
      <c r="AD338" s="100"/>
      <c r="AE338" s="29">
        <v>0</v>
      </c>
      <c r="AF338" s="29">
        <f t="shared" si="138"/>
        <v>0</v>
      </c>
      <c r="AG338" s="25">
        <v>0.12</v>
      </c>
      <c r="AH338" s="29">
        <f t="shared" si="143"/>
        <v>0</v>
      </c>
      <c r="AI338" s="29">
        <f t="shared" si="144"/>
        <v>0</v>
      </c>
      <c r="AJ338" s="29">
        <f t="shared" si="145"/>
        <v>0</v>
      </c>
      <c r="AK338" s="29"/>
      <c r="AL338" s="29"/>
      <c r="AM338" s="126"/>
      <c r="AN338" s="29"/>
      <c r="AO338" s="29"/>
      <c r="AP338" s="29"/>
      <c r="AQ338" s="29"/>
      <c r="AR338" s="29"/>
      <c r="AS338" s="29"/>
      <c r="AT338" s="29"/>
      <c r="AU338" s="29"/>
      <c r="AV338" s="29"/>
      <c r="AW338" s="29"/>
      <c r="AX338" s="29"/>
      <c r="AY338" s="29"/>
      <c r="AZ338" s="29"/>
      <c r="BA338" s="29"/>
      <c r="BB338" s="29"/>
      <c r="BC338" s="29"/>
      <c r="BD338" s="29"/>
      <c r="BE338" s="29"/>
      <c r="BF338" s="29">
        <f t="shared" si="149"/>
        <v>0</v>
      </c>
      <c r="BG338" s="29">
        <f t="shared" si="150"/>
        <v>0</v>
      </c>
      <c r="BH338" s="29"/>
      <c r="BI338" s="23" t="s">
        <v>570</v>
      </c>
      <c r="BJ338" s="23" t="s">
        <v>570</v>
      </c>
      <c r="BK338" s="23"/>
      <c r="BL338" s="23"/>
      <c r="BM338" s="23"/>
      <c r="BN338" s="13"/>
      <c r="BO338" s="13"/>
      <c r="BP338" s="13"/>
      <c r="BQ338" s="13"/>
      <c r="BR338" s="13"/>
      <c r="BS338" s="13"/>
      <c r="BT338" s="13"/>
      <c r="BU338" s="23">
        <v>42339</v>
      </c>
      <c r="BV338" s="23">
        <v>42353</v>
      </c>
      <c r="BW338" s="13" t="s">
        <v>570</v>
      </c>
      <c r="BX338" s="102" t="s">
        <v>570</v>
      </c>
      <c r="BY338" s="102" t="s">
        <v>570</v>
      </c>
      <c r="BZ338" s="102" t="s">
        <v>570</v>
      </c>
      <c r="CA338" s="23">
        <v>42356</v>
      </c>
      <c r="CB338" s="224" t="s">
        <v>570</v>
      </c>
      <c r="CC338" s="224" t="s">
        <v>570</v>
      </c>
      <c r="CD338" s="224" t="s">
        <v>570</v>
      </c>
      <c r="CE338" s="23"/>
      <c r="CF338" s="23"/>
      <c r="CG338" s="23"/>
      <c r="CH338" s="23"/>
      <c r="CI338" s="23"/>
      <c r="CJ338" s="23"/>
      <c r="CK338" s="23"/>
      <c r="CL338" s="23"/>
      <c r="CM338" s="23"/>
      <c r="CN338" s="23"/>
      <c r="CO338" s="23"/>
      <c r="CP338" s="23"/>
      <c r="CQ338" s="23"/>
      <c r="CR338" s="23"/>
      <c r="CS338" s="29" t="s">
        <v>570</v>
      </c>
      <c r="CT338" s="29" t="s">
        <v>570</v>
      </c>
      <c r="CU338" s="29" t="s">
        <v>570</v>
      </c>
      <c r="CV338" s="23"/>
      <c r="CW338" s="13"/>
      <c r="CX338" s="13"/>
      <c r="CY338" s="23"/>
      <c r="CZ338" s="29"/>
      <c r="DA338" s="13"/>
      <c r="DB338" s="2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92">
        <f t="shared" si="136"/>
        <v>0</v>
      </c>
      <c r="DZ338" s="13"/>
      <c r="EA338" s="13"/>
      <c r="EB338" s="13"/>
      <c r="EC338" s="13"/>
      <c r="ED338" s="13"/>
      <c r="EE338" s="13"/>
      <c r="EF338" s="13"/>
      <c r="EG338" s="13">
        <v>420</v>
      </c>
      <c r="EH338" s="13"/>
      <c r="EI338" s="13"/>
      <c r="EJ338" s="13"/>
      <c r="EK338" s="13"/>
      <c r="EL338" s="13"/>
      <c r="EM338" s="13"/>
      <c r="EN338" s="13"/>
      <c r="EO338" s="13"/>
      <c r="EP338" s="13"/>
      <c r="EQ338" s="13"/>
      <c r="ER338" s="13"/>
      <c r="ES338" s="13"/>
      <c r="ET338" s="13"/>
      <c r="EU338" s="13"/>
      <c r="EV338" s="13"/>
      <c r="EW338" s="13"/>
      <c r="EX338" s="13"/>
      <c r="EY338" s="13"/>
      <c r="EZ338" s="13"/>
      <c r="FA338" s="13"/>
      <c r="FB338" s="13"/>
      <c r="FC338" s="13"/>
      <c r="FD338" s="13"/>
      <c r="FE338" s="13"/>
      <c r="FF338" s="13"/>
      <c r="FG338" s="13"/>
      <c r="FH338" s="13"/>
      <c r="FI338" s="13"/>
      <c r="FJ338" s="13"/>
      <c r="FK338" s="13"/>
      <c r="FL338" s="13"/>
      <c r="FM338" s="13"/>
      <c r="FN338" s="13"/>
      <c r="FO338" s="13"/>
      <c r="FP338" s="13"/>
      <c r="FQ338" s="101"/>
      <c r="FR338" s="101"/>
      <c r="FS338" s="25">
        <v>0.1</v>
      </c>
      <c r="FT338" s="25">
        <v>0.1</v>
      </c>
      <c r="FU338" s="25">
        <v>0.25</v>
      </c>
      <c r="FV338" s="25">
        <v>0.4</v>
      </c>
      <c r="FW338" s="25">
        <v>0.4</v>
      </c>
      <c r="FX338" s="25">
        <v>0.4</v>
      </c>
      <c r="FY338" s="25">
        <v>0.57999999999999996</v>
      </c>
      <c r="FZ338" s="25">
        <v>0.7</v>
      </c>
      <c r="GA338" s="25">
        <v>0.7</v>
      </c>
      <c r="GB338" s="25">
        <v>0.7</v>
      </c>
      <c r="GC338" s="25">
        <v>0.7</v>
      </c>
      <c r="GD338" s="25">
        <v>0.7</v>
      </c>
      <c r="GE338" s="25">
        <v>0.7</v>
      </c>
      <c r="GF338" s="25">
        <v>0.7</v>
      </c>
      <c r="GG338" s="25">
        <v>0.7</v>
      </c>
      <c r="GH338" s="25">
        <v>0.99529999999999996</v>
      </c>
      <c r="GI338" s="25">
        <v>0.99529999999999996</v>
      </c>
      <c r="GJ338" s="25">
        <v>0.99529999999999996</v>
      </c>
      <c r="GK338" s="25">
        <v>0.99529999999999996</v>
      </c>
      <c r="GL338" s="25">
        <v>0.99529999999999996</v>
      </c>
      <c r="GM338" s="25">
        <v>0.99529999999999996</v>
      </c>
      <c r="GN338" s="25">
        <v>0.99529999999999996</v>
      </c>
      <c r="GO338" s="25">
        <v>0.99529999999999996</v>
      </c>
      <c r="GP338" s="25">
        <v>0.99529999999999996</v>
      </c>
      <c r="GQ338" s="25">
        <v>0.99529999999999996</v>
      </c>
      <c r="GR338" s="25">
        <v>0.99529999999999996</v>
      </c>
      <c r="GS338" s="25">
        <v>0.99529999999999996</v>
      </c>
      <c r="GT338" s="25">
        <v>0.99529999999999996</v>
      </c>
      <c r="GU338" s="25">
        <v>0.99529999999999996</v>
      </c>
      <c r="GV338" s="25" t="s">
        <v>1588</v>
      </c>
      <c r="GW338" s="25" t="s">
        <v>1588</v>
      </c>
      <c r="GX338" s="25" t="s">
        <v>1588</v>
      </c>
      <c r="GY338" s="25" t="s">
        <v>1588</v>
      </c>
      <c r="GZ338" s="25" t="s">
        <v>1588</v>
      </c>
      <c r="HA338" s="25" t="s">
        <v>1588</v>
      </c>
      <c r="HB338" s="25" t="s">
        <v>1588</v>
      </c>
      <c r="HC338" s="25" t="s">
        <v>1588</v>
      </c>
      <c r="HD338" s="25" t="s">
        <v>1588</v>
      </c>
      <c r="HE338" s="25" t="s">
        <v>1588</v>
      </c>
      <c r="HF338" s="25" t="s">
        <v>1588</v>
      </c>
      <c r="HG338" s="25" t="s">
        <v>1588</v>
      </c>
      <c r="HH338" s="25" t="s">
        <v>1588</v>
      </c>
      <c r="HI338" s="25"/>
      <c r="HJ338" s="25"/>
      <c r="HK338" s="25"/>
      <c r="HL338" s="25"/>
      <c r="HM338" s="84"/>
      <c r="HN338" s="84" t="s">
        <v>1797</v>
      </c>
      <c r="HO338" s="84"/>
      <c r="HP338" s="84"/>
      <c r="HQ338" s="84"/>
      <c r="HR338" s="84"/>
      <c r="HS338" s="84"/>
      <c r="HT338" s="84"/>
      <c r="HU338" s="13" t="s">
        <v>344</v>
      </c>
      <c r="HV338" s="13"/>
      <c r="HW338" s="32"/>
      <c r="HX338" s="55"/>
      <c r="HY338" s="55"/>
      <c r="HZ338" s="55"/>
      <c r="IA338" s="55"/>
      <c r="IB338" s="55"/>
      <c r="IC338" s="55"/>
      <c r="ID338" s="55"/>
      <c r="IE338" s="55"/>
      <c r="IF338" s="107">
        <v>0</v>
      </c>
      <c r="IG338" s="107"/>
      <c r="IH338" s="250">
        <f t="shared" si="146"/>
        <v>0</v>
      </c>
      <c r="II338" s="55"/>
      <c r="IJ338" s="55"/>
      <c r="IK338" s="55"/>
      <c r="IL338" s="55"/>
      <c r="IM338" s="55"/>
      <c r="IN338" s="55"/>
      <c r="IO338" s="55"/>
      <c r="IP338" s="55"/>
      <c r="IQ338" s="55"/>
      <c r="IR338" s="55"/>
      <c r="IS338" s="55"/>
      <c r="IT338" s="55"/>
      <c r="IU338" s="55"/>
      <c r="IV338" s="55"/>
      <c r="IW338" s="55"/>
      <c r="IX338" s="55"/>
      <c r="IY338" s="55"/>
      <c r="IZ338" s="55"/>
      <c r="JA338" s="55"/>
      <c r="JB338" s="55"/>
      <c r="JC338" s="55"/>
      <c r="JD338" s="55">
        <v>2017</v>
      </c>
    </row>
    <row r="339" spans="1:264" s="5" customFormat="1" ht="20.100000000000001" hidden="1" customHeight="1">
      <c r="A339" s="26" t="s">
        <v>175</v>
      </c>
      <c r="B339" s="26" t="s">
        <v>203</v>
      </c>
      <c r="C339" s="13" t="s">
        <v>349</v>
      </c>
      <c r="D339" s="13" t="s">
        <v>380</v>
      </c>
      <c r="E339" s="16" t="s">
        <v>360</v>
      </c>
      <c r="F339" s="13" t="s">
        <v>356</v>
      </c>
      <c r="G339" s="39" t="s">
        <v>354</v>
      </c>
      <c r="H339" s="13" t="s">
        <v>1552</v>
      </c>
      <c r="I339" s="47" t="s">
        <v>930</v>
      </c>
      <c r="J339" s="40">
        <v>10</v>
      </c>
      <c r="K339" s="49" t="s">
        <v>375</v>
      </c>
      <c r="L339" s="314" t="s">
        <v>305</v>
      </c>
      <c r="M339" s="69" t="s">
        <v>306</v>
      </c>
      <c r="N339" s="20" t="s">
        <v>1926</v>
      </c>
      <c r="O339" s="13" t="s">
        <v>206</v>
      </c>
      <c r="P339" s="13" t="s">
        <v>4</v>
      </c>
      <c r="Q339" s="22" t="s">
        <v>794</v>
      </c>
      <c r="R339" s="26" t="s">
        <v>528</v>
      </c>
      <c r="S339" s="13" t="s">
        <v>529</v>
      </c>
      <c r="T339" s="13" t="s">
        <v>1387</v>
      </c>
      <c r="U339" s="26" t="s">
        <v>477</v>
      </c>
      <c r="V339" s="173" t="s">
        <v>530</v>
      </c>
      <c r="W339" s="13" t="s">
        <v>570</v>
      </c>
      <c r="X339" s="13" t="s">
        <v>570</v>
      </c>
      <c r="Y339" s="173"/>
      <c r="Z339" s="173"/>
      <c r="AA339" s="29"/>
      <c r="AB339" s="29">
        <v>15253.26</v>
      </c>
      <c r="AC339" s="29">
        <v>0</v>
      </c>
      <c r="AD339" s="29">
        <v>15253.26</v>
      </c>
      <c r="AE339" s="29">
        <v>0</v>
      </c>
      <c r="AF339" s="29">
        <f t="shared" si="138"/>
        <v>15253.26</v>
      </c>
      <c r="AG339" s="25">
        <v>0.12</v>
      </c>
      <c r="AH339" s="29">
        <f t="shared" si="143"/>
        <v>1830.3912</v>
      </c>
      <c r="AI339" s="29">
        <f t="shared" si="144"/>
        <v>0</v>
      </c>
      <c r="AJ339" s="29">
        <f t="shared" si="145"/>
        <v>17083.6512</v>
      </c>
      <c r="AK339" s="29">
        <v>0</v>
      </c>
      <c r="AL339" s="29">
        <f t="shared" ref="AL339:AL348" si="151">AB339-AK339</f>
        <v>15253.26</v>
      </c>
      <c r="AM339" s="126"/>
      <c r="AN339" s="29"/>
      <c r="AO339" s="29">
        <v>15253.26</v>
      </c>
      <c r="AP339" s="29"/>
      <c r="AQ339" s="29">
        <v>15253.26</v>
      </c>
      <c r="AR339" s="29"/>
      <c r="AS339" s="29"/>
      <c r="AT339" s="29"/>
      <c r="AU339" s="29"/>
      <c r="AV339" s="29"/>
      <c r="AW339" s="29"/>
      <c r="AX339" s="29"/>
      <c r="AY339" s="29"/>
      <c r="AZ339" s="29"/>
      <c r="BA339" s="29"/>
      <c r="BB339" s="29"/>
      <c r="BC339" s="29"/>
      <c r="BD339" s="29"/>
      <c r="BE339" s="29"/>
      <c r="BF339" s="29">
        <f t="shared" si="149"/>
        <v>0</v>
      </c>
      <c r="BG339" s="29">
        <f t="shared" si="150"/>
        <v>0</v>
      </c>
      <c r="BH339" s="29"/>
      <c r="BI339" s="23" t="s">
        <v>570</v>
      </c>
      <c r="BJ339" s="23" t="s">
        <v>570</v>
      </c>
      <c r="BK339" s="23"/>
      <c r="BL339" s="23"/>
      <c r="BM339" s="23"/>
      <c r="BN339" s="13"/>
      <c r="BO339" s="13"/>
      <c r="BP339" s="13"/>
      <c r="BQ339" s="13"/>
      <c r="BR339" s="13"/>
      <c r="BS339" s="13"/>
      <c r="BT339" s="13"/>
      <c r="BU339" s="23">
        <v>42339</v>
      </c>
      <c r="BV339" s="23">
        <v>42353</v>
      </c>
      <c r="BW339" s="13" t="s">
        <v>570</v>
      </c>
      <c r="BX339" s="102" t="s">
        <v>570</v>
      </c>
      <c r="BY339" s="102" t="s">
        <v>570</v>
      </c>
      <c r="BZ339" s="102" t="s">
        <v>570</v>
      </c>
      <c r="CA339" s="23">
        <v>42360</v>
      </c>
      <c r="CB339" s="224" t="s">
        <v>570</v>
      </c>
      <c r="CC339" s="224" t="s">
        <v>570</v>
      </c>
      <c r="CD339" s="224" t="s">
        <v>570</v>
      </c>
      <c r="CE339" s="23"/>
      <c r="CF339" s="23"/>
      <c r="CG339" s="23"/>
      <c r="CH339" s="23"/>
      <c r="CI339" s="23"/>
      <c r="CJ339" s="23"/>
      <c r="CK339" s="23"/>
      <c r="CL339" s="23"/>
      <c r="CM339" s="23"/>
      <c r="CN339" s="23"/>
      <c r="CO339" s="23"/>
      <c r="CP339" s="23"/>
      <c r="CQ339" s="23"/>
      <c r="CR339" s="23"/>
      <c r="CS339" s="29" t="s">
        <v>570</v>
      </c>
      <c r="CT339" s="29" t="s">
        <v>570</v>
      </c>
      <c r="CU339" s="29" t="s">
        <v>570</v>
      </c>
      <c r="CV339" s="23"/>
      <c r="CW339" s="13"/>
      <c r="CX339" s="170"/>
      <c r="CY339" s="23"/>
      <c r="CZ339" s="29"/>
      <c r="DA339" s="242"/>
      <c r="DB339" s="23"/>
      <c r="DC339" s="29"/>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92">
        <f t="shared" ref="DY339:DY370" si="152">CW339+CZ339+DC339+DF339+DI339+DL339+DO339+DR339+DU339+DX339</f>
        <v>0</v>
      </c>
      <c r="DZ339" s="13"/>
      <c r="EA339" s="13"/>
      <c r="EB339" s="13"/>
      <c r="EC339" s="13"/>
      <c r="ED339" s="13"/>
      <c r="EE339" s="13"/>
      <c r="EF339" s="13"/>
      <c r="EG339" s="13">
        <v>420</v>
      </c>
      <c r="EH339" s="13" t="s">
        <v>548</v>
      </c>
      <c r="EI339" s="13" t="s">
        <v>503</v>
      </c>
      <c r="EJ339" s="13" t="s">
        <v>503</v>
      </c>
      <c r="EK339" s="13"/>
      <c r="EL339" s="13"/>
      <c r="EM339" s="13"/>
      <c r="EN339" s="13"/>
      <c r="EO339" s="13"/>
      <c r="EP339" s="13"/>
      <c r="EQ339" s="13"/>
      <c r="ER339" s="13"/>
      <c r="ES339" s="13"/>
      <c r="ET339" s="13"/>
      <c r="EU339" s="13"/>
      <c r="EV339" s="13"/>
      <c r="EW339" s="13"/>
      <c r="EX339" s="13"/>
      <c r="EY339" s="13"/>
      <c r="EZ339" s="13"/>
      <c r="FA339" s="13"/>
      <c r="FB339" s="13"/>
      <c r="FC339" s="13"/>
      <c r="FD339" s="13"/>
      <c r="FE339" s="13"/>
      <c r="FF339" s="13" t="s">
        <v>503</v>
      </c>
      <c r="FG339" s="13"/>
      <c r="FH339" s="13"/>
      <c r="FI339" s="13"/>
      <c r="FJ339" s="13"/>
      <c r="FK339" s="13"/>
      <c r="FL339" s="13"/>
      <c r="FM339" s="13"/>
      <c r="FN339" s="13"/>
      <c r="FO339" s="13"/>
      <c r="FP339" s="13"/>
      <c r="FQ339" s="13"/>
      <c r="FR339" s="13"/>
      <c r="FS339" s="13"/>
      <c r="FT339" s="13"/>
      <c r="FU339" s="25">
        <v>0</v>
      </c>
      <c r="FV339" s="25">
        <v>0.4</v>
      </c>
      <c r="FW339" s="25">
        <v>0.4</v>
      </c>
      <c r="FX339" s="25">
        <v>0.4</v>
      </c>
      <c r="FY339" s="25">
        <v>0</v>
      </c>
      <c r="FZ339" s="25">
        <v>0</v>
      </c>
      <c r="GA339" s="25">
        <v>0</v>
      </c>
      <c r="GB339" s="25">
        <v>0.4</v>
      </c>
      <c r="GC339" s="25">
        <v>0.4</v>
      </c>
      <c r="GD339" s="25">
        <v>1</v>
      </c>
      <c r="GE339" s="25">
        <v>1</v>
      </c>
      <c r="GF339" s="25">
        <v>1</v>
      </c>
      <c r="GG339" s="25">
        <v>1</v>
      </c>
      <c r="GH339" s="25">
        <v>1</v>
      </c>
      <c r="GI339" s="25">
        <v>1</v>
      </c>
      <c r="GJ339" s="25">
        <v>1</v>
      </c>
      <c r="GK339" s="25">
        <v>1</v>
      </c>
      <c r="GL339" s="25">
        <v>1</v>
      </c>
      <c r="GM339" s="25">
        <v>1</v>
      </c>
      <c r="GN339" s="25">
        <v>1</v>
      </c>
      <c r="GO339" s="25">
        <v>1</v>
      </c>
      <c r="GP339" s="25">
        <v>1</v>
      </c>
      <c r="GQ339" s="25">
        <v>1</v>
      </c>
      <c r="GR339" s="25">
        <v>1</v>
      </c>
      <c r="GS339" s="25">
        <v>1</v>
      </c>
      <c r="GT339" s="25">
        <v>1</v>
      </c>
      <c r="GU339" s="25">
        <v>1</v>
      </c>
      <c r="GV339" s="25" t="s">
        <v>1588</v>
      </c>
      <c r="GW339" s="25" t="s">
        <v>1588</v>
      </c>
      <c r="GX339" s="25" t="s">
        <v>1588</v>
      </c>
      <c r="GY339" s="25" t="s">
        <v>1588</v>
      </c>
      <c r="GZ339" s="25" t="s">
        <v>1588</v>
      </c>
      <c r="HA339" s="25" t="s">
        <v>1588</v>
      </c>
      <c r="HB339" s="25" t="s">
        <v>1588</v>
      </c>
      <c r="HC339" s="25" t="s">
        <v>1889</v>
      </c>
      <c r="HD339" s="25" t="s">
        <v>1889</v>
      </c>
      <c r="HE339" s="25" t="s">
        <v>1889</v>
      </c>
      <c r="HF339" s="25" t="s">
        <v>1889</v>
      </c>
      <c r="HG339" s="25" t="s">
        <v>1889</v>
      </c>
      <c r="HH339" s="25" t="s">
        <v>1889</v>
      </c>
      <c r="HI339" s="25"/>
      <c r="HJ339" s="25"/>
      <c r="HK339" s="25"/>
      <c r="HL339" s="25" t="s">
        <v>1696</v>
      </c>
      <c r="HM339" s="84" t="s">
        <v>1696</v>
      </c>
      <c r="HN339" s="84"/>
      <c r="HO339" s="84"/>
      <c r="HP339" s="84"/>
      <c r="HQ339" s="84"/>
      <c r="HR339" s="84"/>
      <c r="HS339" s="84"/>
      <c r="HT339" s="84"/>
      <c r="HU339" s="13"/>
      <c r="HV339" s="13"/>
      <c r="HW339" s="32"/>
      <c r="HX339" s="55"/>
      <c r="HY339" s="55"/>
      <c r="HZ339" s="55"/>
      <c r="IA339" s="55"/>
      <c r="IB339" s="55"/>
      <c r="IC339" s="55"/>
      <c r="ID339" s="55"/>
      <c r="IE339" s="55"/>
      <c r="IF339" s="107">
        <v>15253.26</v>
      </c>
      <c r="IG339" s="107">
        <v>0</v>
      </c>
      <c r="IH339" s="250">
        <f t="shared" si="146"/>
        <v>0</v>
      </c>
      <c r="II339" s="55"/>
      <c r="IJ339" s="55"/>
      <c r="IK339" s="55"/>
      <c r="IL339" s="55"/>
      <c r="IM339" s="55"/>
      <c r="IN339" s="55"/>
      <c r="IO339" s="55"/>
      <c r="IP339" s="55"/>
      <c r="IQ339" s="55"/>
      <c r="IR339" s="55"/>
      <c r="IS339" s="55"/>
      <c r="IT339" s="55"/>
      <c r="IU339" s="55"/>
      <c r="IV339" s="55"/>
      <c r="IW339" s="55"/>
      <c r="IX339" s="55"/>
      <c r="IY339" s="55"/>
      <c r="IZ339" s="55"/>
      <c r="JA339" s="55"/>
      <c r="JB339" s="55"/>
      <c r="JC339" s="55"/>
      <c r="JD339" s="55">
        <v>2017</v>
      </c>
    </row>
    <row r="340" spans="1:264" s="5" customFormat="1" ht="24.95" hidden="1" customHeight="1">
      <c r="A340" s="26" t="s">
        <v>175</v>
      </c>
      <c r="B340" s="26" t="s">
        <v>203</v>
      </c>
      <c r="C340" s="13" t="s">
        <v>349</v>
      </c>
      <c r="D340" s="13" t="s">
        <v>380</v>
      </c>
      <c r="E340" s="16" t="s">
        <v>360</v>
      </c>
      <c r="F340" s="13" t="s">
        <v>356</v>
      </c>
      <c r="G340" s="39" t="s">
        <v>354</v>
      </c>
      <c r="H340" s="13" t="s">
        <v>1552</v>
      </c>
      <c r="I340" s="313" t="s">
        <v>343</v>
      </c>
      <c r="J340" s="40">
        <v>7</v>
      </c>
      <c r="K340" s="49" t="s">
        <v>375</v>
      </c>
      <c r="L340" s="314" t="s">
        <v>305</v>
      </c>
      <c r="M340" s="20" t="s">
        <v>345</v>
      </c>
      <c r="N340" s="20" t="s">
        <v>1929</v>
      </c>
      <c r="O340" s="13" t="s">
        <v>206</v>
      </c>
      <c r="P340" s="13" t="s">
        <v>4</v>
      </c>
      <c r="Q340" s="22" t="s">
        <v>1118</v>
      </c>
      <c r="R340" s="26" t="s">
        <v>528</v>
      </c>
      <c r="S340" s="13" t="s">
        <v>529</v>
      </c>
      <c r="T340" s="13" t="s">
        <v>1387</v>
      </c>
      <c r="U340" s="26" t="s">
        <v>477</v>
      </c>
      <c r="V340" s="173" t="s">
        <v>530</v>
      </c>
      <c r="W340" s="13" t="s">
        <v>570</v>
      </c>
      <c r="X340" s="13" t="s">
        <v>570</v>
      </c>
      <c r="Y340" s="173"/>
      <c r="Z340" s="173"/>
      <c r="AA340" s="29"/>
      <c r="AB340" s="29">
        <v>29129.68</v>
      </c>
      <c r="AC340" s="29">
        <v>0</v>
      </c>
      <c r="AD340" s="29">
        <v>29129.68</v>
      </c>
      <c r="AE340" s="29">
        <v>0</v>
      </c>
      <c r="AF340" s="29">
        <f t="shared" si="138"/>
        <v>29129.68</v>
      </c>
      <c r="AG340" s="25">
        <v>0.12</v>
      </c>
      <c r="AH340" s="29">
        <f t="shared" si="143"/>
        <v>3495.5616</v>
      </c>
      <c r="AI340" s="29">
        <f t="shared" si="144"/>
        <v>0</v>
      </c>
      <c r="AJ340" s="29">
        <f t="shared" si="145"/>
        <v>32625.241600000005</v>
      </c>
      <c r="AK340" s="29">
        <v>29129.679999999997</v>
      </c>
      <c r="AL340" s="29">
        <f t="shared" si="151"/>
        <v>0</v>
      </c>
      <c r="AM340" s="126"/>
      <c r="AN340" s="29"/>
      <c r="AO340" s="29">
        <v>29129.68</v>
      </c>
      <c r="AP340" s="29"/>
      <c r="AQ340" s="29">
        <v>29129.68</v>
      </c>
      <c r="AR340" s="29"/>
      <c r="AS340" s="29"/>
      <c r="AT340" s="29"/>
      <c r="AU340" s="29"/>
      <c r="AV340" s="29"/>
      <c r="AW340" s="29"/>
      <c r="AX340" s="29"/>
      <c r="AY340" s="29"/>
      <c r="AZ340" s="29"/>
      <c r="BA340" s="29"/>
      <c r="BB340" s="29"/>
      <c r="BC340" s="29"/>
      <c r="BD340" s="29"/>
      <c r="BE340" s="29"/>
      <c r="BF340" s="29">
        <f t="shared" si="149"/>
        <v>0</v>
      </c>
      <c r="BG340" s="29">
        <f t="shared" si="150"/>
        <v>0</v>
      </c>
      <c r="BH340" s="29"/>
      <c r="BI340" s="23" t="s">
        <v>570</v>
      </c>
      <c r="BJ340" s="23" t="s">
        <v>570</v>
      </c>
      <c r="BK340" s="23"/>
      <c r="BL340" s="23"/>
      <c r="BM340" s="23"/>
      <c r="BN340" s="13"/>
      <c r="BO340" s="13"/>
      <c r="BP340" s="13"/>
      <c r="BQ340" s="13"/>
      <c r="BR340" s="13"/>
      <c r="BS340" s="13"/>
      <c r="BT340" s="13"/>
      <c r="BU340" s="23">
        <v>42339</v>
      </c>
      <c r="BV340" s="23">
        <v>42353</v>
      </c>
      <c r="BW340" s="13" t="s">
        <v>570</v>
      </c>
      <c r="BX340" s="102" t="s">
        <v>570</v>
      </c>
      <c r="BY340" s="102" t="s">
        <v>570</v>
      </c>
      <c r="BZ340" s="102" t="s">
        <v>570</v>
      </c>
      <c r="CA340" s="23">
        <v>42360</v>
      </c>
      <c r="CB340" s="224" t="s">
        <v>570</v>
      </c>
      <c r="CC340" s="224" t="s">
        <v>570</v>
      </c>
      <c r="CD340" s="224" t="s">
        <v>570</v>
      </c>
      <c r="CE340" s="23"/>
      <c r="CF340" s="23"/>
      <c r="CG340" s="23"/>
      <c r="CH340" s="23"/>
      <c r="CI340" s="23"/>
      <c r="CJ340" s="23"/>
      <c r="CK340" s="23"/>
      <c r="CL340" s="23"/>
      <c r="CM340" s="23"/>
      <c r="CN340" s="23"/>
      <c r="CO340" s="23"/>
      <c r="CP340" s="23"/>
      <c r="CQ340" s="23"/>
      <c r="CR340" s="23"/>
      <c r="CS340" s="29" t="s">
        <v>570</v>
      </c>
      <c r="CT340" s="29" t="s">
        <v>570</v>
      </c>
      <c r="CU340" s="29" t="s">
        <v>570</v>
      </c>
      <c r="CV340" s="23"/>
      <c r="CW340" s="13"/>
      <c r="CX340" s="170" t="s">
        <v>1337</v>
      </c>
      <c r="CY340" s="23">
        <v>42671</v>
      </c>
      <c r="CZ340" s="29">
        <v>4438.29</v>
      </c>
      <c r="DA340" s="242" t="s">
        <v>1338</v>
      </c>
      <c r="DB340" s="23">
        <v>42741</v>
      </c>
      <c r="DC340" s="29">
        <v>11095.74</v>
      </c>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92">
        <f t="shared" si="152"/>
        <v>15534.029999999999</v>
      </c>
      <c r="DZ340" s="13"/>
      <c r="EA340" s="13"/>
      <c r="EB340" s="13"/>
      <c r="EC340" s="13"/>
      <c r="ED340" s="13"/>
      <c r="EE340" s="13"/>
      <c r="EF340" s="13"/>
      <c r="EG340" s="13">
        <v>420</v>
      </c>
      <c r="EH340" s="13" t="s">
        <v>548</v>
      </c>
      <c r="EI340" s="23">
        <v>42468</v>
      </c>
      <c r="EJ340" s="23">
        <f>EI340+EG340</f>
        <v>42888</v>
      </c>
      <c r="EK340" s="23"/>
      <c r="EL340" s="23"/>
      <c r="EM340" s="23"/>
      <c r="EN340" s="23"/>
      <c r="EO340" s="23"/>
      <c r="EP340" s="23"/>
      <c r="EQ340" s="23"/>
      <c r="ER340" s="23"/>
      <c r="ES340" s="23"/>
      <c r="ET340" s="23"/>
      <c r="EU340" s="23"/>
      <c r="EV340" s="23"/>
      <c r="EW340" s="23"/>
      <c r="EX340" s="23"/>
      <c r="EY340" s="23"/>
      <c r="EZ340" s="23"/>
      <c r="FA340" s="23"/>
      <c r="FB340" s="23"/>
      <c r="FC340" s="23"/>
      <c r="FD340" s="23"/>
      <c r="FE340" s="13"/>
      <c r="FF340" s="23">
        <f>EI340+EG340</f>
        <v>42888</v>
      </c>
      <c r="FG340" s="13"/>
      <c r="FH340" s="13"/>
      <c r="FI340" s="13"/>
      <c r="FJ340" s="13"/>
      <c r="FK340" s="13"/>
      <c r="FL340" s="13"/>
      <c r="FM340" s="13"/>
      <c r="FN340" s="13"/>
      <c r="FO340" s="13"/>
      <c r="FP340" s="13"/>
      <c r="FQ340" s="25">
        <v>0.2</v>
      </c>
      <c r="FR340" s="25">
        <v>0.2</v>
      </c>
      <c r="FS340" s="25">
        <v>0.2</v>
      </c>
      <c r="FT340" s="25">
        <v>0.5</v>
      </c>
      <c r="FU340" s="25">
        <v>0.5</v>
      </c>
      <c r="FV340" s="25">
        <v>0.53</v>
      </c>
      <c r="FW340" s="25">
        <v>0.53</v>
      </c>
      <c r="FX340" s="25">
        <v>0.53</v>
      </c>
      <c r="FY340" s="25">
        <v>0.53</v>
      </c>
      <c r="FZ340" s="25">
        <v>0.7</v>
      </c>
      <c r="GA340" s="25">
        <v>0.7</v>
      </c>
      <c r="GB340" s="25">
        <v>0.7</v>
      </c>
      <c r="GC340" s="25">
        <v>0.7</v>
      </c>
      <c r="GD340" s="25">
        <v>1</v>
      </c>
      <c r="GE340" s="25">
        <v>1</v>
      </c>
      <c r="GF340" s="25">
        <v>1</v>
      </c>
      <c r="GG340" s="25">
        <v>1</v>
      </c>
      <c r="GH340" s="25">
        <v>1</v>
      </c>
      <c r="GI340" s="25">
        <v>1</v>
      </c>
      <c r="GJ340" s="25">
        <v>1</v>
      </c>
      <c r="GK340" s="25">
        <v>1</v>
      </c>
      <c r="GL340" s="25">
        <v>1</v>
      </c>
      <c r="GM340" s="25">
        <v>1</v>
      </c>
      <c r="GN340" s="25">
        <v>1</v>
      </c>
      <c r="GO340" s="25">
        <v>1</v>
      </c>
      <c r="GP340" s="25">
        <v>1</v>
      </c>
      <c r="GQ340" s="25">
        <v>1</v>
      </c>
      <c r="GR340" s="25">
        <v>1</v>
      </c>
      <c r="GS340" s="25">
        <v>1</v>
      </c>
      <c r="GT340" s="25">
        <v>1</v>
      </c>
      <c r="GU340" s="25">
        <v>1</v>
      </c>
      <c r="GV340" s="25" t="s">
        <v>1588</v>
      </c>
      <c r="GW340" s="25" t="s">
        <v>1588</v>
      </c>
      <c r="GX340" s="25" t="s">
        <v>1588</v>
      </c>
      <c r="GY340" s="25" t="s">
        <v>1588</v>
      </c>
      <c r="GZ340" s="25" t="s">
        <v>1588</v>
      </c>
      <c r="HA340" s="25" t="s">
        <v>1588</v>
      </c>
      <c r="HB340" s="25" t="s">
        <v>1588</v>
      </c>
      <c r="HC340" s="25" t="s">
        <v>1588</v>
      </c>
      <c r="HD340" s="25" t="s">
        <v>1588</v>
      </c>
      <c r="HE340" s="25" t="s">
        <v>1588</v>
      </c>
      <c r="HF340" s="25" t="s">
        <v>1588</v>
      </c>
      <c r="HG340" s="25" t="s">
        <v>455</v>
      </c>
      <c r="HH340" s="25" t="s">
        <v>455</v>
      </c>
      <c r="HI340" s="25"/>
      <c r="HJ340" s="25"/>
      <c r="HK340" s="25"/>
      <c r="HL340" s="25" t="s">
        <v>1696</v>
      </c>
      <c r="HM340" s="84" t="s">
        <v>1742</v>
      </c>
      <c r="HN340" s="84"/>
      <c r="HO340" s="84"/>
      <c r="HP340" s="84"/>
      <c r="HQ340" s="84"/>
      <c r="HR340" s="84"/>
      <c r="HS340" s="84"/>
      <c r="HT340" s="84"/>
      <c r="HU340" s="13" t="s">
        <v>344</v>
      </c>
      <c r="HV340" s="13"/>
      <c r="HW340" s="32"/>
      <c r="HX340" s="55"/>
      <c r="HY340" s="55"/>
      <c r="HZ340" s="55"/>
      <c r="IA340" s="55"/>
      <c r="IB340" s="55"/>
      <c r="IC340" s="55"/>
      <c r="ID340" s="55"/>
      <c r="IE340" s="55"/>
      <c r="IF340" s="107">
        <v>29129.68</v>
      </c>
      <c r="IG340" s="107">
        <v>29129.679999999997</v>
      </c>
      <c r="IH340" s="250">
        <f t="shared" si="146"/>
        <v>0</v>
      </c>
      <c r="II340" s="55"/>
      <c r="IJ340" s="55"/>
      <c r="IK340" s="55"/>
      <c r="IL340" s="55"/>
      <c r="IM340" s="55"/>
      <c r="IN340" s="55"/>
      <c r="IO340" s="55"/>
      <c r="IP340" s="55"/>
      <c r="IQ340" s="55"/>
      <c r="IR340" s="55"/>
      <c r="IS340" s="55"/>
      <c r="IT340" s="55"/>
      <c r="IU340" s="55"/>
      <c r="IV340" s="55"/>
      <c r="IW340" s="55"/>
      <c r="IX340" s="55"/>
      <c r="IY340" s="55"/>
      <c r="IZ340" s="55"/>
      <c r="JA340" s="55"/>
      <c r="JB340" s="55"/>
      <c r="JC340" s="55"/>
      <c r="JD340" s="55">
        <v>2019</v>
      </c>
    </row>
    <row r="341" spans="1:264" s="5" customFormat="1" ht="24.95" hidden="1" customHeight="1">
      <c r="A341" s="26" t="s">
        <v>175</v>
      </c>
      <c r="B341" s="26" t="s">
        <v>203</v>
      </c>
      <c r="C341" s="13" t="s">
        <v>349</v>
      </c>
      <c r="D341" s="13" t="s">
        <v>380</v>
      </c>
      <c r="E341" s="16" t="s">
        <v>360</v>
      </c>
      <c r="F341" s="13" t="s">
        <v>356</v>
      </c>
      <c r="G341" s="39" t="s">
        <v>354</v>
      </c>
      <c r="H341" s="13" t="s">
        <v>1552</v>
      </c>
      <c r="I341" s="313" t="s">
        <v>928</v>
      </c>
      <c r="J341" s="40">
        <v>8</v>
      </c>
      <c r="K341" s="49" t="s">
        <v>375</v>
      </c>
      <c r="L341" s="314" t="s">
        <v>307</v>
      </c>
      <c r="M341" s="20" t="s">
        <v>308</v>
      </c>
      <c r="N341" s="20" t="s">
        <v>2005</v>
      </c>
      <c r="O341" s="13" t="s">
        <v>206</v>
      </c>
      <c r="P341" s="13" t="s">
        <v>4</v>
      </c>
      <c r="Q341" s="22" t="s">
        <v>794</v>
      </c>
      <c r="R341" s="26" t="s">
        <v>531</v>
      </c>
      <c r="S341" s="13" t="s">
        <v>532</v>
      </c>
      <c r="T341" s="13" t="s">
        <v>1387</v>
      </c>
      <c r="U341" s="26" t="s">
        <v>477</v>
      </c>
      <c r="V341" s="173" t="s">
        <v>533</v>
      </c>
      <c r="W341" s="13" t="s">
        <v>570</v>
      </c>
      <c r="X341" s="13" t="s">
        <v>570</v>
      </c>
      <c r="Y341" s="173"/>
      <c r="Z341" s="173"/>
      <c r="AA341" s="29">
        <v>18559.71</v>
      </c>
      <c r="AB341" s="29">
        <v>18559.71</v>
      </c>
      <c r="AC341" s="29">
        <v>18559.71</v>
      </c>
      <c r="AD341" s="29">
        <v>18559.71</v>
      </c>
      <c r="AE341" s="29">
        <v>0</v>
      </c>
      <c r="AF341" s="29">
        <f t="shared" si="138"/>
        <v>18559.71</v>
      </c>
      <c r="AG341" s="25">
        <v>0.12</v>
      </c>
      <c r="AH341" s="29">
        <f t="shared" si="143"/>
        <v>2227.1651999999999</v>
      </c>
      <c r="AI341" s="29">
        <f t="shared" si="144"/>
        <v>0</v>
      </c>
      <c r="AJ341" s="29">
        <f t="shared" si="145"/>
        <v>20786.875200000002</v>
      </c>
      <c r="AK341" s="29">
        <v>0</v>
      </c>
      <c r="AL341" s="29">
        <f t="shared" si="151"/>
        <v>18559.71</v>
      </c>
      <c r="AM341" s="126"/>
      <c r="AN341" s="29"/>
      <c r="AO341" s="29">
        <v>18559.71</v>
      </c>
      <c r="AP341" s="29"/>
      <c r="AQ341" s="29">
        <v>18559.71</v>
      </c>
      <c r="AR341" s="29"/>
      <c r="AS341" s="29"/>
      <c r="AT341" s="29"/>
      <c r="AU341" s="29"/>
      <c r="AV341" s="29"/>
      <c r="AW341" s="29"/>
      <c r="AX341" s="29"/>
      <c r="AY341" s="29"/>
      <c r="AZ341" s="29"/>
      <c r="BA341" s="29"/>
      <c r="BB341" s="29"/>
      <c r="BC341" s="29"/>
      <c r="BD341" s="29"/>
      <c r="BE341" s="29"/>
      <c r="BF341" s="29">
        <f t="shared" si="149"/>
        <v>0</v>
      </c>
      <c r="BG341" s="29">
        <f t="shared" si="150"/>
        <v>0</v>
      </c>
      <c r="BH341" s="29"/>
      <c r="BI341" s="23" t="s">
        <v>570</v>
      </c>
      <c r="BJ341" s="23" t="s">
        <v>570</v>
      </c>
      <c r="BK341" s="23"/>
      <c r="BL341" s="23"/>
      <c r="BM341" s="23"/>
      <c r="BN341" s="13"/>
      <c r="BO341" s="13"/>
      <c r="BP341" s="13"/>
      <c r="BQ341" s="13"/>
      <c r="BR341" s="13"/>
      <c r="BS341" s="13"/>
      <c r="BT341" s="13"/>
      <c r="BU341" s="23">
        <v>42339</v>
      </c>
      <c r="BV341" s="23" t="s">
        <v>534</v>
      </c>
      <c r="BW341" s="13" t="s">
        <v>570</v>
      </c>
      <c r="BX341" s="102" t="s">
        <v>570</v>
      </c>
      <c r="BY341" s="102" t="s">
        <v>570</v>
      </c>
      <c r="BZ341" s="102" t="s">
        <v>570</v>
      </c>
      <c r="CA341" s="102">
        <v>42356</v>
      </c>
      <c r="CB341" s="224" t="s">
        <v>570</v>
      </c>
      <c r="CC341" s="224" t="s">
        <v>570</v>
      </c>
      <c r="CD341" s="224" t="s">
        <v>570</v>
      </c>
      <c r="CE341" s="102"/>
      <c r="CF341" s="102"/>
      <c r="CG341" s="102"/>
      <c r="CH341" s="102"/>
      <c r="CI341" s="102"/>
      <c r="CJ341" s="102"/>
      <c r="CK341" s="102"/>
      <c r="CL341" s="102"/>
      <c r="CM341" s="102"/>
      <c r="CN341" s="102"/>
      <c r="CO341" s="102"/>
      <c r="CP341" s="102"/>
      <c r="CQ341" s="102"/>
      <c r="CR341" s="102"/>
      <c r="CS341" s="29" t="s">
        <v>570</v>
      </c>
      <c r="CT341" s="29" t="s">
        <v>570</v>
      </c>
      <c r="CU341" s="29" t="s">
        <v>570</v>
      </c>
      <c r="CV341" s="23"/>
      <c r="CW341" s="13"/>
      <c r="CX341" s="13"/>
      <c r="CY341" s="23"/>
      <c r="CZ341" s="29"/>
      <c r="DA341" s="29"/>
      <c r="DB341" s="23"/>
      <c r="DC341" s="29"/>
      <c r="DD341" s="198"/>
      <c r="DE341" s="23"/>
      <c r="DF341" s="29"/>
      <c r="DG341" s="13"/>
      <c r="DH341" s="13"/>
      <c r="DI341" s="13"/>
      <c r="DJ341" s="13"/>
      <c r="DK341" s="13"/>
      <c r="DL341" s="13"/>
      <c r="DM341" s="13"/>
      <c r="DN341" s="13"/>
      <c r="DO341" s="13"/>
      <c r="DP341" s="13"/>
      <c r="DQ341" s="13"/>
      <c r="DR341" s="13"/>
      <c r="DS341" s="13"/>
      <c r="DT341" s="13"/>
      <c r="DU341" s="13"/>
      <c r="DV341" s="13"/>
      <c r="DW341" s="13"/>
      <c r="DX341" s="13"/>
      <c r="DY341" s="92">
        <f t="shared" si="152"/>
        <v>0</v>
      </c>
      <c r="DZ341" s="13"/>
      <c r="EA341" s="13"/>
      <c r="EB341" s="13"/>
      <c r="EC341" s="13"/>
      <c r="ED341" s="13"/>
      <c r="EE341" s="13"/>
      <c r="EF341" s="13"/>
      <c r="EG341" s="13">
        <v>420</v>
      </c>
      <c r="EH341" s="13" t="s">
        <v>503</v>
      </c>
      <c r="EI341" s="13"/>
      <c r="EJ341" s="13"/>
      <c r="EK341" s="13"/>
      <c r="EL341" s="13"/>
      <c r="EM341" s="13"/>
      <c r="EN341" s="13"/>
      <c r="EO341" s="13"/>
      <c r="EP341" s="13"/>
      <c r="EQ341" s="13"/>
      <c r="ER341" s="13"/>
      <c r="ES341" s="13"/>
      <c r="ET341" s="13"/>
      <c r="EU341" s="13"/>
      <c r="EV341" s="13"/>
      <c r="EW341" s="13"/>
      <c r="EX341" s="13"/>
      <c r="EY341" s="13"/>
      <c r="EZ341" s="13"/>
      <c r="FA341" s="13"/>
      <c r="FB341" s="13"/>
      <c r="FC341" s="13"/>
      <c r="FD341" s="13"/>
      <c r="FE341" s="13"/>
      <c r="FF341" s="13"/>
      <c r="FG341" s="13"/>
      <c r="FH341" s="13"/>
      <c r="FI341" s="13"/>
      <c r="FJ341" s="13"/>
      <c r="FK341" s="13"/>
      <c r="FL341" s="13"/>
      <c r="FM341" s="13"/>
      <c r="FN341" s="13"/>
      <c r="FO341" s="13"/>
      <c r="FP341" s="13"/>
      <c r="FQ341" s="13"/>
      <c r="FR341" s="13"/>
      <c r="FS341" s="13"/>
      <c r="FT341" s="13"/>
      <c r="FU341" s="25">
        <v>0</v>
      </c>
      <c r="FV341" s="25">
        <v>0.4</v>
      </c>
      <c r="FW341" s="25">
        <v>0.4</v>
      </c>
      <c r="FX341" s="25">
        <v>0.4</v>
      </c>
      <c r="FY341" s="25">
        <v>0</v>
      </c>
      <c r="FZ341" s="25">
        <v>0</v>
      </c>
      <c r="GA341" s="25">
        <v>0</v>
      </c>
      <c r="GB341" s="25">
        <v>0.4</v>
      </c>
      <c r="GC341" s="25">
        <v>0.4</v>
      </c>
      <c r="GD341" s="25">
        <v>1</v>
      </c>
      <c r="GE341" s="25">
        <v>1</v>
      </c>
      <c r="GF341" s="25">
        <v>1</v>
      </c>
      <c r="GG341" s="25">
        <v>1</v>
      </c>
      <c r="GH341" s="25">
        <v>1</v>
      </c>
      <c r="GI341" s="25">
        <v>1</v>
      </c>
      <c r="GJ341" s="25">
        <v>1</v>
      </c>
      <c r="GK341" s="25">
        <v>1</v>
      </c>
      <c r="GL341" s="25">
        <v>1</v>
      </c>
      <c r="GM341" s="25">
        <v>1</v>
      </c>
      <c r="GN341" s="25">
        <v>1</v>
      </c>
      <c r="GO341" s="25">
        <v>1</v>
      </c>
      <c r="GP341" s="25">
        <v>1</v>
      </c>
      <c r="GQ341" s="25">
        <v>1</v>
      </c>
      <c r="GR341" s="25">
        <v>1</v>
      </c>
      <c r="GS341" s="25">
        <v>1</v>
      </c>
      <c r="GT341" s="25">
        <v>1</v>
      </c>
      <c r="GU341" s="25">
        <v>1</v>
      </c>
      <c r="GV341" s="25" t="s">
        <v>1588</v>
      </c>
      <c r="GW341" s="25" t="s">
        <v>1588</v>
      </c>
      <c r="GX341" s="25" t="s">
        <v>1588</v>
      </c>
      <c r="GY341" s="25" t="s">
        <v>1588</v>
      </c>
      <c r="GZ341" s="25" t="s">
        <v>1588</v>
      </c>
      <c r="HA341" s="25" t="s">
        <v>1588</v>
      </c>
      <c r="HB341" s="25" t="s">
        <v>1588</v>
      </c>
      <c r="HC341" s="25" t="s">
        <v>1889</v>
      </c>
      <c r="HD341" s="25" t="s">
        <v>1889</v>
      </c>
      <c r="HE341" s="25" t="s">
        <v>1889</v>
      </c>
      <c r="HF341" s="25" t="s">
        <v>1889</v>
      </c>
      <c r="HG341" s="25" t="s">
        <v>1889</v>
      </c>
      <c r="HH341" s="25" t="s">
        <v>1889</v>
      </c>
      <c r="HI341" s="25"/>
      <c r="HJ341" s="25"/>
      <c r="HK341" s="25"/>
      <c r="HL341" s="25" t="s">
        <v>1696</v>
      </c>
      <c r="HM341" s="84" t="s">
        <v>1798</v>
      </c>
      <c r="HN341" s="84"/>
      <c r="HO341" s="84"/>
      <c r="HP341" s="84"/>
      <c r="HQ341" s="84"/>
      <c r="HR341" s="84"/>
      <c r="HS341" s="84"/>
      <c r="HT341" s="84"/>
      <c r="HU341" s="13"/>
      <c r="HV341" s="13"/>
      <c r="HW341" s="32"/>
      <c r="HX341" s="55"/>
      <c r="HY341" s="55"/>
      <c r="HZ341" s="55"/>
      <c r="IA341" s="55"/>
      <c r="IB341" s="55"/>
      <c r="IC341" s="55"/>
      <c r="ID341" s="55"/>
      <c r="IE341" s="55"/>
      <c r="IF341" s="107">
        <v>18559.71</v>
      </c>
      <c r="IG341" s="107">
        <v>0</v>
      </c>
      <c r="IH341" s="250">
        <f t="shared" si="146"/>
        <v>0</v>
      </c>
      <c r="II341" s="55"/>
      <c r="IJ341" s="55"/>
      <c r="IK341" s="55"/>
      <c r="IL341" s="55"/>
      <c r="IM341" s="55"/>
      <c r="IN341" s="55"/>
      <c r="IO341" s="55"/>
      <c r="IP341" s="55"/>
      <c r="IQ341" s="55"/>
      <c r="IR341" s="55"/>
      <c r="IS341" s="55"/>
      <c r="IT341" s="55"/>
      <c r="IU341" s="55"/>
      <c r="IV341" s="55"/>
      <c r="IW341" s="55"/>
      <c r="IX341" s="55"/>
      <c r="IY341" s="55"/>
      <c r="IZ341" s="55"/>
      <c r="JA341" s="55"/>
      <c r="JB341" s="55"/>
      <c r="JC341" s="55"/>
      <c r="JD341" s="55">
        <v>2019</v>
      </c>
    </row>
    <row r="342" spans="1:264" s="5" customFormat="1" ht="24.95" hidden="1" customHeight="1">
      <c r="A342" s="26" t="s">
        <v>175</v>
      </c>
      <c r="B342" s="26" t="s">
        <v>203</v>
      </c>
      <c r="C342" s="13" t="s">
        <v>349</v>
      </c>
      <c r="D342" s="13" t="s">
        <v>380</v>
      </c>
      <c r="E342" s="16" t="s">
        <v>360</v>
      </c>
      <c r="F342" s="13" t="s">
        <v>356</v>
      </c>
      <c r="G342" s="39" t="s">
        <v>354</v>
      </c>
      <c r="H342" s="13" t="s">
        <v>1552</v>
      </c>
      <c r="I342" s="47" t="s">
        <v>929</v>
      </c>
      <c r="J342" s="40">
        <v>9</v>
      </c>
      <c r="K342" s="49" t="s">
        <v>375</v>
      </c>
      <c r="L342" s="314" t="s">
        <v>307</v>
      </c>
      <c r="M342" s="20" t="s">
        <v>308</v>
      </c>
      <c r="N342" s="20" t="s">
        <v>1925</v>
      </c>
      <c r="O342" s="13" t="s">
        <v>206</v>
      </c>
      <c r="P342" s="13" t="s">
        <v>4</v>
      </c>
      <c r="Q342" s="22" t="s">
        <v>1118</v>
      </c>
      <c r="R342" s="26" t="s">
        <v>531</v>
      </c>
      <c r="S342" s="13" t="s">
        <v>532</v>
      </c>
      <c r="T342" s="13" t="s">
        <v>1387</v>
      </c>
      <c r="U342" s="26" t="s">
        <v>477</v>
      </c>
      <c r="V342" s="173" t="s">
        <v>533</v>
      </c>
      <c r="W342" s="13" t="s">
        <v>570</v>
      </c>
      <c r="X342" s="13" t="s">
        <v>570</v>
      </c>
      <c r="Y342" s="173"/>
      <c r="Z342" s="173"/>
      <c r="AA342" s="29">
        <v>30340.29</v>
      </c>
      <c r="AB342" s="29">
        <v>30340.29</v>
      </c>
      <c r="AC342" s="29">
        <v>30340.29</v>
      </c>
      <c r="AD342" s="29">
        <v>30340.29</v>
      </c>
      <c r="AE342" s="29">
        <v>0</v>
      </c>
      <c r="AF342" s="29">
        <f t="shared" si="138"/>
        <v>30340.29</v>
      </c>
      <c r="AG342" s="25">
        <v>0.12</v>
      </c>
      <c r="AH342" s="29">
        <f t="shared" si="143"/>
        <v>3640.8348000000001</v>
      </c>
      <c r="AI342" s="29">
        <f t="shared" si="144"/>
        <v>0</v>
      </c>
      <c r="AJ342" s="29">
        <f t="shared" si="145"/>
        <v>33981.124800000005</v>
      </c>
      <c r="AK342" s="29">
        <v>30340.29</v>
      </c>
      <c r="AL342" s="29">
        <f t="shared" si="151"/>
        <v>0</v>
      </c>
      <c r="AM342" s="126"/>
      <c r="AN342" s="29"/>
      <c r="AO342" s="29">
        <v>30340.29</v>
      </c>
      <c r="AP342" s="29"/>
      <c r="AQ342" s="29">
        <v>30340.29</v>
      </c>
      <c r="AR342" s="29"/>
      <c r="AS342" s="29"/>
      <c r="AT342" s="29"/>
      <c r="AU342" s="29"/>
      <c r="AV342" s="29"/>
      <c r="AW342" s="29"/>
      <c r="AX342" s="29"/>
      <c r="AY342" s="29"/>
      <c r="AZ342" s="29"/>
      <c r="BA342" s="29"/>
      <c r="BB342" s="29"/>
      <c r="BC342" s="29"/>
      <c r="BD342" s="29"/>
      <c r="BE342" s="29"/>
      <c r="BF342" s="29">
        <f t="shared" si="149"/>
        <v>0</v>
      </c>
      <c r="BG342" s="29">
        <f t="shared" si="150"/>
        <v>0</v>
      </c>
      <c r="BH342" s="29"/>
      <c r="BI342" s="23" t="s">
        <v>570</v>
      </c>
      <c r="BJ342" s="23" t="s">
        <v>570</v>
      </c>
      <c r="BK342" s="23"/>
      <c r="BL342" s="23"/>
      <c r="BM342" s="23"/>
      <c r="BN342" s="13"/>
      <c r="BO342" s="13"/>
      <c r="BP342" s="13"/>
      <c r="BQ342" s="13"/>
      <c r="BR342" s="13"/>
      <c r="BS342" s="13"/>
      <c r="BT342" s="13"/>
      <c r="BU342" s="23">
        <v>42339</v>
      </c>
      <c r="BV342" s="23" t="s">
        <v>534</v>
      </c>
      <c r="BW342" s="13" t="s">
        <v>570</v>
      </c>
      <c r="BX342" s="102" t="s">
        <v>570</v>
      </c>
      <c r="BY342" s="102" t="s">
        <v>570</v>
      </c>
      <c r="BZ342" s="102" t="s">
        <v>570</v>
      </c>
      <c r="CA342" s="102">
        <v>42356</v>
      </c>
      <c r="CB342" s="224" t="s">
        <v>570</v>
      </c>
      <c r="CC342" s="224" t="s">
        <v>570</v>
      </c>
      <c r="CD342" s="224" t="s">
        <v>570</v>
      </c>
      <c r="CE342" s="102"/>
      <c r="CF342" s="102"/>
      <c r="CG342" s="102"/>
      <c r="CH342" s="102"/>
      <c r="CI342" s="102"/>
      <c r="CJ342" s="102"/>
      <c r="CK342" s="102"/>
      <c r="CL342" s="102"/>
      <c r="CM342" s="102"/>
      <c r="CN342" s="102"/>
      <c r="CO342" s="102"/>
      <c r="CP342" s="102"/>
      <c r="CQ342" s="102"/>
      <c r="CR342" s="102"/>
      <c r="CS342" s="29" t="s">
        <v>570</v>
      </c>
      <c r="CT342" s="29" t="s">
        <v>570</v>
      </c>
      <c r="CU342" s="29" t="s">
        <v>570</v>
      </c>
      <c r="CV342" s="23"/>
      <c r="CW342" s="13"/>
      <c r="CX342" s="13"/>
      <c r="CY342" s="23">
        <v>42628</v>
      </c>
      <c r="CZ342" s="29">
        <v>4890</v>
      </c>
      <c r="DA342" s="29"/>
      <c r="DB342" s="23">
        <v>42643</v>
      </c>
      <c r="DC342" s="29">
        <v>12225</v>
      </c>
      <c r="DD342" s="198" t="s">
        <v>1022</v>
      </c>
      <c r="DE342" s="23">
        <v>42720</v>
      </c>
      <c r="DF342" s="29">
        <v>12225</v>
      </c>
      <c r="DG342" s="13"/>
      <c r="DH342" s="13"/>
      <c r="DI342" s="13"/>
      <c r="DJ342" s="13"/>
      <c r="DK342" s="13"/>
      <c r="DL342" s="13"/>
      <c r="DM342" s="13"/>
      <c r="DN342" s="13"/>
      <c r="DO342" s="13"/>
      <c r="DP342" s="13"/>
      <c r="DQ342" s="13"/>
      <c r="DR342" s="13"/>
      <c r="DS342" s="13"/>
      <c r="DT342" s="13"/>
      <c r="DU342" s="13"/>
      <c r="DV342" s="13"/>
      <c r="DW342" s="13"/>
      <c r="DX342" s="13"/>
      <c r="DY342" s="92">
        <f t="shared" si="152"/>
        <v>29340</v>
      </c>
      <c r="DZ342" s="13"/>
      <c r="EA342" s="13"/>
      <c r="EB342" s="13"/>
      <c r="EC342" s="13"/>
      <c r="ED342" s="13"/>
      <c r="EE342" s="13"/>
      <c r="EF342" s="13"/>
      <c r="EG342" s="13">
        <v>420</v>
      </c>
      <c r="EH342" s="13" t="s">
        <v>503</v>
      </c>
      <c r="EI342" s="13"/>
      <c r="EJ342" s="13"/>
      <c r="EK342" s="13"/>
      <c r="EL342" s="13"/>
      <c r="EM342" s="13"/>
      <c r="EN342" s="13"/>
      <c r="EO342" s="13"/>
      <c r="EP342" s="13"/>
      <c r="EQ342" s="13"/>
      <c r="ER342" s="13"/>
      <c r="ES342" s="13"/>
      <c r="ET342" s="13"/>
      <c r="EU342" s="13"/>
      <c r="EV342" s="13"/>
      <c r="EW342" s="13"/>
      <c r="EX342" s="13"/>
      <c r="EY342" s="13"/>
      <c r="EZ342" s="13"/>
      <c r="FA342" s="13"/>
      <c r="FB342" s="13"/>
      <c r="FC342" s="13"/>
      <c r="FD342" s="13"/>
      <c r="FE342" s="13"/>
      <c r="FF342" s="13"/>
      <c r="FG342" s="13"/>
      <c r="FH342" s="13"/>
      <c r="FI342" s="13"/>
      <c r="FJ342" s="13"/>
      <c r="FK342" s="13"/>
      <c r="FL342" s="13"/>
      <c r="FM342" s="13"/>
      <c r="FN342" s="13"/>
      <c r="FO342" s="13"/>
      <c r="FP342" s="13"/>
      <c r="FQ342" s="13"/>
      <c r="FR342" s="25">
        <v>0.2</v>
      </c>
      <c r="FS342" s="25">
        <v>0.5</v>
      </c>
      <c r="FT342" s="25">
        <v>0.5</v>
      </c>
      <c r="FU342" s="25">
        <v>0.5</v>
      </c>
      <c r="FV342" s="25">
        <v>0.57999999999999996</v>
      </c>
      <c r="FW342" s="25">
        <v>0.57999999999999996</v>
      </c>
      <c r="FX342" s="25">
        <v>0.57999999999999996</v>
      </c>
      <c r="FY342" s="25">
        <v>0.57999999999999996</v>
      </c>
      <c r="FZ342" s="25">
        <v>0.57999999999999996</v>
      </c>
      <c r="GA342" s="25">
        <v>0.57999999999999996</v>
      </c>
      <c r="GB342" s="25">
        <v>0.99</v>
      </c>
      <c r="GC342" s="25">
        <v>0.99</v>
      </c>
      <c r="GD342" s="25">
        <v>0.99</v>
      </c>
      <c r="GE342" s="25">
        <v>0.99</v>
      </c>
      <c r="GF342" s="25">
        <v>0.99</v>
      </c>
      <c r="GG342" s="25">
        <v>0.99</v>
      </c>
      <c r="GH342" s="25">
        <v>0.99539999999999995</v>
      </c>
      <c r="GI342" s="25">
        <v>0.99539999999999995</v>
      </c>
      <c r="GJ342" s="25">
        <v>1</v>
      </c>
      <c r="GK342" s="25">
        <v>1</v>
      </c>
      <c r="GL342" s="25">
        <v>1</v>
      </c>
      <c r="GM342" s="25">
        <v>1</v>
      </c>
      <c r="GN342" s="25">
        <v>1</v>
      </c>
      <c r="GO342" s="25">
        <v>1</v>
      </c>
      <c r="GP342" s="25">
        <v>1</v>
      </c>
      <c r="GQ342" s="25">
        <v>1</v>
      </c>
      <c r="GR342" s="25">
        <v>1</v>
      </c>
      <c r="GS342" s="25">
        <v>1</v>
      </c>
      <c r="GT342" s="25">
        <v>1</v>
      </c>
      <c r="GU342" s="25">
        <v>1</v>
      </c>
      <c r="GV342" s="25" t="s">
        <v>1588</v>
      </c>
      <c r="GW342" s="25" t="s">
        <v>1588</v>
      </c>
      <c r="GX342" s="25" t="s">
        <v>1588</v>
      </c>
      <c r="GY342" s="25" t="s">
        <v>1588</v>
      </c>
      <c r="GZ342" s="25" t="s">
        <v>1588</v>
      </c>
      <c r="HA342" s="25" t="s">
        <v>1588</v>
      </c>
      <c r="HB342" s="25" t="s">
        <v>1588</v>
      </c>
      <c r="HC342" s="25" t="s">
        <v>1588</v>
      </c>
      <c r="HD342" s="25" t="s">
        <v>1588</v>
      </c>
      <c r="HE342" s="25" t="s">
        <v>1588</v>
      </c>
      <c r="HF342" s="25" t="s">
        <v>1588</v>
      </c>
      <c r="HG342" s="25" t="s">
        <v>455</v>
      </c>
      <c r="HH342" s="25" t="s">
        <v>455</v>
      </c>
      <c r="HI342" s="25"/>
      <c r="HJ342" s="25"/>
      <c r="HK342" s="25"/>
      <c r="HL342" s="25" t="s">
        <v>1696</v>
      </c>
      <c r="HM342" s="84" t="s">
        <v>1793</v>
      </c>
      <c r="HN342" s="84"/>
      <c r="HO342" s="84"/>
      <c r="HP342" s="84"/>
      <c r="HQ342" s="84"/>
      <c r="HR342" s="84"/>
      <c r="HS342" s="84"/>
      <c r="HT342" s="84"/>
      <c r="HU342" s="13" t="s">
        <v>344</v>
      </c>
      <c r="HV342" s="13"/>
      <c r="HW342" s="32"/>
      <c r="HX342" s="55"/>
      <c r="HY342" s="55"/>
      <c r="HZ342" s="55"/>
      <c r="IA342" s="55"/>
      <c r="IB342" s="55"/>
      <c r="IC342" s="55"/>
      <c r="ID342" s="55"/>
      <c r="IE342" s="55"/>
      <c r="IF342" s="107">
        <v>30340.29</v>
      </c>
      <c r="IG342" s="107">
        <v>30340.29</v>
      </c>
      <c r="IH342" s="250">
        <f t="shared" si="146"/>
        <v>0</v>
      </c>
      <c r="II342" s="55"/>
      <c r="IJ342" s="55"/>
      <c r="IK342" s="55"/>
      <c r="IL342" s="55"/>
      <c r="IM342" s="55"/>
      <c r="IN342" s="55"/>
      <c r="IO342" s="55"/>
      <c r="IP342" s="55"/>
      <c r="IQ342" s="55"/>
      <c r="IR342" s="55"/>
      <c r="IS342" s="55"/>
      <c r="IT342" s="55"/>
      <c r="IU342" s="55"/>
      <c r="IV342" s="55"/>
      <c r="IW342" s="55"/>
      <c r="IX342" s="55"/>
      <c r="IY342" s="55"/>
      <c r="IZ342" s="55"/>
      <c r="JA342" s="55"/>
      <c r="JB342" s="55"/>
      <c r="JC342" s="55"/>
      <c r="JD342" s="55">
        <v>2019</v>
      </c>
    </row>
    <row r="343" spans="1:264" s="5" customFormat="1" ht="20.100000000000001" hidden="1" customHeight="1">
      <c r="A343" s="26" t="s">
        <v>188</v>
      </c>
      <c r="B343" s="26" t="s">
        <v>203</v>
      </c>
      <c r="C343" s="13" t="s">
        <v>349</v>
      </c>
      <c r="D343" s="13" t="s">
        <v>380</v>
      </c>
      <c r="E343" s="16" t="s">
        <v>360</v>
      </c>
      <c r="F343" s="13" t="s">
        <v>356</v>
      </c>
      <c r="G343" s="39" t="s">
        <v>354</v>
      </c>
      <c r="H343" s="13" t="s">
        <v>1554</v>
      </c>
      <c r="I343" s="313" t="s">
        <v>195</v>
      </c>
      <c r="J343" s="40">
        <v>5</v>
      </c>
      <c r="K343" s="49" t="s">
        <v>375</v>
      </c>
      <c r="L343" s="314" t="s">
        <v>309</v>
      </c>
      <c r="M343" s="69" t="s">
        <v>310</v>
      </c>
      <c r="N343" s="20"/>
      <c r="O343" s="13" t="s">
        <v>206</v>
      </c>
      <c r="P343" s="13" t="s">
        <v>4</v>
      </c>
      <c r="Q343" s="22" t="s">
        <v>1118</v>
      </c>
      <c r="R343" s="314" t="s">
        <v>309</v>
      </c>
      <c r="S343" s="13" t="s">
        <v>1065</v>
      </c>
      <c r="T343" s="13" t="s">
        <v>1387</v>
      </c>
      <c r="U343" s="13" t="s">
        <v>477</v>
      </c>
      <c r="V343" s="24">
        <v>1104055833001</v>
      </c>
      <c r="W343" s="13" t="s">
        <v>570</v>
      </c>
      <c r="X343" s="13" t="s">
        <v>570</v>
      </c>
      <c r="Y343" s="13" t="s">
        <v>1067</v>
      </c>
      <c r="Z343" s="13" t="s">
        <v>503</v>
      </c>
      <c r="AA343" s="29"/>
      <c r="AB343" s="29">
        <v>50000</v>
      </c>
      <c r="AC343" s="29">
        <v>0</v>
      </c>
      <c r="AD343" s="29">
        <v>50000</v>
      </c>
      <c r="AE343" s="29">
        <v>0</v>
      </c>
      <c r="AF343" s="29">
        <f t="shared" si="138"/>
        <v>50000</v>
      </c>
      <c r="AG343" s="25">
        <v>0.12</v>
      </c>
      <c r="AH343" s="29">
        <f t="shared" si="143"/>
        <v>6000</v>
      </c>
      <c r="AI343" s="29">
        <f t="shared" si="144"/>
        <v>0</v>
      </c>
      <c r="AJ343" s="29">
        <f t="shared" si="145"/>
        <v>56000.000000000007</v>
      </c>
      <c r="AK343" s="29">
        <v>50000</v>
      </c>
      <c r="AL343" s="29">
        <f t="shared" si="151"/>
        <v>0</v>
      </c>
      <c r="AM343" s="126"/>
      <c r="AN343" s="29"/>
      <c r="AO343" s="29">
        <v>50000</v>
      </c>
      <c r="AP343" s="29"/>
      <c r="AQ343" s="29">
        <v>50000</v>
      </c>
      <c r="AR343" s="29"/>
      <c r="AS343" s="29"/>
      <c r="AT343" s="29"/>
      <c r="AU343" s="29"/>
      <c r="AV343" s="29"/>
      <c r="AW343" s="29"/>
      <c r="AX343" s="29"/>
      <c r="AY343" s="29"/>
      <c r="AZ343" s="29"/>
      <c r="BA343" s="29"/>
      <c r="BB343" s="29"/>
      <c r="BC343" s="29"/>
      <c r="BD343" s="29"/>
      <c r="BE343" s="29"/>
      <c r="BF343" s="29">
        <f t="shared" si="149"/>
        <v>0</v>
      </c>
      <c r="BG343" s="29">
        <f t="shared" si="150"/>
        <v>0</v>
      </c>
      <c r="BH343" s="29"/>
      <c r="BI343" s="23" t="s">
        <v>570</v>
      </c>
      <c r="BJ343" s="23" t="s">
        <v>570</v>
      </c>
      <c r="BK343" s="23"/>
      <c r="BL343" s="23"/>
      <c r="BM343" s="23"/>
      <c r="BN343" s="13"/>
      <c r="BO343" s="13"/>
      <c r="BP343" s="13"/>
      <c r="BQ343" s="13"/>
      <c r="BR343" s="13"/>
      <c r="BS343" s="13"/>
      <c r="BT343" s="13"/>
      <c r="BU343" s="13"/>
      <c r="BV343" s="13" t="s">
        <v>570</v>
      </c>
      <c r="BW343" s="13" t="s">
        <v>570</v>
      </c>
      <c r="BX343" s="23">
        <v>42410</v>
      </c>
      <c r="BY343" s="13" t="s">
        <v>570</v>
      </c>
      <c r="BZ343" s="13" t="s">
        <v>503</v>
      </c>
      <c r="CA343" s="23">
        <v>42543</v>
      </c>
      <c r="CB343" s="224" t="s">
        <v>570</v>
      </c>
      <c r="CC343" s="224" t="s">
        <v>570</v>
      </c>
      <c r="CD343" s="224" t="s">
        <v>570</v>
      </c>
      <c r="CE343" s="13"/>
      <c r="CF343" s="13"/>
      <c r="CG343" s="13"/>
      <c r="CH343" s="13"/>
      <c r="CI343" s="13"/>
      <c r="CJ343" s="13"/>
      <c r="CK343" s="13"/>
      <c r="CL343" s="13"/>
      <c r="CM343" s="13"/>
      <c r="CN343" s="13"/>
      <c r="CO343" s="13"/>
      <c r="CP343" s="13"/>
      <c r="CQ343" s="13"/>
      <c r="CR343" s="13"/>
      <c r="CS343" s="29" t="s">
        <v>570</v>
      </c>
      <c r="CT343" s="29" t="s">
        <v>570</v>
      </c>
      <c r="CU343" s="29" t="s">
        <v>570</v>
      </c>
      <c r="CV343" s="23"/>
      <c r="CW343" s="13"/>
      <c r="CX343" s="13"/>
      <c r="CY343" s="23">
        <v>42634</v>
      </c>
      <c r="CZ343" s="29">
        <v>10000</v>
      </c>
      <c r="DA343" s="134" t="s">
        <v>1343</v>
      </c>
      <c r="DB343" s="23">
        <v>42675</v>
      </c>
      <c r="DC343" s="29">
        <v>7500</v>
      </c>
      <c r="DD343" s="199" t="s">
        <v>1344</v>
      </c>
      <c r="DE343" s="23">
        <v>42378</v>
      </c>
      <c r="DF343" s="29">
        <v>7500</v>
      </c>
      <c r="DG343" s="199" t="s">
        <v>1499</v>
      </c>
      <c r="DH343" s="166">
        <v>42796</v>
      </c>
      <c r="DI343" s="91">
        <v>7500</v>
      </c>
      <c r="DJ343" s="134" t="s">
        <v>1500</v>
      </c>
      <c r="DK343" s="99">
        <v>42850</v>
      </c>
      <c r="DL343" s="54">
        <v>7500</v>
      </c>
      <c r="DM343" s="134" t="s">
        <v>1501</v>
      </c>
      <c r="DN343" s="166">
        <v>42884</v>
      </c>
      <c r="DO343" s="243">
        <v>5000</v>
      </c>
      <c r="DP343" s="13"/>
      <c r="DQ343" s="13"/>
      <c r="DR343" s="13"/>
      <c r="DS343" s="13"/>
      <c r="DT343" s="13"/>
      <c r="DU343" s="13"/>
      <c r="DV343" s="13"/>
      <c r="DW343" s="13"/>
      <c r="DX343" s="13"/>
      <c r="DY343" s="92">
        <f t="shared" si="152"/>
        <v>45000</v>
      </c>
      <c r="DZ343" s="13"/>
      <c r="EA343" s="13"/>
      <c r="EB343" s="13"/>
      <c r="EC343" s="13"/>
      <c r="ED343" s="13"/>
      <c r="EE343" s="13"/>
      <c r="EF343" s="13"/>
      <c r="EG343" s="13"/>
      <c r="EH343" s="13"/>
      <c r="EI343" s="13"/>
      <c r="EJ343" s="13"/>
      <c r="EK343" s="13"/>
      <c r="EL343" s="13"/>
      <c r="EM343" s="13"/>
      <c r="EN343" s="13"/>
      <c r="EO343" s="13"/>
      <c r="EP343" s="13"/>
      <c r="EQ343" s="13"/>
      <c r="ER343" s="13"/>
      <c r="ES343" s="13"/>
      <c r="ET343" s="13"/>
      <c r="EU343" s="13"/>
      <c r="EV343" s="13"/>
      <c r="EW343" s="13"/>
      <c r="EX343" s="13"/>
      <c r="EY343" s="13"/>
      <c r="EZ343" s="13"/>
      <c r="FA343" s="13"/>
      <c r="FB343" s="13"/>
      <c r="FC343" s="13"/>
      <c r="FD343" s="13"/>
      <c r="FE343" s="13"/>
      <c r="FF343" s="13"/>
      <c r="FG343" s="13"/>
      <c r="FH343" s="25"/>
      <c r="FI343" s="25"/>
      <c r="FJ343" s="25"/>
      <c r="FK343" s="25"/>
      <c r="FL343" s="25"/>
      <c r="FM343" s="25"/>
      <c r="FN343" s="25">
        <v>0.05</v>
      </c>
      <c r="FO343" s="25">
        <v>0.12</v>
      </c>
      <c r="FP343" s="25">
        <v>0.17</v>
      </c>
      <c r="FQ343" s="25">
        <v>0.17</v>
      </c>
      <c r="FR343" s="25">
        <v>0.28000000000000003</v>
      </c>
      <c r="FS343" s="25">
        <v>0.32</v>
      </c>
      <c r="FT343" s="25">
        <v>0.92</v>
      </c>
      <c r="FU343" s="25">
        <v>0.93</v>
      </c>
      <c r="FV343" s="25">
        <v>1</v>
      </c>
      <c r="FW343" s="25">
        <v>1</v>
      </c>
      <c r="FX343" s="25">
        <v>1</v>
      </c>
      <c r="FY343" s="25">
        <v>1</v>
      </c>
      <c r="FZ343" s="25">
        <v>1</v>
      </c>
      <c r="GA343" s="25">
        <v>1</v>
      </c>
      <c r="GB343" s="25">
        <v>1</v>
      </c>
      <c r="GC343" s="25">
        <v>1</v>
      </c>
      <c r="GD343" s="25">
        <v>1</v>
      </c>
      <c r="GE343" s="25">
        <v>1</v>
      </c>
      <c r="GF343" s="25">
        <v>1</v>
      </c>
      <c r="GG343" s="25">
        <v>1</v>
      </c>
      <c r="GH343" s="25">
        <v>1</v>
      </c>
      <c r="GI343" s="25">
        <v>1</v>
      </c>
      <c r="GJ343" s="25">
        <v>1</v>
      </c>
      <c r="GK343" s="25">
        <v>1</v>
      </c>
      <c r="GL343" s="25">
        <v>1</v>
      </c>
      <c r="GM343" s="25">
        <v>1</v>
      </c>
      <c r="GN343" s="25">
        <v>1</v>
      </c>
      <c r="GO343" s="25">
        <v>1</v>
      </c>
      <c r="GP343" s="25">
        <v>1</v>
      </c>
      <c r="GQ343" s="25">
        <v>1</v>
      </c>
      <c r="GR343" s="25">
        <v>1</v>
      </c>
      <c r="GS343" s="25">
        <v>1</v>
      </c>
      <c r="GT343" s="25">
        <v>1</v>
      </c>
      <c r="GU343" s="25">
        <v>1</v>
      </c>
      <c r="GV343" s="25" t="s">
        <v>455</v>
      </c>
      <c r="GW343" s="25" t="s">
        <v>455</v>
      </c>
      <c r="GX343" s="25" t="s">
        <v>455</v>
      </c>
      <c r="GY343" s="25" t="s">
        <v>455</v>
      </c>
      <c r="GZ343" s="25" t="s">
        <v>455</v>
      </c>
      <c r="HA343" s="25" t="s">
        <v>455</v>
      </c>
      <c r="HB343" s="25" t="s">
        <v>455</v>
      </c>
      <c r="HC343" s="25" t="s">
        <v>455</v>
      </c>
      <c r="HD343" s="25" t="s">
        <v>455</v>
      </c>
      <c r="HE343" s="25" t="s">
        <v>455</v>
      </c>
      <c r="HF343" s="25" t="s">
        <v>455</v>
      </c>
      <c r="HG343" s="25" t="s">
        <v>455</v>
      </c>
      <c r="HH343" s="25" t="s">
        <v>455</v>
      </c>
      <c r="HI343" s="25"/>
      <c r="HJ343" s="25"/>
      <c r="HK343" s="25"/>
      <c r="HL343" s="25"/>
      <c r="HM343" s="84"/>
      <c r="HN343" s="84"/>
      <c r="HO343" s="84"/>
      <c r="HP343" s="84"/>
      <c r="HQ343" s="84"/>
      <c r="HR343" s="84"/>
      <c r="HS343" s="84"/>
      <c r="HT343" s="84"/>
      <c r="HU343" s="13"/>
      <c r="HV343" s="13"/>
      <c r="HW343" s="32"/>
      <c r="HX343" s="55"/>
      <c r="HY343" s="55"/>
      <c r="HZ343" s="55"/>
      <c r="IA343" s="55"/>
      <c r="IB343" s="55"/>
      <c r="IC343" s="55"/>
      <c r="ID343" s="55"/>
      <c r="IE343" s="55"/>
      <c r="IF343" s="107">
        <v>50000</v>
      </c>
      <c r="IG343" s="107">
        <v>50000</v>
      </c>
      <c r="IH343" s="250">
        <f t="shared" si="146"/>
        <v>0</v>
      </c>
      <c r="II343" s="55"/>
      <c r="IJ343" s="55"/>
      <c r="IK343" s="55"/>
      <c r="IL343" s="55"/>
      <c r="IM343" s="55"/>
      <c r="IN343" s="55"/>
      <c r="IO343" s="55"/>
      <c r="IP343" s="55"/>
      <c r="IQ343" s="55"/>
      <c r="IR343" s="55"/>
      <c r="IS343" s="55"/>
      <c r="IT343" s="55"/>
      <c r="IU343" s="55"/>
      <c r="IV343" s="55"/>
      <c r="IW343" s="55"/>
      <c r="IX343" s="55"/>
      <c r="IY343" s="55"/>
      <c r="IZ343" s="55"/>
      <c r="JA343" s="55"/>
      <c r="JB343" s="55"/>
      <c r="JC343" s="55"/>
      <c r="JD343" s="55">
        <v>2017</v>
      </c>
    </row>
    <row r="344" spans="1:264" s="5" customFormat="1" ht="20.100000000000001" hidden="1" customHeight="1">
      <c r="A344" s="26" t="s">
        <v>188</v>
      </c>
      <c r="B344" s="26" t="s">
        <v>203</v>
      </c>
      <c r="C344" s="13" t="s">
        <v>349</v>
      </c>
      <c r="D344" s="13" t="s">
        <v>380</v>
      </c>
      <c r="E344" s="16" t="s">
        <v>360</v>
      </c>
      <c r="F344" s="13" t="s">
        <v>356</v>
      </c>
      <c r="G344" s="39" t="s">
        <v>354</v>
      </c>
      <c r="H344" s="13" t="s">
        <v>1555</v>
      </c>
      <c r="I344" s="313" t="s">
        <v>197</v>
      </c>
      <c r="J344" s="40">
        <v>6</v>
      </c>
      <c r="K344" s="49" t="s">
        <v>375</v>
      </c>
      <c r="L344" s="314" t="s">
        <v>311</v>
      </c>
      <c r="M344" s="20" t="s">
        <v>312</v>
      </c>
      <c r="N344" s="20"/>
      <c r="O344" s="13" t="s">
        <v>206</v>
      </c>
      <c r="P344" s="13" t="s">
        <v>4</v>
      </c>
      <c r="Q344" s="22" t="s">
        <v>1118</v>
      </c>
      <c r="R344" s="314" t="s">
        <v>311</v>
      </c>
      <c r="S344" s="13" t="s">
        <v>1068</v>
      </c>
      <c r="T344" s="13" t="s">
        <v>1387</v>
      </c>
      <c r="U344" s="13" t="s">
        <v>477</v>
      </c>
      <c r="V344" s="24">
        <v>1103937635001</v>
      </c>
      <c r="W344" s="13" t="s">
        <v>570</v>
      </c>
      <c r="X344" s="13" t="s">
        <v>570</v>
      </c>
      <c r="Y344" s="13" t="s">
        <v>1069</v>
      </c>
      <c r="Z344" s="13"/>
      <c r="AA344" s="29"/>
      <c r="AB344" s="29">
        <v>25000</v>
      </c>
      <c r="AC344" s="29">
        <v>0</v>
      </c>
      <c r="AD344" s="29">
        <v>25000</v>
      </c>
      <c r="AE344" s="29">
        <v>0</v>
      </c>
      <c r="AF344" s="29">
        <f t="shared" si="138"/>
        <v>25000</v>
      </c>
      <c r="AG344" s="25">
        <v>0.12</v>
      </c>
      <c r="AH344" s="29">
        <f t="shared" si="143"/>
        <v>3000</v>
      </c>
      <c r="AI344" s="29">
        <f t="shared" si="144"/>
        <v>0</v>
      </c>
      <c r="AJ344" s="29">
        <f t="shared" si="145"/>
        <v>28000.000000000004</v>
      </c>
      <c r="AK344" s="29">
        <v>25000</v>
      </c>
      <c r="AL344" s="29">
        <f t="shared" si="151"/>
        <v>0</v>
      </c>
      <c r="AM344" s="126"/>
      <c r="AN344" s="29"/>
      <c r="AO344" s="29">
        <v>25000</v>
      </c>
      <c r="AP344" s="29"/>
      <c r="AQ344" s="29">
        <v>25000</v>
      </c>
      <c r="AR344" s="29"/>
      <c r="AS344" s="29"/>
      <c r="AT344" s="29"/>
      <c r="AU344" s="29"/>
      <c r="AV344" s="29"/>
      <c r="AW344" s="29"/>
      <c r="AX344" s="29"/>
      <c r="AY344" s="29"/>
      <c r="AZ344" s="29"/>
      <c r="BA344" s="29"/>
      <c r="BB344" s="29"/>
      <c r="BC344" s="29"/>
      <c r="BD344" s="29"/>
      <c r="BE344" s="29"/>
      <c r="BF344" s="29">
        <f t="shared" si="149"/>
        <v>0</v>
      </c>
      <c r="BG344" s="29">
        <f t="shared" si="150"/>
        <v>0</v>
      </c>
      <c r="BH344" s="29"/>
      <c r="BI344" s="23" t="s">
        <v>570</v>
      </c>
      <c r="BJ344" s="23" t="s">
        <v>570</v>
      </c>
      <c r="BK344" s="23"/>
      <c r="BL344" s="23"/>
      <c r="BM344" s="23"/>
      <c r="BN344" s="13"/>
      <c r="BO344" s="13"/>
      <c r="BP344" s="13"/>
      <c r="BQ344" s="13"/>
      <c r="BR344" s="13"/>
      <c r="BS344" s="13"/>
      <c r="BT344" s="13"/>
      <c r="BU344" s="13"/>
      <c r="BV344" s="13" t="s">
        <v>570</v>
      </c>
      <c r="BW344" s="13" t="s">
        <v>570</v>
      </c>
      <c r="BX344" s="23">
        <v>42285</v>
      </c>
      <c r="BY344" s="13" t="s">
        <v>570</v>
      </c>
      <c r="BZ344" s="13" t="s">
        <v>503</v>
      </c>
      <c r="CA344" s="23">
        <v>42355</v>
      </c>
      <c r="CB344" s="224" t="s">
        <v>570</v>
      </c>
      <c r="CC344" s="224" t="s">
        <v>570</v>
      </c>
      <c r="CD344" s="224" t="s">
        <v>570</v>
      </c>
      <c r="CE344" s="13"/>
      <c r="CF344" s="13"/>
      <c r="CG344" s="13"/>
      <c r="CH344" s="13"/>
      <c r="CI344" s="13"/>
      <c r="CJ344" s="13"/>
      <c r="CK344" s="13"/>
      <c r="CL344" s="13"/>
      <c r="CM344" s="13"/>
      <c r="CN344" s="13"/>
      <c r="CO344" s="13"/>
      <c r="CP344" s="13"/>
      <c r="CQ344" s="13"/>
      <c r="CR344" s="13"/>
      <c r="CS344" s="29" t="s">
        <v>570</v>
      </c>
      <c r="CT344" s="29" t="s">
        <v>570</v>
      </c>
      <c r="CU344" s="29" t="s">
        <v>570</v>
      </c>
      <c r="CV344" s="23"/>
      <c r="CW344" s="13"/>
      <c r="CX344" s="13"/>
      <c r="CY344" s="23">
        <v>42634</v>
      </c>
      <c r="CZ344" s="29">
        <v>8750</v>
      </c>
      <c r="DA344" s="198" t="s">
        <v>1032</v>
      </c>
      <c r="DB344" s="23">
        <v>42675</v>
      </c>
      <c r="DC344" s="29">
        <v>8750</v>
      </c>
      <c r="DD344" s="198" t="s">
        <v>1033</v>
      </c>
      <c r="DE344" s="23">
        <v>42719</v>
      </c>
      <c r="DF344" s="29">
        <v>7500</v>
      </c>
      <c r="DG344" s="13"/>
      <c r="DH344" s="13"/>
      <c r="DI344" s="13"/>
      <c r="DJ344" s="13"/>
      <c r="DK344" s="13"/>
      <c r="DL344" s="13"/>
      <c r="DM344" s="13"/>
      <c r="DN344" s="13"/>
      <c r="DO344" s="13"/>
      <c r="DP344" s="13"/>
      <c r="DQ344" s="13"/>
      <c r="DR344" s="13"/>
      <c r="DS344" s="13"/>
      <c r="DT344" s="13"/>
      <c r="DU344" s="13"/>
      <c r="DV344" s="13"/>
      <c r="DW344" s="13"/>
      <c r="DX344" s="13"/>
      <c r="DY344" s="92">
        <f t="shared" si="152"/>
        <v>25000</v>
      </c>
      <c r="DZ344" s="13"/>
      <c r="EA344" s="13"/>
      <c r="EB344" s="13"/>
      <c r="EC344" s="13"/>
      <c r="ED344" s="13"/>
      <c r="EE344" s="13"/>
      <c r="EF344" s="13"/>
      <c r="EG344" s="13"/>
      <c r="EH344" s="13"/>
      <c r="EI344" s="13"/>
      <c r="EJ344" s="13"/>
      <c r="EK344" s="13"/>
      <c r="EL344" s="13"/>
      <c r="EM344" s="13"/>
      <c r="EN344" s="13"/>
      <c r="EO344" s="13"/>
      <c r="EP344" s="13"/>
      <c r="EQ344" s="13"/>
      <c r="ER344" s="13"/>
      <c r="ES344" s="13"/>
      <c r="ET344" s="13"/>
      <c r="EU344" s="13"/>
      <c r="EV344" s="13"/>
      <c r="EW344" s="13"/>
      <c r="EX344" s="13"/>
      <c r="EY344" s="13"/>
      <c r="EZ344" s="13"/>
      <c r="FA344" s="13"/>
      <c r="FB344" s="13"/>
      <c r="FC344" s="13"/>
      <c r="FD344" s="13"/>
      <c r="FE344" s="13"/>
      <c r="FF344" s="13"/>
      <c r="FG344" s="13"/>
      <c r="FH344" s="25"/>
      <c r="FI344" s="25"/>
      <c r="FJ344" s="25"/>
      <c r="FK344" s="25"/>
      <c r="FL344" s="25"/>
      <c r="FM344" s="25"/>
      <c r="FN344" s="25">
        <v>0.05</v>
      </c>
      <c r="FO344" s="25">
        <v>0.15</v>
      </c>
      <c r="FP344" s="25">
        <v>0.3</v>
      </c>
      <c r="FQ344" s="25">
        <v>0.3</v>
      </c>
      <c r="FR344" s="25">
        <v>0.9</v>
      </c>
      <c r="FS344" s="25">
        <v>1</v>
      </c>
      <c r="FT344" s="25">
        <v>1</v>
      </c>
      <c r="FU344" s="25">
        <v>1</v>
      </c>
      <c r="FV344" s="25">
        <v>1</v>
      </c>
      <c r="FW344" s="25">
        <v>1</v>
      </c>
      <c r="FX344" s="25">
        <v>1</v>
      </c>
      <c r="FY344" s="25">
        <v>1</v>
      </c>
      <c r="FZ344" s="25">
        <v>1</v>
      </c>
      <c r="GA344" s="25">
        <v>1</v>
      </c>
      <c r="GB344" s="25">
        <v>1</v>
      </c>
      <c r="GC344" s="25">
        <v>1</v>
      </c>
      <c r="GD344" s="25">
        <v>1</v>
      </c>
      <c r="GE344" s="25">
        <v>1</v>
      </c>
      <c r="GF344" s="25">
        <v>1</v>
      </c>
      <c r="GG344" s="25">
        <v>1</v>
      </c>
      <c r="GH344" s="25">
        <v>1</v>
      </c>
      <c r="GI344" s="25">
        <v>1</v>
      </c>
      <c r="GJ344" s="25">
        <v>1</v>
      </c>
      <c r="GK344" s="25">
        <v>1</v>
      </c>
      <c r="GL344" s="25">
        <v>1</v>
      </c>
      <c r="GM344" s="25">
        <v>1</v>
      </c>
      <c r="GN344" s="25">
        <v>1</v>
      </c>
      <c r="GO344" s="25">
        <v>1</v>
      </c>
      <c r="GP344" s="25">
        <v>1</v>
      </c>
      <c r="GQ344" s="25">
        <v>1</v>
      </c>
      <c r="GR344" s="25">
        <v>1</v>
      </c>
      <c r="GS344" s="25">
        <v>1</v>
      </c>
      <c r="GT344" s="25">
        <v>1</v>
      </c>
      <c r="GU344" s="25">
        <v>1</v>
      </c>
      <c r="GV344" s="25" t="s">
        <v>455</v>
      </c>
      <c r="GW344" s="25" t="s">
        <v>455</v>
      </c>
      <c r="GX344" s="25" t="s">
        <v>455</v>
      </c>
      <c r="GY344" s="25" t="s">
        <v>455</v>
      </c>
      <c r="GZ344" s="25" t="s">
        <v>455</v>
      </c>
      <c r="HA344" s="25" t="s">
        <v>455</v>
      </c>
      <c r="HB344" s="25" t="s">
        <v>455</v>
      </c>
      <c r="HC344" s="25" t="s">
        <v>455</v>
      </c>
      <c r="HD344" s="25" t="s">
        <v>455</v>
      </c>
      <c r="HE344" s="25" t="s">
        <v>455</v>
      </c>
      <c r="HF344" s="25" t="s">
        <v>455</v>
      </c>
      <c r="HG344" s="25" t="s">
        <v>455</v>
      </c>
      <c r="HH344" s="25" t="s">
        <v>455</v>
      </c>
      <c r="HI344" s="25"/>
      <c r="HJ344" s="25"/>
      <c r="HK344" s="25"/>
      <c r="HL344" s="25"/>
      <c r="HM344" s="84"/>
      <c r="HN344" s="84"/>
      <c r="HO344" s="84"/>
      <c r="HP344" s="84"/>
      <c r="HQ344" s="84"/>
      <c r="HR344" s="84"/>
      <c r="HS344" s="84"/>
      <c r="HT344" s="84"/>
      <c r="HU344" s="13"/>
      <c r="HV344" s="13"/>
      <c r="HW344" s="32"/>
      <c r="HX344" s="55"/>
      <c r="HY344" s="55"/>
      <c r="HZ344" s="55"/>
      <c r="IA344" s="55"/>
      <c r="IB344" s="55"/>
      <c r="IC344" s="55"/>
      <c r="ID344" s="55"/>
      <c r="IE344" s="55"/>
      <c r="IF344" s="107">
        <v>25000</v>
      </c>
      <c r="IG344" s="107">
        <v>25000</v>
      </c>
      <c r="IH344" s="250">
        <f t="shared" si="146"/>
        <v>0</v>
      </c>
      <c r="II344" s="55"/>
      <c r="IJ344" s="55"/>
      <c r="IK344" s="55"/>
      <c r="IL344" s="55"/>
      <c r="IM344" s="55"/>
      <c r="IN344" s="55"/>
      <c r="IO344" s="55"/>
      <c r="IP344" s="55"/>
      <c r="IQ344" s="55"/>
      <c r="IR344" s="55"/>
      <c r="IS344" s="55"/>
      <c r="IT344" s="55"/>
      <c r="IU344" s="55"/>
      <c r="IV344" s="55"/>
      <c r="IW344" s="55"/>
      <c r="IX344" s="55"/>
      <c r="IY344" s="55"/>
      <c r="IZ344" s="55"/>
      <c r="JA344" s="55"/>
      <c r="JB344" s="55"/>
      <c r="JC344" s="55"/>
      <c r="JD344" s="55">
        <v>2016</v>
      </c>
    </row>
    <row r="345" spans="1:264" s="5" customFormat="1" ht="24.95" hidden="1" customHeight="1">
      <c r="A345" s="26" t="s">
        <v>23</v>
      </c>
      <c r="B345" s="26" t="s">
        <v>313</v>
      </c>
      <c r="C345" s="13" t="s">
        <v>358</v>
      </c>
      <c r="D345" s="13" t="s">
        <v>379</v>
      </c>
      <c r="E345" s="13" t="s">
        <v>361</v>
      </c>
      <c r="F345" s="13" t="s">
        <v>361</v>
      </c>
      <c r="G345" s="39" t="s">
        <v>354</v>
      </c>
      <c r="H345" s="28" t="s">
        <v>1518</v>
      </c>
      <c r="I345" s="313" t="s">
        <v>315</v>
      </c>
      <c r="J345" s="48">
        <v>10</v>
      </c>
      <c r="K345" s="49" t="s">
        <v>375</v>
      </c>
      <c r="L345" s="314" t="s">
        <v>314</v>
      </c>
      <c r="M345" s="20" t="s">
        <v>315</v>
      </c>
      <c r="N345" s="20"/>
      <c r="O345" s="13" t="s">
        <v>3</v>
      </c>
      <c r="P345" s="13" t="s">
        <v>4</v>
      </c>
      <c r="Q345" s="22" t="s">
        <v>1118</v>
      </c>
      <c r="R345" s="22" t="s">
        <v>667</v>
      </c>
      <c r="S345" s="13" t="s">
        <v>456</v>
      </c>
      <c r="T345" s="13" t="s">
        <v>1387</v>
      </c>
      <c r="U345" s="13" t="s">
        <v>479</v>
      </c>
      <c r="V345" s="13" t="s">
        <v>482</v>
      </c>
      <c r="W345" s="13" t="s">
        <v>570</v>
      </c>
      <c r="X345" s="13" t="s">
        <v>570</v>
      </c>
      <c r="Y345" s="13" t="s">
        <v>503</v>
      </c>
      <c r="Z345" s="13" t="s">
        <v>503</v>
      </c>
      <c r="AA345" s="29"/>
      <c r="AB345" s="29">
        <v>67200</v>
      </c>
      <c r="AC345" s="29">
        <v>0</v>
      </c>
      <c r="AD345" s="29">
        <v>67200</v>
      </c>
      <c r="AE345" s="29">
        <v>0</v>
      </c>
      <c r="AF345" s="29">
        <f t="shared" si="138"/>
        <v>67200</v>
      </c>
      <c r="AG345" s="25">
        <v>0.12</v>
      </c>
      <c r="AH345" s="29">
        <f t="shared" si="143"/>
        <v>8064</v>
      </c>
      <c r="AI345" s="29">
        <f t="shared" si="144"/>
        <v>0</v>
      </c>
      <c r="AJ345" s="29">
        <f t="shared" si="145"/>
        <v>75264</v>
      </c>
      <c r="AK345" s="29">
        <v>67200</v>
      </c>
      <c r="AL345" s="29">
        <f t="shared" si="151"/>
        <v>0</v>
      </c>
      <c r="AM345" s="126"/>
      <c r="AN345" s="29"/>
      <c r="AO345" s="29">
        <v>67200</v>
      </c>
      <c r="AP345" s="29"/>
      <c r="AQ345" s="29">
        <v>67200</v>
      </c>
      <c r="AR345" s="35">
        <v>0.14000000000000001</v>
      </c>
      <c r="AS345" s="35"/>
      <c r="AT345" s="29">
        <f>+AQ345*1.14</f>
        <v>76608</v>
      </c>
      <c r="AU345" s="29"/>
      <c r="AV345" s="29"/>
      <c r="AW345" s="29"/>
      <c r="AX345" s="29"/>
      <c r="AY345" s="29"/>
      <c r="AZ345" s="29"/>
      <c r="BA345" s="29"/>
      <c r="BB345" s="29"/>
      <c r="BC345" s="29"/>
      <c r="BD345" s="29"/>
      <c r="BE345" s="29"/>
      <c r="BF345" s="29">
        <f t="shared" si="149"/>
        <v>0</v>
      </c>
      <c r="BG345" s="29">
        <f t="shared" si="150"/>
        <v>0</v>
      </c>
      <c r="BH345" s="29" t="s">
        <v>585</v>
      </c>
      <c r="BI345" s="29" t="s">
        <v>570</v>
      </c>
      <c r="BJ345" s="23" t="s">
        <v>570</v>
      </c>
      <c r="BK345" s="29" t="s">
        <v>570</v>
      </c>
      <c r="BL345" s="29" t="s">
        <v>570</v>
      </c>
      <c r="BM345" s="29" t="s">
        <v>570</v>
      </c>
      <c r="BN345" s="23">
        <v>42285</v>
      </c>
      <c r="BO345" s="13"/>
      <c r="BP345" s="13"/>
      <c r="BQ345" s="23">
        <v>42317</v>
      </c>
      <c r="BR345" s="13" t="s">
        <v>570</v>
      </c>
      <c r="BS345" s="13"/>
      <c r="BT345" s="13"/>
      <c r="BU345" s="13" t="s">
        <v>570</v>
      </c>
      <c r="BV345" s="13" t="s">
        <v>570</v>
      </c>
      <c r="BW345" s="224" t="s">
        <v>570</v>
      </c>
      <c r="BX345" s="13" t="s">
        <v>503</v>
      </c>
      <c r="BY345" s="13" t="s">
        <v>570</v>
      </c>
      <c r="BZ345" s="23">
        <v>42555</v>
      </c>
      <c r="CA345" s="23">
        <v>42599</v>
      </c>
      <c r="CB345" s="224" t="s">
        <v>570</v>
      </c>
      <c r="CC345" s="224" t="s">
        <v>570</v>
      </c>
      <c r="CD345" s="224" t="s">
        <v>570</v>
      </c>
      <c r="CE345" s="23"/>
      <c r="CF345" s="127" t="s">
        <v>829</v>
      </c>
      <c r="CG345" s="23"/>
      <c r="CH345" s="23"/>
      <c r="CI345" s="23"/>
      <c r="CJ345" s="23"/>
      <c r="CK345" s="23"/>
      <c r="CL345" s="23"/>
      <c r="CM345" s="23"/>
      <c r="CN345" s="23"/>
      <c r="CO345" s="23"/>
      <c r="CP345" s="23"/>
      <c r="CQ345" s="23"/>
      <c r="CR345" s="127" t="s">
        <v>829</v>
      </c>
      <c r="CS345" s="29" t="s">
        <v>570</v>
      </c>
      <c r="CT345" s="29" t="s">
        <v>570</v>
      </c>
      <c r="CU345" s="29" t="s">
        <v>570</v>
      </c>
      <c r="CV345" s="23"/>
      <c r="CW345" s="93">
        <v>0</v>
      </c>
      <c r="CX345" s="93"/>
      <c r="CY345" s="23">
        <v>42690</v>
      </c>
      <c r="CZ345" s="29">
        <v>67200</v>
      </c>
      <c r="DA345" s="29"/>
      <c r="DB345" s="2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92">
        <f t="shared" si="152"/>
        <v>67200</v>
      </c>
      <c r="DZ345" s="13"/>
      <c r="EA345" s="13"/>
      <c r="EB345" s="13"/>
      <c r="EC345" s="13"/>
      <c r="ED345" s="13"/>
      <c r="EE345" s="13"/>
      <c r="EF345" s="13"/>
      <c r="EG345" s="13">
        <v>45</v>
      </c>
      <c r="EH345" s="13" t="s">
        <v>588</v>
      </c>
      <c r="EI345" s="23">
        <f>CA345+1</f>
        <v>42600</v>
      </c>
      <c r="EJ345" s="23">
        <f>EI345+EG345</f>
        <v>42645</v>
      </c>
      <c r="EK345" s="13"/>
      <c r="EL345" s="13"/>
      <c r="EM345" s="13"/>
      <c r="EN345" s="13"/>
      <c r="EO345" s="13"/>
      <c r="EP345" s="13"/>
      <c r="EQ345" s="13"/>
      <c r="ER345" s="13"/>
      <c r="ES345" s="13"/>
      <c r="ET345" s="13"/>
      <c r="EU345" s="13"/>
      <c r="EV345" s="13"/>
      <c r="EW345" s="13"/>
      <c r="EX345" s="13"/>
      <c r="EY345" s="13"/>
      <c r="EZ345" s="13"/>
      <c r="FA345" s="13"/>
      <c r="FB345" s="13"/>
      <c r="FC345" s="13"/>
      <c r="FD345" s="13"/>
      <c r="FE345" s="13"/>
      <c r="FF345" s="13"/>
      <c r="FG345" s="13" t="s">
        <v>503</v>
      </c>
      <c r="FH345" s="13"/>
      <c r="FI345" s="13"/>
      <c r="FJ345" s="13"/>
      <c r="FK345" s="13"/>
      <c r="FL345" s="13"/>
      <c r="FM345" s="13"/>
      <c r="FN345" s="13"/>
      <c r="FO345" s="13"/>
      <c r="FP345" s="13"/>
      <c r="FQ345" s="13"/>
      <c r="FR345" s="13"/>
      <c r="FS345" s="25">
        <v>1</v>
      </c>
      <c r="FT345" s="25">
        <v>1</v>
      </c>
      <c r="FU345" s="25">
        <v>1</v>
      </c>
      <c r="FV345" s="25">
        <v>1</v>
      </c>
      <c r="FW345" s="25">
        <v>1</v>
      </c>
      <c r="FX345" s="25">
        <v>1</v>
      </c>
      <c r="FY345" s="25">
        <v>1</v>
      </c>
      <c r="FZ345" s="25">
        <v>1</v>
      </c>
      <c r="GA345" s="25">
        <v>1</v>
      </c>
      <c r="GB345" s="25">
        <v>1</v>
      </c>
      <c r="GC345" s="25">
        <v>1</v>
      </c>
      <c r="GD345" s="25">
        <v>1</v>
      </c>
      <c r="GE345" s="25">
        <v>1</v>
      </c>
      <c r="GF345" s="25">
        <v>1</v>
      </c>
      <c r="GG345" s="25">
        <v>1</v>
      </c>
      <c r="GH345" s="25">
        <v>1</v>
      </c>
      <c r="GI345" s="25">
        <v>1</v>
      </c>
      <c r="GJ345" s="25">
        <v>1</v>
      </c>
      <c r="GK345" s="25">
        <v>1</v>
      </c>
      <c r="GL345" s="25">
        <v>1</v>
      </c>
      <c r="GM345" s="25">
        <v>1</v>
      </c>
      <c r="GN345" s="25">
        <v>1</v>
      </c>
      <c r="GO345" s="25">
        <v>1</v>
      </c>
      <c r="GP345" s="25">
        <v>1</v>
      </c>
      <c r="GQ345" s="25">
        <v>1</v>
      </c>
      <c r="GR345" s="25">
        <v>1</v>
      </c>
      <c r="GS345" s="25">
        <v>1</v>
      </c>
      <c r="GT345" s="25">
        <v>1</v>
      </c>
      <c r="GU345" s="25">
        <v>1</v>
      </c>
      <c r="GV345" s="25" t="s">
        <v>455</v>
      </c>
      <c r="GW345" s="25" t="s">
        <v>455</v>
      </c>
      <c r="GX345" s="25" t="s">
        <v>455</v>
      </c>
      <c r="GY345" s="25" t="s">
        <v>455</v>
      </c>
      <c r="GZ345" s="25" t="s">
        <v>455</v>
      </c>
      <c r="HA345" s="25" t="s">
        <v>455</v>
      </c>
      <c r="HB345" s="25" t="s">
        <v>455</v>
      </c>
      <c r="HC345" s="25" t="s">
        <v>455</v>
      </c>
      <c r="HD345" s="25" t="s">
        <v>455</v>
      </c>
      <c r="HE345" s="25" t="s">
        <v>455</v>
      </c>
      <c r="HF345" s="25" t="s">
        <v>455</v>
      </c>
      <c r="HG345" s="25" t="s">
        <v>455</v>
      </c>
      <c r="HH345" s="25" t="s">
        <v>455</v>
      </c>
      <c r="HI345" s="25"/>
      <c r="HJ345" s="25"/>
      <c r="HK345" s="25"/>
      <c r="HL345" s="25"/>
      <c r="HM345" s="84"/>
      <c r="HN345" s="84"/>
      <c r="HO345" s="84"/>
      <c r="HP345" s="84"/>
      <c r="HQ345" s="84"/>
      <c r="HR345" s="84"/>
      <c r="HS345" s="84"/>
      <c r="HT345" s="84"/>
      <c r="HU345" s="13"/>
      <c r="HV345" s="13"/>
      <c r="HW345" s="32"/>
      <c r="HX345" s="55"/>
      <c r="HY345" s="55"/>
      <c r="HZ345" s="55"/>
      <c r="IA345" s="55"/>
      <c r="IB345" s="55"/>
      <c r="IC345" s="55"/>
      <c r="ID345" s="55"/>
      <c r="IE345" s="55"/>
      <c r="IF345" s="107">
        <v>67200</v>
      </c>
      <c r="IG345" s="107">
        <v>67200</v>
      </c>
      <c r="IH345" s="250">
        <f t="shared" si="146"/>
        <v>0</v>
      </c>
      <c r="II345" s="55"/>
      <c r="IJ345" s="55"/>
      <c r="IK345" s="55"/>
      <c r="IL345" s="55"/>
      <c r="IM345" s="55"/>
      <c r="IN345" s="55"/>
      <c r="IO345" s="55"/>
      <c r="IP345" s="55"/>
      <c r="IQ345" s="55"/>
      <c r="IR345" s="55"/>
      <c r="IS345" s="55"/>
      <c r="IT345" s="55"/>
      <c r="IU345" s="55"/>
      <c r="IV345" s="55"/>
      <c r="IW345" s="55"/>
      <c r="IX345" s="55"/>
      <c r="IY345" s="55"/>
      <c r="IZ345" s="55"/>
      <c r="JA345" s="55"/>
      <c r="JB345" s="55"/>
      <c r="JC345" s="55"/>
      <c r="JD345" s="55">
        <v>2016</v>
      </c>
    </row>
    <row r="346" spans="1:264" s="5" customFormat="1" ht="24.95" hidden="1" customHeight="1">
      <c r="A346" s="26" t="s">
        <v>23</v>
      </c>
      <c r="B346" s="26" t="s">
        <v>313</v>
      </c>
      <c r="C346" s="13" t="s">
        <v>358</v>
      </c>
      <c r="D346" s="13" t="s">
        <v>379</v>
      </c>
      <c r="E346" s="13" t="s">
        <v>361</v>
      </c>
      <c r="F346" s="13" t="s">
        <v>361</v>
      </c>
      <c r="G346" s="39" t="s">
        <v>354</v>
      </c>
      <c r="H346" s="28" t="s">
        <v>1518</v>
      </c>
      <c r="I346" s="313" t="s">
        <v>317</v>
      </c>
      <c r="J346" s="48">
        <v>11</v>
      </c>
      <c r="K346" s="49" t="s">
        <v>375</v>
      </c>
      <c r="L346" s="314" t="s">
        <v>316</v>
      </c>
      <c r="M346" s="20" t="s">
        <v>317</v>
      </c>
      <c r="N346" s="20"/>
      <c r="O346" s="13" t="s">
        <v>3</v>
      </c>
      <c r="P346" s="13" t="s">
        <v>4</v>
      </c>
      <c r="Q346" s="22" t="s">
        <v>1118</v>
      </c>
      <c r="R346" s="44" t="s">
        <v>664</v>
      </c>
      <c r="S346" s="13" t="s">
        <v>665</v>
      </c>
      <c r="T346" s="13" t="s">
        <v>1387</v>
      </c>
      <c r="U346" s="13" t="s">
        <v>479</v>
      </c>
      <c r="V346" s="13" t="s">
        <v>669</v>
      </c>
      <c r="W346" s="13" t="s">
        <v>570</v>
      </c>
      <c r="X346" s="13" t="s">
        <v>570</v>
      </c>
      <c r="Y346" s="13" t="s">
        <v>666</v>
      </c>
      <c r="Z346" s="13"/>
      <c r="AA346" s="29"/>
      <c r="AB346" s="29">
        <v>60480</v>
      </c>
      <c r="AC346" s="29">
        <v>0</v>
      </c>
      <c r="AD346" s="29">
        <v>60480</v>
      </c>
      <c r="AE346" s="29">
        <v>0</v>
      </c>
      <c r="AF346" s="29">
        <f t="shared" si="138"/>
        <v>60480</v>
      </c>
      <c r="AG346" s="25">
        <v>0.12</v>
      </c>
      <c r="AH346" s="29">
        <f t="shared" ref="AH346:AH370" si="153">AD346*0.12</f>
        <v>7257.5999999999995</v>
      </c>
      <c r="AI346" s="29">
        <f t="shared" ref="AI346:AI370" si="154">AE346*0.12</f>
        <v>0</v>
      </c>
      <c r="AJ346" s="29">
        <f t="shared" ref="AJ346:AJ370" si="155">AF346*1.12</f>
        <v>67737.600000000006</v>
      </c>
      <c r="AK346" s="29">
        <v>60480</v>
      </c>
      <c r="AL346" s="29">
        <f t="shared" si="151"/>
        <v>0</v>
      </c>
      <c r="AM346" s="126"/>
      <c r="AN346" s="29"/>
      <c r="AO346" s="29">
        <v>60480</v>
      </c>
      <c r="AP346" s="29"/>
      <c r="AQ346" s="29">
        <v>60480</v>
      </c>
      <c r="AR346" s="35">
        <v>0.14000000000000001</v>
      </c>
      <c r="AS346" s="35"/>
      <c r="AT346" s="29">
        <f>AQ346*1.14</f>
        <v>68947.199999999997</v>
      </c>
      <c r="AU346" s="29"/>
      <c r="AV346" s="29"/>
      <c r="AW346" s="29"/>
      <c r="AX346" s="29"/>
      <c r="AY346" s="29"/>
      <c r="AZ346" s="29"/>
      <c r="BA346" s="29"/>
      <c r="BB346" s="29"/>
      <c r="BC346" s="29"/>
      <c r="BD346" s="29"/>
      <c r="BE346" s="29"/>
      <c r="BF346" s="29">
        <f t="shared" si="149"/>
        <v>0</v>
      </c>
      <c r="BG346" s="29">
        <f t="shared" si="150"/>
        <v>0</v>
      </c>
      <c r="BH346" s="29" t="s">
        <v>585</v>
      </c>
      <c r="BI346" s="29" t="s">
        <v>570</v>
      </c>
      <c r="BJ346" s="23" t="s">
        <v>570</v>
      </c>
      <c r="BK346" s="29" t="s">
        <v>570</v>
      </c>
      <c r="BL346" s="29" t="s">
        <v>570</v>
      </c>
      <c r="BM346" s="29" t="s">
        <v>570</v>
      </c>
      <c r="BN346" s="23">
        <v>42285</v>
      </c>
      <c r="BO346" s="13"/>
      <c r="BP346" s="13"/>
      <c r="BQ346" s="23">
        <v>42317</v>
      </c>
      <c r="BR346" s="13" t="s">
        <v>570</v>
      </c>
      <c r="BS346" s="13"/>
      <c r="BT346" s="13"/>
      <c r="BU346" s="13" t="s">
        <v>570</v>
      </c>
      <c r="BV346" s="13" t="s">
        <v>570</v>
      </c>
      <c r="BW346" s="224" t="s">
        <v>570</v>
      </c>
      <c r="BX346" s="13" t="s">
        <v>503</v>
      </c>
      <c r="BY346" s="13" t="s">
        <v>570</v>
      </c>
      <c r="BZ346" s="23">
        <v>42555</v>
      </c>
      <c r="CA346" s="23">
        <v>42620</v>
      </c>
      <c r="CB346" s="224" t="s">
        <v>570</v>
      </c>
      <c r="CC346" s="224" t="s">
        <v>570</v>
      </c>
      <c r="CD346" s="224" t="s">
        <v>570</v>
      </c>
      <c r="CE346" s="23"/>
      <c r="CF346" s="127" t="s">
        <v>829</v>
      </c>
      <c r="CG346" s="23"/>
      <c r="CH346" s="23"/>
      <c r="CI346" s="23"/>
      <c r="CJ346" s="23"/>
      <c r="CK346" s="23"/>
      <c r="CL346" s="23"/>
      <c r="CM346" s="23"/>
      <c r="CN346" s="23"/>
      <c r="CO346" s="23"/>
      <c r="CP346" s="23"/>
      <c r="CQ346" s="23"/>
      <c r="CR346" s="127" t="s">
        <v>829</v>
      </c>
      <c r="CS346" s="29" t="s">
        <v>570</v>
      </c>
      <c r="CT346" s="29" t="s">
        <v>570</v>
      </c>
      <c r="CU346" s="29" t="s">
        <v>570</v>
      </c>
      <c r="CV346" s="23"/>
      <c r="CW346" s="93">
        <v>0</v>
      </c>
      <c r="CX346" s="93"/>
      <c r="CY346" s="23">
        <v>42713</v>
      </c>
      <c r="CZ346" s="29">
        <v>60480</v>
      </c>
      <c r="DA346" s="13"/>
      <c r="DB346" s="2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92">
        <f t="shared" si="152"/>
        <v>60480</v>
      </c>
      <c r="DZ346" s="13"/>
      <c r="EA346" s="13"/>
      <c r="EB346" s="13"/>
      <c r="EC346" s="13"/>
      <c r="ED346" s="13"/>
      <c r="EE346" s="13"/>
      <c r="EF346" s="13"/>
      <c r="EG346" s="13">
        <v>45</v>
      </c>
      <c r="EH346" s="13" t="s">
        <v>588</v>
      </c>
      <c r="EI346" s="23">
        <f>CA346+1</f>
        <v>42621</v>
      </c>
      <c r="EJ346" s="23">
        <f>EI346+EG346</f>
        <v>42666</v>
      </c>
      <c r="EK346" s="13"/>
      <c r="EL346" s="13"/>
      <c r="EM346" s="13"/>
      <c r="EN346" s="13"/>
      <c r="EO346" s="13"/>
      <c r="EP346" s="13"/>
      <c r="EQ346" s="13"/>
      <c r="ER346" s="13"/>
      <c r="ES346" s="13"/>
      <c r="ET346" s="13"/>
      <c r="EU346" s="13"/>
      <c r="EV346" s="13"/>
      <c r="EW346" s="13"/>
      <c r="EX346" s="13"/>
      <c r="EY346" s="13"/>
      <c r="EZ346" s="13"/>
      <c r="FA346" s="13"/>
      <c r="FB346" s="13"/>
      <c r="FC346" s="13"/>
      <c r="FD346" s="13"/>
      <c r="FE346" s="13"/>
      <c r="FF346" s="13"/>
      <c r="FG346" s="13" t="s">
        <v>503</v>
      </c>
      <c r="FH346" s="13"/>
      <c r="FI346" s="13"/>
      <c r="FJ346" s="13"/>
      <c r="FK346" s="13"/>
      <c r="FL346" s="13"/>
      <c r="FM346" s="13"/>
      <c r="FN346" s="13"/>
      <c r="FO346" s="13"/>
      <c r="FP346" s="13"/>
      <c r="FQ346" s="13"/>
      <c r="FR346" s="13"/>
      <c r="FS346" s="25">
        <v>1</v>
      </c>
      <c r="FT346" s="25">
        <v>1</v>
      </c>
      <c r="FU346" s="25">
        <v>1</v>
      </c>
      <c r="FV346" s="25">
        <v>1</v>
      </c>
      <c r="FW346" s="25">
        <v>1</v>
      </c>
      <c r="FX346" s="25">
        <v>1</v>
      </c>
      <c r="FY346" s="25">
        <v>1</v>
      </c>
      <c r="FZ346" s="25">
        <v>1</v>
      </c>
      <c r="GA346" s="25">
        <v>1</v>
      </c>
      <c r="GB346" s="25">
        <v>1</v>
      </c>
      <c r="GC346" s="25">
        <v>1</v>
      </c>
      <c r="GD346" s="25">
        <v>1</v>
      </c>
      <c r="GE346" s="25">
        <v>1</v>
      </c>
      <c r="GF346" s="25">
        <v>1</v>
      </c>
      <c r="GG346" s="25">
        <v>1</v>
      </c>
      <c r="GH346" s="25">
        <v>1</v>
      </c>
      <c r="GI346" s="25">
        <v>1</v>
      </c>
      <c r="GJ346" s="25">
        <v>1</v>
      </c>
      <c r="GK346" s="25">
        <v>1</v>
      </c>
      <c r="GL346" s="25">
        <v>1</v>
      </c>
      <c r="GM346" s="25">
        <v>1</v>
      </c>
      <c r="GN346" s="25">
        <v>1</v>
      </c>
      <c r="GO346" s="25">
        <v>1</v>
      </c>
      <c r="GP346" s="25">
        <v>1</v>
      </c>
      <c r="GQ346" s="25">
        <v>1</v>
      </c>
      <c r="GR346" s="25">
        <v>1</v>
      </c>
      <c r="GS346" s="25">
        <v>1</v>
      </c>
      <c r="GT346" s="25">
        <v>1</v>
      </c>
      <c r="GU346" s="25">
        <v>1</v>
      </c>
      <c r="GV346" s="25" t="s">
        <v>455</v>
      </c>
      <c r="GW346" s="25" t="s">
        <v>455</v>
      </c>
      <c r="GX346" s="25" t="s">
        <v>455</v>
      </c>
      <c r="GY346" s="25" t="s">
        <v>455</v>
      </c>
      <c r="GZ346" s="25" t="s">
        <v>455</v>
      </c>
      <c r="HA346" s="25" t="s">
        <v>455</v>
      </c>
      <c r="HB346" s="25" t="s">
        <v>455</v>
      </c>
      <c r="HC346" s="25" t="s">
        <v>455</v>
      </c>
      <c r="HD346" s="25" t="s">
        <v>455</v>
      </c>
      <c r="HE346" s="25" t="s">
        <v>455</v>
      </c>
      <c r="HF346" s="25" t="s">
        <v>455</v>
      </c>
      <c r="HG346" s="25" t="s">
        <v>455</v>
      </c>
      <c r="HH346" s="25" t="s">
        <v>455</v>
      </c>
      <c r="HI346" s="25"/>
      <c r="HJ346" s="25"/>
      <c r="HK346" s="25"/>
      <c r="HL346" s="25"/>
      <c r="HM346" s="84"/>
      <c r="HN346" s="84"/>
      <c r="HO346" s="84"/>
      <c r="HP346" s="84"/>
      <c r="HQ346" s="84"/>
      <c r="HR346" s="84"/>
      <c r="HS346" s="84"/>
      <c r="HT346" s="84"/>
      <c r="HU346" s="13"/>
      <c r="HV346" s="13"/>
      <c r="HW346" s="32"/>
      <c r="HX346" s="55"/>
      <c r="HY346" s="55"/>
      <c r="HZ346" s="55"/>
      <c r="IA346" s="55"/>
      <c r="IB346" s="55"/>
      <c r="IC346" s="55"/>
      <c r="ID346" s="55"/>
      <c r="IE346" s="55"/>
      <c r="IF346" s="107">
        <v>60480</v>
      </c>
      <c r="IG346" s="107">
        <v>60480</v>
      </c>
      <c r="IH346" s="250">
        <f t="shared" ref="IH346:IH371" si="156">AK346-IG346</f>
        <v>0</v>
      </c>
      <c r="II346" s="55"/>
      <c r="IJ346" s="55"/>
      <c r="IK346" s="55"/>
      <c r="IL346" s="55"/>
      <c r="IM346" s="55"/>
      <c r="IN346" s="55"/>
      <c r="IO346" s="55"/>
      <c r="IP346" s="55"/>
      <c r="IQ346" s="55"/>
      <c r="IR346" s="55"/>
      <c r="IS346" s="55"/>
      <c r="IT346" s="55"/>
      <c r="IU346" s="55"/>
      <c r="IV346" s="55"/>
      <c r="IW346" s="55"/>
      <c r="IX346" s="55"/>
      <c r="IY346" s="55"/>
      <c r="IZ346" s="55"/>
      <c r="JA346" s="55"/>
      <c r="JB346" s="55"/>
      <c r="JC346" s="55"/>
      <c r="JD346" s="55">
        <v>2016</v>
      </c>
    </row>
    <row r="347" spans="1:264" s="5" customFormat="1" ht="24.95" hidden="1" customHeight="1">
      <c r="A347" s="26" t="s">
        <v>23</v>
      </c>
      <c r="B347" s="26" t="s">
        <v>313</v>
      </c>
      <c r="C347" s="13" t="s">
        <v>358</v>
      </c>
      <c r="D347" s="13" t="s">
        <v>379</v>
      </c>
      <c r="E347" s="16" t="s">
        <v>359</v>
      </c>
      <c r="F347" s="13" t="s">
        <v>359</v>
      </c>
      <c r="G347" s="39" t="s">
        <v>354</v>
      </c>
      <c r="H347" s="28" t="s">
        <v>1518</v>
      </c>
      <c r="I347" s="313" t="s">
        <v>825</v>
      </c>
      <c r="J347" s="48">
        <v>12</v>
      </c>
      <c r="K347" s="49" t="s">
        <v>375</v>
      </c>
      <c r="L347" s="314" t="s">
        <v>318</v>
      </c>
      <c r="M347" s="20" t="s">
        <v>825</v>
      </c>
      <c r="N347" s="20"/>
      <c r="O347" s="13" t="s">
        <v>3</v>
      </c>
      <c r="P347" s="13" t="s">
        <v>4</v>
      </c>
      <c r="Q347" s="22" t="s">
        <v>1118</v>
      </c>
      <c r="R347" s="22" t="s">
        <v>1591</v>
      </c>
      <c r="S347" s="13" t="s">
        <v>1592</v>
      </c>
      <c r="T347" s="13" t="s">
        <v>1387</v>
      </c>
      <c r="U347" s="13" t="s">
        <v>477</v>
      </c>
      <c r="V347" s="13" t="s">
        <v>1593</v>
      </c>
      <c r="W347" s="13" t="s">
        <v>570</v>
      </c>
      <c r="X347" s="13" t="s">
        <v>570</v>
      </c>
      <c r="Y347" s="13"/>
      <c r="Z347" s="13"/>
      <c r="AA347" s="29"/>
      <c r="AB347" s="29">
        <v>79000</v>
      </c>
      <c r="AC347" s="29">
        <v>0</v>
      </c>
      <c r="AD347" s="29">
        <v>110000</v>
      </c>
      <c r="AE347" s="29">
        <v>0</v>
      </c>
      <c r="AF347" s="29">
        <f t="shared" si="138"/>
        <v>110000</v>
      </c>
      <c r="AG347" s="25">
        <v>0.12</v>
      </c>
      <c r="AH347" s="29">
        <f t="shared" si="153"/>
        <v>13200</v>
      </c>
      <c r="AI347" s="29">
        <f t="shared" si="154"/>
        <v>0</v>
      </c>
      <c r="AJ347" s="29">
        <f t="shared" si="155"/>
        <v>123200.00000000001</v>
      </c>
      <c r="AK347" s="29">
        <v>79000</v>
      </c>
      <c r="AL347" s="29">
        <f t="shared" si="151"/>
        <v>0</v>
      </c>
      <c r="AM347" s="126"/>
      <c r="AN347" s="29"/>
      <c r="AO347" s="29">
        <v>110000</v>
      </c>
      <c r="AP347" s="29"/>
      <c r="AQ347" s="29">
        <v>79000</v>
      </c>
      <c r="AR347" s="25">
        <v>0.12</v>
      </c>
      <c r="AS347" s="29">
        <f>AQ347*0.12</f>
        <v>9480</v>
      </c>
      <c r="AT347" s="29">
        <f>AQ347*1.12</f>
        <v>88480.000000000015</v>
      </c>
      <c r="AU347" s="29"/>
      <c r="AV347" s="29"/>
      <c r="AW347" s="29"/>
      <c r="AX347" s="29"/>
      <c r="AY347" s="29"/>
      <c r="AZ347" s="29"/>
      <c r="BA347" s="29"/>
      <c r="BB347" s="29"/>
      <c r="BC347" s="29"/>
      <c r="BD347" s="29"/>
      <c r="BE347" s="29"/>
      <c r="BF347" s="29">
        <f t="shared" si="149"/>
        <v>0</v>
      </c>
      <c r="BG347" s="29">
        <f t="shared" si="150"/>
        <v>0</v>
      </c>
      <c r="BH347" s="29" t="s">
        <v>1400</v>
      </c>
      <c r="BI347" s="29" t="s">
        <v>570</v>
      </c>
      <c r="BJ347" s="23" t="s">
        <v>570</v>
      </c>
      <c r="BK347" s="29" t="s">
        <v>570</v>
      </c>
      <c r="BL347" s="29" t="s">
        <v>570</v>
      </c>
      <c r="BM347" s="29" t="s">
        <v>570</v>
      </c>
      <c r="BN347" s="23">
        <v>42909</v>
      </c>
      <c r="BO347" s="23">
        <v>42916</v>
      </c>
      <c r="BP347" s="23">
        <v>42923</v>
      </c>
      <c r="BQ347" s="23">
        <v>42944</v>
      </c>
      <c r="BR347" s="13" t="s">
        <v>570</v>
      </c>
      <c r="BS347" s="23">
        <v>42965</v>
      </c>
      <c r="BT347" s="23">
        <v>42979</v>
      </c>
      <c r="BU347" s="13" t="s">
        <v>570</v>
      </c>
      <c r="BV347" s="13" t="s">
        <v>570</v>
      </c>
      <c r="BW347" s="224" t="s">
        <v>570</v>
      </c>
      <c r="BX347" s="23">
        <v>42983</v>
      </c>
      <c r="BY347" s="13" t="s">
        <v>570</v>
      </c>
      <c r="BZ347" s="23">
        <v>42986</v>
      </c>
      <c r="CA347" s="23">
        <v>43014</v>
      </c>
      <c r="CB347" s="224" t="s">
        <v>570</v>
      </c>
      <c r="CC347" s="224" t="s">
        <v>570</v>
      </c>
      <c r="CD347" s="224" t="s">
        <v>570</v>
      </c>
      <c r="CE347" s="23"/>
      <c r="CF347" s="23"/>
      <c r="CG347" s="23"/>
      <c r="CH347" s="23"/>
      <c r="CI347" s="23"/>
      <c r="CJ347" s="23"/>
      <c r="CK347" s="23"/>
      <c r="CL347" s="23"/>
      <c r="CM347" s="23"/>
      <c r="CN347" s="23"/>
      <c r="CO347" s="23"/>
      <c r="CP347" s="23"/>
      <c r="CQ347" s="23"/>
      <c r="CR347" s="23"/>
      <c r="CS347" s="29" t="s">
        <v>570</v>
      </c>
      <c r="CT347" s="29" t="s">
        <v>570</v>
      </c>
      <c r="CU347" s="29" t="s">
        <v>570</v>
      </c>
      <c r="CV347" s="23"/>
      <c r="CW347" s="13"/>
      <c r="CX347" s="13"/>
      <c r="CY347" s="13"/>
      <c r="CZ347" s="13"/>
      <c r="DA347" s="13"/>
      <c r="DB347" s="2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92"/>
      <c r="DZ347" s="13"/>
      <c r="EA347" s="13"/>
      <c r="EB347" s="13"/>
      <c r="EC347" s="13"/>
      <c r="ED347" s="13"/>
      <c r="EE347" s="13"/>
      <c r="EF347" s="13"/>
      <c r="EG347" s="13"/>
      <c r="EH347" s="13"/>
      <c r="EI347" s="23"/>
      <c r="EJ347" s="23"/>
      <c r="EK347" s="13"/>
      <c r="EL347" s="13"/>
      <c r="EM347" s="13"/>
      <c r="EN347" s="13"/>
      <c r="EO347" s="13"/>
      <c r="EP347" s="13"/>
      <c r="EQ347" s="13"/>
      <c r="ER347" s="13"/>
      <c r="ES347" s="13"/>
      <c r="ET347" s="13"/>
      <c r="EU347" s="13"/>
      <c r="EV347" s="13"/>
      <c r="EW347" s="13"/>
      <c r="EX347" s="13"/>
      <c r="EY347" s="13"/>
      <c r="EZ347" s="13"/>
      <c r="FA347" s="13"/>
      <c r="FB347" s="13"/>
      <c r="FC347" s="13"/>
      <c r="FD347" s="13"/>
      <c r="FE347" s="13"/>
      <c r="FF347" s="13"/>
      <c r="FG347" s="13"/>
      <c r="FH347" s="13"/>
      <c r="FI347" s="13"/>
      <c r="FJ347" s="13"/>
      <c r="FK347" s="13"/>
      <c r="FL347" s="13"/>
      <c r="FM347" s="13"/>
      <c r="FN347" s="13"/>
      <c r="FO347" s="13"/>
      <c r="FP347" s="13"/>
      <c r="FQ347" s="13"/>
      <c r="FR347" s="13"/>
      <c r="FS347" s="13"/>
      <c r="FT347" s="13"/>
      <c r="FU347" s="25">
        <v>0</v>
      </c>
      <c r="FV347" s="25">
        <v>0</v>
      </c>
      <c r="FW347" s="25">
        <v>0</v>
      </c>
      <c r="FX347" s="25">
        <v>0</v>
      </c>
      <c r="FY347" s="25">
        <v>0</v>
      </c>
      <c r="FZ347" s="25">
        <v>0</v>
      </c>
      <c r="GA347" s="25">
        <v>0</v>
      </c>
      <c r="GB347" s="25">
        <v>0.5</v>
      </c>
      <c r="GC347" s="25">
        <v>1</v>
      </c>
      <c r="GD347" s="25">
        <v>1</v>
      </c>
      <c r="GE347" s="25">
        <v>1</v>
      </c>
      <c r="GF347" s="25">
        <v>1</v>
      </c>
      <c r="GG347" s="25">
        <v>1</v>
      </c>
      <c r="GH347" s="25">
        <v>1</v>
      </c>
      <c r="GI347" s="25">
        <v>1</v>
      </c>
      <c r="GJ347" s="25">
        <v>1</v>
      </c>
      <c r="GK347" s="25">
        <v>1</v>
      </c>
      <c r="GL347" s="25">
        <v>1</v>
      </c>
      <c r="GM347" s="25">
        <v>1</v>
      </c>
      <c r="GN347" s="25">
        <v>1</v>
      </c>
      <c r="GO347" s="25">
        <v>1</v>
      </c>
      <c r="GP347" s="25">
        <v>1</v>
      </c>
      <c r="GQ347" s="25">
        <v>1</v>
      </c>
      <c r="GR347" s="25">
        <v>1</v>
      </c>
      <c r="GS347" s="25">
        <v>1</v>
      </c>
      <c r="GT347" s="25">
        <v>1</v>
      </c>
      <c r="GU347" s="25">
        <v>1</v>
      </c>
      <c r="GV347" s="25" t="s">
        <v>452</v>
      </c>
      <c r="GW347" s="25" t="s">
        <v>452</v>
      </c>
      <c r="GX347" s="25" t="s">
        <v>452</v>
      </c>
      <c r="GY347" s="25" t="s">
        <v>452</v>
      </c>
      <c r="GZ347" s="25" t="s">
        <v>452</v>
      </c>
      <c r="HA347" s="25" t="s">
        <v>452</v>
      </c>
      <c r="HB347" s="25" t="s">
        <v>452</v>
      </c>
      <c r="HC347" s="25" t="s">
        <v>452</v>
      </c>
      <c r="HD347" s="25" t="s">
        <v>452</v>
      </c>
      <c r="HE347" s="25" t="s">
        <v>452</v>
      </c>
      <c r="HF347" s="25" t="s">
        <v>452</v>
      </c>
      <c r="HG347" s="25" t="s">
        <v>452</v>
      </c>
      <c r="HH347" s="25" t="s">
        <v>452</v>
      </c>
      <c r="HI347" s="25"/>
      <c r="HJ347" s="25"/>
      <c r="HK347" s="25"/>
      <c r="HL347" s="25"/>
      <c r="HM347" s="84"/>
      <c r="HN347" s="84"/>
      <c r="HO347" s="84"/>
      <c r="HP347" s="84"/>
      <c r="HQ347" s="84"/>
      <c r="HR347" s="84"/>
      <c r="HS347" s="84"/>
      <c r="HT347" s="84"/>
      <c r="HU347" s="13" t="s">
        <v>1615</v>
      </c>
      <c r="HV347" s="13"/>
      <c r="HW347" s="32"/>
      <c r="HX347" s="55"/>
      <c r="HY347" s="55"/>
      <c r="HZ347" s="55"/>
      <c r="IA347" s="55"/>
      <c r="IB347" s="55"/>
      <c r="IC347" s="55"/>
      <c r="ID347" s="55"/>
      <c r="IE347" s="55"/>
      <c r="IF347" s="107">
        <v>79000</v>
      </c>
      <c r="IG347" s="107">
        <v>79000</v>
      </c>
      <c r="IH347" s="250">
        <f t="shared" si="156"/>
        <v>0</v>
      </c>
      <c r="II347" s="55"/>
      <c r="IJ347" s="55"/>
      <c r="IK347" s="55"/>
      <c r="IL347" s="55"/>
      <c r="IM347" s="55"/>
      <c r="IN347" s="55"/>
      <c r="IO347" s="55"/>
      <c r="IP347" s="55"/>
      <c r="IQ347" s="55"/>
      <c r="IR347" s="55"/>
      <c r="IS347" s="55"/>
      <c r="IT347" s="55"/>
      <c r="IU347" s="55"/>
      <c r="IV347" s="55"/>
      <c r="IW347" s="55"/>
      <c r="IX347" s="55"/>
      <c r="IY347" s="55"/>
      <c r="IZ347" s="55"/>
      <c r="JA347" s="55"/>
      <c r="JB347" s="55"/>
      <c r="JC347" s="55"/>
      <c r="JD347" s="55"/>
    </row>
    <row r="348" spans="1:264" s="5" customFormat="1" ht="45" hidden="1" customHeight="1">
      <c r="A348" s="26" t="s">
        <v>23</v>
      </c>
      <c r="B348" s="26" t="s">
        <v>313</v>
      </c>
      <c r="C348" s="13" t="s">
        <v>358</v>
      </c>
      <c r="D348" s="13" t="s">
        <v>379</v>
      </c>
      <c r="E348" s="16" t="s">
        <v>359</v>
      </c>
      <c r="F348" s="13" t="s">
        <v>359</v>
      </c>
      <c r="G348" s="39" t="s">
        <v>354</v>
      </c>
      <c r="H348" s="28" t="s">
        <v>1518</v>
      </c>
      <c r="I348" s="313" t="s">
        <v>1195</v>
      </c>
      <c r="J348" s="48">
        <v>13</v>
      </c>
      <c r="K348" s="49" t="s">
        <v>375</v>
      </c>
      <c r="L348" s="314" t="s">
        <v>319</v>
      </c>
      <c r="M348" s="20" t="s">
        <v>1195</v>
      </c>
      <c r="N348" s="20"/>
      <c r="O348" s="13" t="s">
        <v>3</v>
      </c>
      <c r="P348" s="13" t="s">
        <v>4</v>
      </c>
      <c r="Q348" s="22" t="s">
        <v>1118</v>
      </c>
      <c r="R348" s="22" t="s">
        <v>1520</v>
      </c>
      <c r="S348" s="13" t="s">
        <v>1521</v>
      </c>
      <c r="T348" s="13" t="s">
        <v>1387</v>
      </c>
      <c r="U348" s="13" t="s">
        <v>479</v>
      </c>
      <c r="V348" s="24">
        <v>1791861388001</v>
      </c>
      <c r="W348" s="13" t="s">
        <v>570</v>
      </c>
      <c r="X348" s="13" t="s">
        <v>570</v>
      </c>
      <c r="Y348" s="13"/>
      <c r="Z348" s="13"/>
      <c r="AA348" s="29"/>
      <c r="AB348" s="29">
        <v>80000</v>
      </c>
      <c r="AC348" s="29">
        <v>0</v>
      </c>
      <c r="AD348" s="29">
        <v>90000</v>
      </c>
      <c r="AE348" s="29">
        <v>0</v>
      </c>
      <c r="AF348" s="29">
        <f t="shared" si="138"/>
        <v>90000</v>
      </c>
      <c r="AG348" s="25">
        <v>0.12</v>
      </c>
      <c r="AH348" s="29">
        <f t="shared" si="153"/>
        <v>10800</v>
      </c>
      <c r="AI348" s="29">
        <f t="shared" si="154"/>
        <v>0</v>
      </c>
      <c r="AJ348" s="29">
        <f t="shared" si="155"/>
        <v>100800.00000000001</v>
      </c>
      <c r="AK348" s="29">
        <v>80000</v>
      </c>
      <c r="AL348" s="29">
        <f t="shared" si="151"/>
        <v>0</v>
      </c>
      <c r="AM348" s="126"/>
      <c r="AN348" s="29"/>
      <c r="AO348" s="29">
        <v>90000</v>
      </c>
      <c r="AP348" s="29"/>
      <c r="AQ348" s="29">
        <v>80000</v>
      </c>
      <c r="AR348" s="25">
        <v>0.12</v>
      </c>
      <c r="AS348" s="29">
        <f>AQ348*0.12</f>
        <v>9600</v>
      </c>
      <c r="AT348" s="29">
        <f>AQ348*1.12</f>
        <v>89600.000000000015</v>
      </c>
      <c r="AU348" s="29"/>
      <c r="AV348" s="29"/>
      <c r="AW348" s="29"/>
      <c r="AX348" s="29"/>
      <c r="AY348" s="29"/>
      <c r="AZ348" s="29"/>
      <c r="BA348" s="29"/>
      <c r="BB348" s="29"/>
      <c r="BC348" s="29"/>
      <c r="BD348" s="29"/>
      <c r="BE348" s="29"/>
      <c r="BF348" s="29">
        <f t="shared" si="149"/>
        <v>0</v>
      </c>
      <c r="BG348" s="29">
        <f t="shared" si="150"/>
        <v>0</v>
      </c>
      <c r="BH348" s="29" t="s">
        <v>1345</v>
      </c>
      <c r="BI348" s="29" t="s">
        <v>570</v>
      </c>
      <c r="BJ348" s="23" t="s">
        <v>570</v>
      </c>
      <c r="BK348" s="29" t="s">
        <v>570</v>
      </c>
      <c r="BL348" s="29" t="s">
        <v>570</v>
      </c>
      <c r="BM348" s="29" t="s">
        <v>570</v>
      </c>
      <c r="BN348" s="23">
        <v>42832</v>
      </c>
      <c r="BO348" s="23">
        <v>42842</v>
      </c>
      <c r="BP348" s="23">
        <v>42846</v>
      </c>
      <c r="BQ348" s="23">
        <v>42863</v>
      </c>
      <c r="BR348" s="13" t="s">
        <v>570</v>
      </c>
      <c r="BS348" s="23">
        <v>42870</v>
      </c>
      <c r="BT348" s="23">
        <v>42877</v>
      </c>
      <c r="BU348" s="13" t="s">
        <v>570</v>
      </c>
      <c r="BV348" s="13" t="s">
        <v>570</v>
      </c>
      <c r="BW348" s="224" t="s">
        <v>570</v>
      </c>
      <c r="BX348" s="23">
        <v>42891</v>
      </c>
      <c r="BY348" s="13"/>
      <c r="BZ348" s="23">
        <v>42907</v>
      </c>
      <c r="CA348" s="23">
        <v>42941</v>
      </c>
      <c r="CB348" s="224" t="s">
        <v>570</v>
      </c>
      <c r="CC348" s="224" t="s">
        <v>570</v>
      </c>
      <c r="CD348" s="224" t="s">
        <v>570</v>
      </c>
      <c r="CE348" s="13"/>
      <c r="CF348" s="13"/>
      <c r="CG348" s="13"/>
      <c r="CH348" s="13"/>
      <c r="CI348" s="13"/>
      <c r="CJ348" s="13"/>
      <c r="CK348" s="13"/>
      <c r="CL348" s="13"/>
      <c r="CM348" s="13"/>
      <c r="CN348" s="13"/>
      <c r="CO348" s="13"/>
      <c r="CP348" s="13"/>
      <c r="CQ348" s="13"/>
      <c r="CR348" s="13"/>
      <c r="CS348" s="29" t="s">
        <v>570</v>
      </c>
      <c r="CT348" s="29" t="s">
        <v>570</v>
      </c>
      <c r="CU348" s="29" t="s">
        <v>570</v>
      </c>
      <c r="CV348" s="23"/>
      <c r="CW348" s="13"/>
      <c r="CX348" s="13"/>
      <c r="CY348" s="13"/>
      <c r="CZ348" s="13"/>
      <c r="DA348" s="13"/>
      <c r="DB348" s="2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92">
        <f t="shared" si="152"/>
        <v>0</v>
      </c>
      <c r="DZ348" s="13"/>
      <c r="EA348" s="13"/>
      <c r="EB348" s="13"/>
      <c r="EC348" s="13"/>
      <c r="ED348" s="13"/>
      <c r="EE348" s="13"/>
      <c r="EF348" s="13"/>
      <c r="EG348" s="13">
        <v>60</v>
      </c>
      <c r="EH348" s="13" t="s">
        <v>904</v>
      </c>
      <c r="EI348" s="23">
        <v>42942</v>
      </c>
      <c r="EJ348" s="23">
        <f>EI348+60</f>
        <v>43002</v>
      </c>
      <c r="EK348" s="13"/>
      <c r="EL348" s="13"/>
      <c r="EM348" s="13"/>
      <c r="EN348" s="13"/>
      <c r="EO348" s="13"/>
      <c r="EP348" s="13"/>
      <c r="EQ348" s="13"/>
      <c r="ER348" s="13"/>
      <c r="ES348" s="13"/>
      <c r="ET348" s="13"/>
      <c r="EU348" s="13"/>
      <c r="EV348" s="13"/>
      <c r="EW348" s="13"/>
      <c r="EX348" s="13"/>
      <c r="EY348" s="13"/>
      <c r="EZ348" s="13"/>
      <c r="FA348" s="13"/>
      <c r="FB348" s="13"/>
      <c r="FC348" s="13"/>
      <c r="FD348" s="13"/>
      <c r="FE348" s="13"/>
      <c r="FF348" s="13"/>
      <c r="FG348" s="13"/>
      <c r="FH348" s="13"/>
      <c r="FI348" s="13"/>
      <c r="FJ348" s="13"/>
      <c r="FK348" s="13"/>
      <c r="FL348" s="13"/>
      <c r="FM348" s="13"/>
      <c r="FN348" s="13"/>
      <c r="FO348" s="13"/>
      <c r="FP348" s="13"/>
      <c r="FQ348" s="13"/>
      <c r="FR348" s="13"/>
      <c r="FS348" s="13"/>
      <c r="FT348" s="13"/>
      <c r="FU348" s="13"/>
      <c r="FV348" s="13"/>
      <c r="FW348" s="13"/>
      <c r="FX348" s="13"/>
      <c r="FY348" s="13"/>
      <c r="FZ348" s="13"/>
      <c r="GA348" s="25">
        <v>1</v>
      </c>
      <c r="GB348" s="25">
        <v>1</v>
      </c>
      <c r="GC348" s="25">
        <v>1</v>
      </c>
      <c r="GD348" s="25">
        <v>1</v>
      </c>
      <c r="GE348" s="25">
        <v>1</v>
      </c>
      <c r="GF348" s="25">
        <v>1</v>
      </c>
      <c r="GG348" s="25">
        <v>1</v>
      </c>
      <c r="GH348" s="25">
        <v>1</v>
      </c>
      <c r="GI348" s="25">
        <v>1</v>
      </c>
      <c r="GJ348" s="25">
        <v>1</v>
      </c>
      <c r="GK348" s="25">
        <v>1</v>
      </c>
      <c r="GL348" s="25">
        <v>1</v>
      </c>
      <c r="GM348" s="25">
        <v>1</v>
      </c>
      <c r="GN348" s="25">
        <v>1</v>
      </c>
      <c r="GO348" s="25">
        <v>1</v>
      </c>
      <c r="GP348" s="25">
        <v>1</v>
      </c>
      <c r="GQ348" s="25">
        <v>1</v>
      </c>
      <c r="GR348" s="25">
        <v>1</v>
      </c>
      <c r="GS348" s="25">
        <v>1</v>
      </c>
      <c r="GT348" s="25">
        <v>1</v>
      </c>
      <c r="GU348" s="25">
        <v>1</v>
      </c>
      <c r="GV348" s="25" t="s">
        <v>452</v>
      </c>
      <c r="GW348" s="25" t="s">
        <v>452</v>
      </c>
      <c r="GX348" s="25" t="s">
        <v>452</v>
      </c>
      <c r="GY348" s="25" t="s">
        <v>452</v>
      </c>
      <c r="GZ348" s="25" t="s">
        <v>452</v>
      </c>
      <c r="HA348" s="25" t="s">
        <v>452</v>
      </c>
      <c r="HB348" s="25" t="s">
        <v>452</v>
      </c>
      <c r="HC348" s="25" t="s">
        <v>452</v>
      </c>
      <c r="HD348" s="25" t="s">
        <v>452</v>
      </c>
      <c r="HE348" s="25" t="s">
        <v>452</v>
      </c>
      <c r="HF348" s="25" t="s">
        <v>452</v>
      </c>
      <c r="HG348" s="25" t="s">
        <v>452</v>
      </c>
      <c r="HH348" s="25" t="s">
        <v>452</v>
      </c>
      <c r="HI348" s="25"/>
      <c r="HJ348" s="25"/>
      <c r="HK348" s="25"/>
      <c r="HL348" s="25"/>
      <c r="HM348" s="84"/>
      <c r="HN348" s="84"/>
      <c r="HO348" s="84"/>
      <c r="HP348" s="84"/>
      <c r="HQ348" s="84"/>
      <c r="HR348" s="84"/>
      <c r="HS348" s="84"/>
      <c r="HT348" s="84"/>
      <c r="HU348" s="13" t="s">
        <v>1615</v>
      </c>
      <c r="HV348" s="13"/>
      <c r="HW348" s="32"/>
      <c r="HX348" s="55"/>
      <c r="HY348" s="55"/>
      <c r="HZ348" s="55"/>
      <c r="IA348" s="55"/>
      <c r="IB348" s="55"/>
      <c r="IC348" s="55"/>
      <c r="ID348" s="55"/>
      <c r="IE348" s="55"/>
      <c r="IF348" s="107">
        <v>80000</v>
      </c>
      <c r="IG348" s="107">
        <v>80000</v>
      </c>
      <c r="IH348" s="250">
        <f t="shared" si="156"/>
        <v>0</v>
      </c>
      <c r="II348" s="55"/>
      <c r="IJ348" s="55"/>
      <c r="IK348" s="55"/>
      <c r="IL348" s="55"/>
      <c r="IM348" s="55"/>
      <c r="IN348" s="55"/>
      <c r="IO348" s="55"/>
      <c r="IP348" s="55"/>
      <c r="IQ348" s="55"/>
      <c r="IR348" s="55"/>
      <c r="IS348" s="55"/>
      <c r="IT348" s="55"/>
      <c r="IU348" s="55"/>
      <c r="IV348" s="55"/>
      <c r="IW348" s="55"/>
      <c r="IX348" s="55"/>
      <c r="IY348" s="55"/>
      <c r="IZ348" s="55"/>
      <c r="JA348" s="55"/>
      <c r="JB348" s="55"/>
      <c r="JC348" s="55"/>
      <c r="JD348" s="55"/>
    </row>
    <row r="349" spans="1:264" s="5" customFormat="1" ht="24.95" hidden="1" customHeight="1">
      <c r="A349" s="26" t="s">
        <v>23</v>
      </c>
      <c r="B349" s="26" t="s">
        <v>313</v>
      </c>
      <c r="C349" s="13" t="s">
        <v>358</v>
      </c>
      <c r="D349" s="13" t="s">
        <v>379</v>
      </c>
      <c r="E349" s="16" t="s">
        <v>359</v>
      </c>
      <c r="F349" s="13" t="s">
        <v>359</v>
      </c>
      <c r="G349" s="39" t="s">
        <v>354</v>
      </c>
      <c r="H349" s="28" t="s">
        <v>1518</v>
      </c>
      <c r="I349" s="313" t="s">
        <v>1196</v>
      </c>
      <c r="J349" s="48">
        <v>14</v>
      </c>
      <c r="K349" s="49" t="s">
        <v>375</v>
      </c>
      <c r="L349" s="314" t="s">
        <v>371</v>
      </c>
      <c r="M349" s="313" t="s">
        <v>1196</v>
      </c>
      <c r="N349" s="313"/>
      <c r="O349" s="13" t="s">
        <v>3</v>
      </c>
      <c r="P349" s="13" t="s">
        <v>4</v>
      </c>
      <c r="Q349" s="22" t="s">
        <v>364</v>
      </c>
      <c r="R349" s="22"/>
      <c r="S349" s="13"/>
      <c r="T349" s="13"/>
      <c r="U349" s="13"/>
      <c r="V349" s="13"/>
      <c r="W349" s="13" t="s">
        <v>570</v>
      </c>
      <c r="X349" s="13" t="s">
        <v>570</v>
      </c>
      <c r="Y349" s="13"/>
      <c r="Z349" s="13"/>
      <c r="AA349" s="29"/>
      <c r="AB349" s="29">
        <v>50000</v>
      </c>
      <c r="AC349" s="29">
        <v>0</v>
      </c>
      <c r="AD349" s="29">
        <f>70000-20000</f>
        <v>50000</v>
      </c>
      <c r="AE349" s="29">
        <v>0</v>
      </c>
      <c r="AF349" s="29">
        <f t="shared" si="138"/>
        <v>50000</v>
      </c>
      <c r="AG349" s="25">
        <v>0.12</v>
      </c>
      <c r="AH349" s="29">
        <f t="shared" si="153"/>
        <v>6000</v>
      </c>
      <c r="AI349" s="29">
        <f t="shared" si="154"/>
        <v>0</v>
      </c>
      <c r="AJ349" s="29">
        <f t="shared" si="155"/>
        <v>56000.000000000007</v>
      </c>
      <c r="AK349" s="29"/>
      <c r="AL349" s="29"/>
      <c r="AM349" s="126"/>
      <c r="AN349" s="29"/>
      <c r="AO349" s="29"/>
      <c r="AP349" s="29"/>
      <c r="AQ349" s="29"/>
      <c r="AR349" s="29"/>
      <c r="AS349" s="29"/>
      <c r="AT349" s="29"/>
      <c r="AU349" s="29"/>
      <c r="AV349" s="29"/>
      <c r="AW349" s="29"/>
      <c r="AX349" s="29"/>
      <c r="AY349" s="29"/>
      <c r="AZ349" s="29"/>
      <c r="BA349" s="29"/>
      <c r="BB349" s="29"/>
      <c r="BC349" s="29"/>
      <c r="BD349" s="29"/>
      <c r="BE349" s="29"/>
      <c r="BF349" s="29"/>
      <c r="BG349" s="29">
        <f t="shared" si="150"/>
        <v>0</v>
      </c>
      <c r="BH349" s="29"/>
      <c r="BI349" s="29" t="s">
        <v>570</v>
      </c>
      <c r="BJ349" s="23" t="s">
        <v>570</v>
      </c>
      <c r="BK349" s="29" t="s">
        <v>570</v>
      </c>
      <c r="BL349" s="29" t="s">
        <v>570</v>
      </c>
      <c r="BM349" s="29" t="s">
        <v>570</v>
      </c>
      <c r="BN349" s="13"/>
      <c r="BO349" s="13"/>
      <c r="BP349" s="13"/>
      <c r="BQ349" s="13"/>
      <c r="BR349" s="13"/>
      <c r="BS349" s="13"/>
      <c r="BT349" s="13"/>
      <c r="BU349" s="13" t="s">
        <v>570</v>
      </c>
      <c r="BV349" s="13" t="s">
        <v>570</v>
      </c>
      <c r="BW349" s="224" t="s">
        <v>570</v>
      </c>
      <c r="BX349" s="13"/>
      <c r="BY349" s="13"/>
      <c r="BZ349" s="13"/>
      <c r="CA349" s="13"/>
      <c r="CB349" s="224" t="s">
        <v>570</v>
      </c>
      <c r="CC349" s="224" t="s">
        <v>570</v>
      </c>
      <c r="CD349" s="224" t="s">
        <v>570</v>
      </c>
      <c r="CE349" s="13"/>
      <c r="CF349" s="13"/>
      <c r="CG349" s="13"/>
      <c r="CH349" s="13"/>
      <c r="CI349" s="13"/>
      <c r="CJ349" s="13"/>
      <c r="CK349" s="13"/>
      <c r="CL349" s="13"/>
      <c r="CM349" s="13"/>
      <c r="CN349" s="13"/>
      <c r="CO349" s="13"/>
      <c r="CP349" s="13"/>
      <c r="CQ349" s="13"/>
      <c r="CR349" s="13"/>
      <c r="CS349" s="29" t="s">
        <v>570</v>
      </c>
      <c r="CT349" s="29" t="s">
        <v>570</v>
      </c>
      <c r="CU349" s="29" t="s">
        <v>570</v>
      </c>
      <c r="CV349" s="23"/>
      <c r="CW349" s="13"/>
      <c r="CX349" s="13"/>
      <c r="CY349" s="13"/>
      <c r="CZ349" s="13"/>
      <c r="DA349" s="13"/>
      <c r="DB349" s="2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92">
        <f t="shared" si="152"/>
        <v>0</v>
      </c>
      <c r="DZ349" s="13"/>
      <c r="EA349" s="13"/>
      <c r="EB349" s="13"/>
      <c r="EC349" s="13"/>
      <c r="ED349" s="13"/>
      <c r="EE349" s="13"/>
      <c r="EF349" s="13"/>
      <c r="EG349" s="13"/>
      <c r="EH349" s="13"/>
      <c r="EI349" s="13"/>
      <c r="EJ349" s="13"/>
      <c r="EK349" s="13"/>
      <c r="EL349" s="13"/>
      <c r="EM349" s="13"/>
      <c r="EN349" s="13"/>
      <c r="EO349" s="13"/>
      <c r="EP349" s="13"/>
      <c r="EQ349" s="13"/>
      <c r="ER349" s="13"/>
      <c r="ES349" s="13"/>
      <c r="ET349" s="13"/>
      <c r="EU349" s="13"/>
      <c r="EV349" s="13"/>
      <c r="EW349" s="13"/>
      <c r="EX349" s="13"/>
      <c r="EY349" s="13"/>
      <c r="EZ349" s="13"/>
      <c r="FA349" s="13"/>
      <c r="FB349" s="13"/>
      <c r="FC349" s="13"/>
      <c r="FD349" s="13"/>
      <c r="FE349" s="13"/>
      <c r="FF349" s="13"/>
      <c r="FG349" s="13"/>
      <c r="FH349" s="13"/>
      <c r="FI349" s="13"/>
      <c r="FJ349" s="13"/>
      <c r="FK349" s="13"/>
      <c r="FL349" s="13"/>
      <c r="FM349" s="13"/>
      <c r="FN349" s="13"/>
      <c r="FO349" s="13"/>
      <c r="FP349" s="13"/>
      <c r="FQ349" s="13"/>
      <c r="FR349" s="13"/>
      <c r="FS349" s="13"/>
      <c r="FT349" s="13"/>
      <c r="FU349" s="25">
        <v>0</v>
      </c>
      <c r="FV349" s="25">
        <v>0</v>
      </c>
      <c r="FW349" s="25">
        <v>0</v>
      </c>
      <c r="FX349" s="25">
        <v>0</v>
      </c>
      <c r="FY349" s="25">
        <v>0</v>
      </c>
      <c r="FZ349" s="25">
        <v>0</v>
      </c>
      <c r="GA349" s="25">
        <v>0</v>
      </c>
      <c r="GB349" s="25">
        <v>0</v>
      </c>
      <c r="GC349" s="25">
        <v>0</v>
      </c>
      <c r="GD349" s="25">
        <v>0</v>
      </c>
      <c r="GE349" s="25">
        <v>0</v>
      </c>
      <c r="GF349" s="25">
        <v>0</v>
      </c>
      <c r="GG349" s="25">
        <v>0</v>
      </c>
      <c r="GH349" s="25">
        <v>0</v>
      </c>
      <c r="GI349" s="25">
        <v>0</v>
      </c>
      <c r="GJ349" s="25">
        <v>0</v>
      </c>
      <c r="GK349" s="25">
        <v>0</v>
      </c>
      <c r="GL349" s="25">
        <v>0</v>
      </c>
      <c r="GM349" s="25">
        <v>0</v>
      </c>
      <c r="GN349" s="25">
        <v>0</v>
      </c>
      <c r="GO349" s="25">
        <v>0</v>
      </c>
      <c r="GP349" s="25">
        <v>0</v>
      </c>
      <c r="GQ349" s="25">
        <v>0</v>
      </c>
      <c r="GR349" s="25">
        <v>0</v>
      </c>
      <c r="GS349" s="25">
        <v>0</v>
      </c>
      <c r="GT349" s="25">
        <v>1</v>
      </c>
      <c r="GU349" s="25">
        <v>1</v>
      </c>
      <c r="GV349" s="25" t="s">
        <v>1588</v>
      </c>
      <c r="GW349" s="25" t="s">
        <v>1588</v>
      </c>
      <c r="GX349" s="25" t="s">
        <v>1588</v>
      </c>
      <c r="GY349" s="25" t="s">
        <v>1588</v>
      </c>
      <c r="GZ349" s="25" t="s">
        <v>1588</v>
      </c>
      <c r="HA349" s="25" t="s">
        <v>1588</v>
      </c>
      <c r="HB349" s="25" t="s">
        <v>1588</v>
      </c>
      <c r="HC349" s="25" t="s">
        <v>1588</v>
      </c>
      <c r="HD349" s="25" t="s">
        <v>1588</v>
      </c>
      <c r="HE349" s="25" t="s">
        <v>1588</v>
      </c>
      <c r="HF349" s="25" t="s">
        <v>1588</v>
      </c>
      <c r="HG349" s="25" t="s">
        <v>1588</v>
      </c>
      <c r="HH349" s="25" t="s">
        <v>1588</v>
      </c>
      <c r="HI349" s="25"/>
      <c r="HJ349" s="25"/>
      <c r="HK349" s="25"/>
      <c r="HL349" s="25"/>
      <c r="HM349" s="84"/>
      <c r="HN349" s="84"/>
      <c r="HO349" s="25" t="s">
        <v>1879</v>
      </c>
      <c r="HP349" s="25"/>
      <c r="HQ349" s="25"/>
      <c r="HR349" s="25"/>
      <c r="HS349" s="25" t="s">
        <v>2076</v>
      </c>
      <c r="HT349" s="25" t="s">
        <v>2076</v>
      </c>
      <c r="HU349" s="13" t="s">
        <v>1615</v>
      </c>
      <c r="HV349" s="13"/>
      <c r="HW349" s="32"/>
      <c r="HX349" s="55"/>
      <c r="HY349" s="55"/>
      <c r="HZ349" s="55"/>
      <c r="IA349" s="55"/>
      <c r="IB349" s="55"/>
      <c r="IC349" s="55"/>
      <c r="ID349" s="55"/>
      <c r="IE349" s="55"/>
      <c r="IF349" s="107">
        <v>100000</v>
      </c>
      <c r="IG349" s="107"/>
      <c r="IH349" s="250">
        <f t="shared" si="156"/>
        <v>0</v>
      </c>
      <c r="II349" s="55"/>
      <c r="IJ349" s="55"/>
      <c r="IK349" s="55"/>
      <c r="IL349" s="55"/>
      <c r="IM349" s="55"/>
      <c r="IN349" s="55"/>
      <c r="IO349" s="55"/>
      <c r="IP349" s="55"/>
      <c r="IQ349" s="55"/>
      <c r="IR349" s="55"/>
      <c r="IS349" s="55"/>
      <c r="IT349" s="55"/>
      <c r="IU349" s="55"/>
      <c r="IV349" s="55"/>
      <c r="IW349" s="55"/>
      <c r="IX349" s="55"/>
      <c r="IY349" s="55"/>
      <c r="IZ349" s="55"/>
      <c r="JA349" s="55"/>
      <c r="JB349" s="55"/>
      <c r="JC349" s="55"/>
      <c r="JD349" s="55"/>
    </row>
    <row r="350" spans="1:264" s="5" customFormat="1" ht="36.75" hidden="1" customHeight="1">
      <c r="A350" s="26" t="s">
        <v>23</v>
      </c>
      <c r="B350" s="26" t="s">
        <v>313</v>
      </c>
      <c r="C350" s="13" t="s">
        <v>358</v>
      </c>
      <c r="D350" s="13" t="s">
        <v>379</v>
      </c>
      <c r="E350" s="16" t="s">
        <v>359</v>
      </c>
      <c r="F350" s="13" t="s">
        <v>359</v>
      </c>
      <c r="G350" s="39" t="s">
        <v>354</v>
      </c>
      <c r="H350" s="28" t="s">
        <v>1518</v>
      </c>
      <c r="I350" s="313" t="s">
        <v>1197</v>
      </c>
      <c r="J350" s="48">
        <v>15</v>
      </c>
      <c r="K350" s="49" t="s">
        <v>375</v>
      </c>
      <c r="L350" s="314" t="s">
        <v>372</v>
      </c>
      <c r="M350" s="20" t="s">
        <v>1197</v>
      </c>
      <c r="N350" s="20"/>
      <c r="O350" s="13" t="s">
        <v>3</v>
      </c>
      <c r="P350" s="13" t="s">
        <v>4</v>
      </c>
      <c r="Q350" s="22" t="s">
        <v>1118</v>
      </c>
      <c r="R350" s="22" t="s">
        <v>1522</v>
      </c>
      <c r="S350" s="13" t="s">
        <v>1523</v>
      </c>
      <c r="T350" s="13" t="s">
        <v>1387</v>
      </c>
      <c r="U350" s="13" t="s">
        <v>479</v>
      </c>
      <c r="V350" s="24">
        <v>1890141923001</v>
      </c>
      <c r="W350" s="13" t="s">
        <v>570</v>
      </c>
      <c r="X350" s="13" t="s">
        <v>570</v>
      </c>
      <c r="Y350" s="13"/>
      <c r="Z350" s="13"/>
      <c r="AA350" s="29"/>
      <c r="AB350" s="29">
        <v>55035</v>
      </c>
      <c r="AC350" s="29">
        <v>0</v>
      </c>
      <c r="AD350" s="29">
        <v>70000</v>
      </c>
      <c r="AE350" s="29">
        <v>0</v>
      </c>
      <c r="AF350" s="29">
        <f t="shared" si="138"/>
        <v>70000</v>
      </c>
      <c r="AG350" s="25">
        <v>0.12</v>
      </c>
      <c r="AH350" s="29">
        <f t="shared" si="153"/>
        <v>8400</v>
      </c>
      <c r="AI350" s="29">
        <f t="shared" si="154"/>
        <v>0</v>
      </c>
      <c r="AJ350" s="29">
        <f t="shared" si="155"/>
        <v>78400.000000000015</v>
      </c>
      <c r="AK350" s="29">
        <v>55000.35</v>
      </c>
      <c r="AL350" s="29">
        <f>AB350-AK350</f>
        <v>34.650000000001455</v>
      </c>
      <c r="AM350" s="126"/>
      <c r="AN350" s="29"/>
      <c r="AO350" s="29">
        <v>69975</v>
      </c>
      <c r="AP350" s="29"/>
      <c r="AQ350" s="29">
        <v>55035</v>
      </c>
      <c r="AR350" s="25">
        <v>0.12</v>
      </c>
      <c r="AS350" s="29">
        <f>AQ350*0.12</f>
        <v>6604.2</v>
      </c>
      <c r="AT350" s="29">
        <f>AQ350*1.12</f>
        <v>61639.200000000004</v>
      </c>
      <c r="AU350" s="29"/>
      <c r="AV350" s="29"/>
      <c r="AW350" s="29"/>
      <c r="AX350" s="29"/>
      <c r="AY350" s="29"/>
      <c r="AZ350" s="29"/>
      <c r="BA350" s="29"/>
      <c r="BB350" s="29"/>
      <c r="BC350" s="29"/>
      <c r="BD350" s="29"/>
      <c r="BE350" s="29"/>
      <c r="BF350" s="29">
        <f>AB350-AQ350</f>
        <v>0</v>
      </c>
      <c r="BG350" s="29">
        <f t="shared" si="150"/>
        <v>0</v>
      </c>
      <c r="BH350" s="29" t="s">
        <v>1200</v>
      </c>
      <c r="BI350" s="29" t="s">
        <v>570</v>
      </c>
      <c r="BJ350" s="23" t="s">
        <v>570</v>
      </c>
      <c r="BK350" s="29" t="s">
        <v>570</v>
      </c>
      <c r="BL350" s="29" t="s">
        <v>570</v>
      </c>
      <c r="BM350" s="29" t="s">
        <v>570</v>
      </c>
      <c r="BN350" s="23">
        <v>42802</v>
      </c>
      <c r="BO350" s="23">
        <v>42809</v>
      </c>
      <c r="BP350" s="23">
        <v>42815</v>
      </c>
      <c r="BQ350" s="23">
        <v>42832</v>
      </c>
      <c r="BR350" s="13" t="s">
        <v>570</v>
      </c>
      <c r="BS350" s="23">
        <v>42842</v>
      </c>
      <c r="BT350" s="23">
        <v>42849</v>
      </c>
      <c r="BU350" s="13" t="s">
        <v>570</v>
      </c>
      <c r="BV350" s="13" t="s">
        <v>570</v>
      </c>
      <c r="BW350" s="224" t="s">
        <v>570</v>
      </c>
      <c r="BX350" s="23">
        <v>42860</v>
      </c>
      <c r="BY350" s="13" t="s">
        <v>570</v>
      </c>
      <c r="BZ350" s="13"/>
      <c r="CA350" s="23">
        <v>42935</v>
      </c>
      <c r="CB350" s="224" t="s">
        <v>570</v>
      </c>
      <c r="CC350" s="224" t="s">
        <v>570</v>
      </c>
      <c r="CD350" s="224" t="s">
        <v>570</v>
      </c>
      <c r="CE350" s="13"/>
      <c r="CF350" s="13"/>
      <c r="CG350" s="13"/>
      <c r="CH350" s="13"/>
      <c r="CI350" s="13"/>
      <c r="CJ350" s="13"/>
      <c r="CK350" s="13"/>
      <c r="CL350" s="13"/>
      <c r="CM350" s="13"/>
      <c r="CN350" s="13"/>
      <c r="CO350" s="13"/>
      <c r="CP350" s="13"/>
      <c r="CQ350" s="13"/>
      <c r="CR350" s="13"/>
      <c r="CS350" s="29" t="s">
        <v>570</v>
      </c>
      <c r="CT350" s="29" t="s">
        <v>570</v>
      </c>
      <c r="CU350" s="29" t="s">
        <v>570</v>
      </c>
      <c r="CV350" s="23"/>
      <c r="CW350" s="13"/>
      <c r="CX350" s="13"/>
      <c r="CY350" s="13"/>
      <c r="CZ350" s="13"/>
      <c r="DA350" s="13"/>
      <c r="DB350" s="2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92">
        <f t="shared" si="152"/>
        <v>0</v>
      </c>
      <c r="DZ350" s="13"/>
      <c r="EA350" s="13"/>
      <c r="EB350" s="13"/>
      <c r="EC350" s="13"/>
      <c r="ED350" s="13"/>
      <c r="EE350" s="13"/>
      <c r="EF350" s="13"/>
      <c r="EG350" s="13">
        <v>60</v>
      </c>
      <c r="EH350" s="13"/>
      <c r="EI350" s="13"/>
      <c r="EJ350" s="13"/>
      <c r="EK350" s="13"/>
      <c r="EL350" s="13"/>
      <c r="EM350" s="13"/>
      <c r="EN350" s="13"/>
      <c r="EO350" s="13"/>
      <c r="EP350" s="13"/>
      <c r="EQ350" s="13"/>
      <c r="ER350" s="13"/>
      <c r="ES350" s="13"/>
      <c r="ET350" s="13"/>
      <c r="EU350" s="13"/>
      <c r="EV350" s="13"/>
      <c r="EW350" s="13"/>
      <c r="EX350" s="13"/>
      <c r="EY350" s="13"/>
      <c r="EZ350" s="13"/>
      <c r="FA350" s="13"/>
      <c r="FB350" s="13"/>
      <c r="FC350" s="13"/>
      <c r="FD350" s="13"/>
      <c r="FE350" s="13"/>
      <c r="FF350" s="13"/>
      <c r="FG350" s="13"/>
      <c r="FH350" s="13"/>
      <c r="FI350" s="13"/>
      <c r="FJ350" s="13"/>
      <c r="FK350" s="13"/>
      <c r="FL350" s="13"/>
      <c r="FM350" s="13"/>
      <c r="FN350" s="13"/>
      <c r="FO350" s="13"/>
      <c r="FP350" s="13"/>
      <c r="FQ350" s="13"/>
      <c r="FR350" s="13"/>
      <c r="FS350" s="13"/>
      <c r="FT350" s="13"/>
      <c r="FU350" s="13"/>
      <c r="FV350" s="13"/>
      <c r="FW350" s="13"/>
      <c r="FX350" s="13"/>
      <c r="FY350" s="13"/>
      <c r="FZ350" s="13"/>
      <c r="GA350" s="25">
        <v>0</v>
      </c>
      <c r="GB350" s="25">
        <v>0</v>
      </c>
      <c r="GC350" s="25">
        <v>0</v>
      </c>
      <c r="GD350" s="25">
        <v>1</v>
      </c>
      <c r="GE350" s="25">
        <v>1</v>
      </c>
      <c r="GF350" s="25">
        <v>1</v>
      </c>
      <c r="GG350" s="25">
        <v>1</v>
      </c>
      <c r="GH350" s="25">
        <v>1</v>
      </c>
      <c r="GI350" s="25">
        <v>1</v>
      </c>
      <c r="GJ350" s="25">
        <v>1</v>
      </c>
      <c r="GK350" s="25">
        <v>1</v>
      </c>
      <c r="GL350" s="25">
        <v>1</v>
      </c>
      <c r="GM350" s="25">
        <v>1</v>
      </c>
      <c r="GN350" s="25">
        <v>1</v>
      </c>
      <c r="GO350" s="25">
        <v>1</v>
      </c>
      <c r="GP350" s="25">
        <v>1</v>
      </c>
      <c r="GQ350" s="25">
        <v>1</v>
      </c>
      <c r="GR350" s="25">
        <v>1</v>
      </c>
      <c r="GS350" s="25">
        <v>1</v>
      </c>
      <c r="GT350" s="25">
        <v>1</v>
      </c>
      <c r="GU350" s="25">
        <v>1</v>
      </c>
      <c r="GV350" s="25" t="s">
        <v>452</v>
      </c>
      <c r="GW350" s="25" t="s">
        <v>452</v>
      </c>
      <c r="GX350" s="25" t="s">
        <v>452</v>
      </c>
      <c r="GY350" s="25" t="s">
        <v>452</v>
      </c>
      <c r="GZ350" s="25" t="s">
        <v>452</v>
      </c>
      <c r="HA350" s="25" t="s">
        <v>452</v>
      </c>
      <c r="HB350" s="25" t="s">
        <v>452</v>
      </c>
      <c r="HC350" s="25" t="s">
        <v>452</v>
      </c>
      <c r="HD350" s="25" t="s">
        <v>452</v>
      </c>
      <c r="HE350" s="25" t="s">
        <v>452</v>
      </c>
      <c r="HF350" s="25" t="s">
        <v>452</v>
      </c>
      <c r="HG350" s="25" t="s">
        <v>452</v>
      </c>
      <c r="HH350" s="25" t="s">
        <v>452</v>
      </c>
      <c r="HI350" s="25"/>
      <c r="HJ350" s="25"/>
      <c r="HK350" s="25"/>
      <c r="HL350" s="25"/>
      <c r="HM350" s="84"/>
      <c r="HN350" s="84"/>
      <c r="HO350" s="84"/>
      <c r="HP350" s="84"/>
      <c r="HQ350" s="84"/>
      <c r="HR350" s="84"/>
      <c r="HS350" s="84"/>
      <c r="HT350" s="84"/>
      <c r="HU350" s="13" t="s">
        <v>1615</v>
      </c>
      <c r="HV350" s="13"/>
      <c r="HW350" s="32"/>
      <c r="HX350" s="55"/>
      <c r="HY350" s="55"/>
      <c r="HZ350" s="55"/>
      <c r="IA350" s="55"/>
      <c r="IB350" s="55"/>
      <c r="IC350" s="55"/>
      <c r="ID350" s="55"/>
      <c r="IE350" s="55"/>
      <c r="IF350" s="107">
        <v>55035</v>
      </c>
      <c r="IG350" s="107">
        <v>55000.35</v>
      </c>
      <c r="IH350" s="250">
        <f t="shared" si="156"/>
        <v>0</v>
      </c>
      <c r="II350" s="55"/>
      <c r="IJ350" s="55"/>
      <c r="IK350" s="55"/>
      <c r="IL350" s="55"/>
      <c r="IM350" s="55"/>
      <c r="IN350" s="55"/>
      <c r="IO350" s="55"/>
      <c r="IP350" s="55"/>
      <c r="IQ350" s="55"/>
      <c r="IR350" s="55"/>
      <c r="IS350" s="55"/>
      <c r="IT350" s="55"/>
      <c r="IU350" s="55"/>
      <c r="IV350" s="55"/>
      <c r="IW350" s="55"/>
      <c r="IX350" s="55"/>
      <c r="IY350" s="55"/>
      <c r="IZ350" s="55"/>
      <c r="JA350" s="55"/>
      <c r="JB350" s="55"/>
      <c r="JC350" s="55"/>
      <c r="JD350" s="55"/>
    </row>
    <row r="351" spans="1:264" s="5" customFormat="1" ht="24.95" hidden="1" customHeight="1">
      <c r="A351" s="26" t="s">
        <v>23</v>
      </c>
      <c r="B351" s="26" t="s">
        <v>313</v>
      </c>
      <c r="C351" s="13" t="s">
        <v>358</v>
      </c>
      <c r="D351" s="13" t="s">
        <v>379</v>
      </c>
      <c r="E351" s="16" t="s">
        <v>359</v>
      </c>
      <c r="F351" s="13" t="s">
        <v>359</v>
      </c>
      <c r="G351" s="39" t="s">
        <v>354</v>
      </c>
      <c r="H351" s="28" t="s">
        <v>1518</v>
      </c>
      <c r="I351" s="313" t="s">
        <v>1198</v>
      </c>
      <c r="J351" s="48">
        <v>16</v>
      </c>
      <c r="K351" s="49" t="s">
        <v>375</v>
      </c>
      <c r="L351" s="314" t="s">
        <v>1762</v>
      </c>
      <c r="M351" s="20" t="s">
        <v>1198</v>
      </c>
      <c r="N351" s="20"/>
      <c r="O351" s="13" t="s">
        <v>3</v>
      </c>
      <c r="P351" s="13" t="s">
        <v>4</v>
      </c>
      <c r="Q351" s="22" t="s">
        <v>547</v>
      </c>
      <c r="R351" s="22"/>
      <c r="S351" s="13"/>
      <c r="T351" s="13"/>
      <c r="U351" s="13"/>
      <c r="V351" s="13"/>
      <c r="W351" s="13" t="s">
        <v>570</v>
      </c>
      <c r="X351" s="13" t="s">
        <v>570</v>
      </c>
      <c r="Y351" s="13"/>
      <c r="Z351" s="13"/>
      <c r="AA351" s="29"/>
      <c r="AB351" s="29">
        <v>100000</v>
      </c>
      <c r="AC351" s="29">
        <v>0</v>
      </c>
      <c r="AD351" s="29">
        <v>100000</v>
      </c>
      <c r="AE351" s="29">
        <v>0</v>
      </c>
      <c r="AF351" s="29">
        <f t="shared" si="138"/>
        <v>100000</v>
      </c>
      <c r="AG351" s="25">
        <v>0.12</v>
      </c>
      <c r="AH351" s="29">
        <f t="shared" si="153"/>
        <v>12000</v>
      </c>
      <c r="AI351" s="29">
        <f t="shared" si="154"/>
        <v>0</v>
      </c>
      <c r="AJ351" s="29">
        <f t="shared" si="155"/>
        <v>112000.00000000001</v>
      </c>
      <c r="AK351" s="29"/>
      <c r="AL351" s="29"/>
      <c r="AM351" s="126"/>
      <c r="AN351" s="29"/>
      <c r="AO351" s="29"/>
      <c r="AP351" s="29"/>
      <c r="AQ351" s="29"/>
      <c r="AR351" s="29"/>
      <c r="AS351" s="29"/>
      <c r="AT351" s="29"/>
      <c r="AU351" s="29"/>
      <c r="AV351" s="29"/>
      <c r="AW351" s="29"/>
      <c r="AX351" s="29"/>
      <c r="AY351" s="29"/>
      <c r="AZ351" s="29"/>
      <c r="BA351" s="29"/>
      <c r="BB351" s="29"/>
      <c r="BC351" s="29"/>
      <c r="BD351" s="29"/>
      <c r="BE351" s="29"/>
      <c r="BF351" s="29"/>
      <c r="BG351" s="29">
        <f t="shared" si="150"/>
        <v>0</v>
      </c>
      <c r="BH351" s="29"/>
      <c r="BI351" s="29" t="s">
        <v>570</v>
      </c>
      <c r="BJ351" s="23" t="s">
        <v>570</v>
      </c>
      <c r="BK351" s="29" t="s">
        <v>570</v>
      </c>
      <c r="BL351" s="29" t="s">
        <v>570</v>
      </c>
      <c r="BM351" s="29" t="s">
        <v>570</v>
      </c>
      <c r="BN351" s="13"/>
      <c r="BO351" s="13"/>
      <c r="BP351" s="13"/>
      <c r="BQ351" s="13"/>
      <c r="BR351" s="13"/>
      <c r="BS351" s="13"/>
      <c r="BT351" s="13"/>
      <c r="BU351" s="13" t="s">
        <v>570</v>
      </c>
      <c r="BV351" s="13" t="s">
        <v>570</v>
      </c>
      <c r="BW351" s="224" t="s">
        <v>570</v>
      </c>
      <c r="BX351" s="13"/>
      <c r="BY351" s="13"/>
      <c r="BZ351" s="13"/>
      <c r="CA351" s="13"/>
      <c r="CB351" s="224" t="s">
        <v>570</v>
      </c>
      <c r="CC351" s="224" t="s">
        <v>570</v>
      </c>
      <c r="CD351" s="224" t="s">
        <v>570</v>
      </c>
      <c r="CE351" s="13"/>
      <c r="CF351" s="13"/>
      <c r="CG351" s="13"/>
      <c r="CH351" s="13"/>
      <c r="CI351" s="13"/>
      <c r="CJ351" s="13"/>
      <c r="CK351" s="13"/>
      <c r="CL351" s="13"/>
      <c r="CM351" s="13"/>
      <c r="CN351" s="13"/>
      <c r="CO351" s="13"/>
      <c r="CP351" s="13"/>
      <c r="CQ351" s="13"/>
      <c r="CR351" s="13"/>
      <c r="CS351" s="29" t="s">
        <v>570</v>
      </c>
      <c r="CT351" s="29" t="s">
        <v>570</v>
      </c>
      <c r="CU351" s="29" t="s">
        <v>570</v>
      </c>
      <c r="CV351" s="23"/>
      <c r="CW351" s="13"/>
      <c r="CX351" s="13"/>
      <c r="CY351" s="13"/>
      <c r="CZ351" s="13"/>
      <c r="DA351" s="13"/>
      <c r="DB351" s="2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92">
        <f t="shared" ref="DY351" si="157">CW351+CZ351+DC351+DF351+DI351+DL351+DO351+DR351+DU351+DX351</f>
        <v>0</v>
      </c>
      <c r="DZ351" s="13"/>
      <c r="EA351" s="13"/>
      <c r="EB351" s="13"/>
      <c r="EC351" s="13"/>
      <c r="ED351" s="13"/>
      <c r="EE351" s="13"/>
      <c r="EF351" s="13"/>
      <c r="EG351" s="13"/>
      <c r="EH351" s="13"/>
      <c r="EI351" s="13"/>
      <c r="EJ351" s="13"/>
      <c r="EK351" s="13"/>
      <c r="EL351" s="13"/>
      <c r="EM351" s="13"/>
      <c r="EN351" s="13"/>
      <c r="EO351" s="13"/>
      <c r="EP351" s="13"/>
      <c r="EQ351" s="13"/>
      <c r="ER351" s="13"/>
      <c r="ES351" s="13"/>
      <c r="ET351" s="13"/>
      <c r="EU351" s="13"/>
      <c r="EV351" s="13"/>
      <c r="EW351" s="13"/>
      <c r="EX351" s="13"/>
      <c r="EY351" s="13"/>
      <c r="EZ351" s="13"/>
      <c r="FA351" s="13"/>
      <c r="FB351" s="13"/>
      <c r="FC351" s="13"/>
      <c r="FD351" s="13"/>
      <c r="FE351" s="13"/>
      <c r="FF351" s="13"/>
      <c r="FG351" s="13"/>
      <c r="FH351" s="13"/>
      <c r="FI351" s="13"/>
      <c r="FJ351" s="13"/>
      <c r="FK351" s="13"/>
      <c r="FL351" s="13"/>
      <c r="FM351" s="13"/>
      <c r="FN351" s="13"/>
      <c r="FO351" s="13"/>
      <c r="FP351" s="13"/>
      <c r="FQ351" s="13"/>
      <c r="FR351" s="13"/>
      <c r="FS351" s="13"/>
      <c r="FT351" s="13"/>
      <c r="FU351" s="25">
        <v>0</v>
      </c>
      <c r="FV351" s="25">
        <v>0</v>
      </c>
      <c r="FW351" s="25">
        <v>0</v>
      </c>
      <c r="FX351" s="25">
        <v>0</v>
      </c>
      <c r="FY351" s="25">
        <v>0</v>
      </c>
      <c r="FZ351" s="25">
        <v>0</v>
      </c>
      <c r="GA351" s="25">
        <v>0</v>
      </c>
      <c r="GB351" s="25">
        <v>0</v>
      </c>
      <c r="GC351" s="25">
        <v>0</v>
      </c>
      <c r="GD351" s="25">
        <v>0</v>
      </c>
      <c r="GE351" s="25">
        <v>0</v>
      </c>
      <c r="GF351" s="25">
        <v>0</v>
      </c>
      <c r="GG351" s="25">
        <v>0</v>
      </c>
      <c r="GH351" s="25">
        <v>0</v>
      </c>
      <c r="GI351" s="25">
        <v>0</v>
      </c>
      <c r="GJ351" s="25">
        <v>0</v>
      </c>
      <c r="GK351" s="25">
        <v>0</v>
      </c>
      <c r="GL351" s="25">
        <v>0</v>
      </c>
      <c r="GM351" s="25">
        <v>0</v>
      </c>
      <c r="GN351" s="25">
        <v>0</v>
      </c>
      <c r="GO351" s="25">
        <v>0</v>
      </c>
      <c r="GP351" s="25">
        <v>0</v>
      </c>
      <c r="GQ351" s="25">
        <v>0</v>
      </c>
      <c r="GR351" s="25">
        <v>0</v>
      </c>
      <c r="GS351" s="25">
        <v>0</v>
      </c>
      <c r="GT351" s="25">
        <v>0</v>
      </c>
      <c r="GU351" s="25">
        <v>0</v>
      </c>
      <c r="GV351" s="25" t="s">
        <v>1588</v>
      </c>
      <c r="GW351" s="25" t="s">
        <v>1588</v>
      </c>
      <c r="GX351" s="25" t="s">
        <v>1588</v>
      </c>
      <c r="GY351" s="25" t="s">
        <v>1588</v>
      </c>
      <c r="GZ351" s="25" t="s">
        <v>1588</v>
      </c>
      <c r="HA351" s="25" t="s">
        <v>1588</v>
      </c>
      <c r="HB351" s="25" t="s">
        <v>1588</v>
      </c>
      <c r="HC351" s="25" t="s">
        <v>1588</v>
      </c>
      <c r="HD351" s="25" t="s">
        <v>1588</v>
      </c>
      <c r="HE351" s="25" t="s">
        <v>1588</v>
      </c>
      <c r="HF351" s="25" t="s">
        <v>1588</v>
      </c>
      <c r="HG351" s="25" t="s">
        <v>1588</v>
      </c>
      <c r="HH351" s="25" t="s">
        <v>1588</v>
      </c>
      <c r="HI351" s="25" t="s">
        <v>1650</v>
      </c>
      <c r="HJ351" s="25"/>
      <c r="HK351" s="25"/>
      <c r="HL351" s="25"/>
      <c r="HM351" s="84"/>
      <c r="HN351" s="84"/>
      <c r="HO351" s="25" t="s">
        <v>1876</v>
      </c>
      <c r="HP351" s="25"/>
      <c r="HQ351" s="25"/>
      <c r="HR351" s="25"/>
      <c r="HS351" s="25"/>
      <c r="HT351" s="25"/>
      <c r="HU351" s="13" t="s">
        <v>1115</v>
      </c>
      <c r="HV351" s="13"/>
      <c r="HW351" s="32"/>
      <c r="HX351" s="55"/>
      <c r="HY351" s="55"/>
      <c r="HZ351" s="55"/>
      <c r="IA351" s="55"/>
      <c r="IB351" s="55"/>
      <c r="IC351" s="55"/>
      <c r="ID351" s="55"/>
      <c r="IE351" s="55"/>
      <c r="IF351" s="107">
        <v>100000</v>
      </c>
      <c r="IG351" s="107"/>
      <c r="IH351" s="250">
        <f t="shared" si="156"/>
        <v>0</v>
      </c>
      <c r="II351" s="55"/>
      <c r="IJ351" s="55"/>
      <c r="IK351" s="55"/>
      <c r="IL351" s="55"/>
      <c r="IM351" s="55"/>
      <c r="IN351" s="55"/>
      <c r="IO351" s="55"/>
      <c r="IP351" s="55"/>
      <c r="IQ351" s="55"/>
      <c r="IR351" s="55"/>
      <c r="IS351" s="55"/>
      <c r="IT351" s="55"/>
      <c r="IU351" s="55"/>
      <c r="IV351" s="55"/>
      <c r="IW351" s="55"/>
      <c r="IX351" s="55"/>
      <c r="IY351" s="55"/>
      <c r="IZ351" s="55"/>
      <c r="JA351" s="55"/>
      <c r="JB351" s="55"/>
      <c r="JC351" s="55"/>
      <c r="JD351" s="55"/>
    </row>
    <row r="352" spans="1:264" s="5" customFormat="1" ht="38.25" hidden="1" customHeight="1">
      <c r="A352" s="26" t="s">
        <v>23</v>
      </c>
      <c r="B352" s="26" t="s">
        <v>1</v>
      </c>
      <c r="C352" s="13" t="s">
        <v>358</v>
      </c>
      <c r="D352" s="13" t="s">
        <v>379</v>
      </c>
      <c r="E352" s="16" t="s">
        <v>359</v>
      </c>
      <c r="F352" s="13" t="s">
        <v>359</v>
      </c>
      <c r="G352" s="39" t="s">
        <v>354</v>
      </c>
      <c r="H352" s="28" t="s">
        <v>1518</v>
      </c>
      <c r="I352" s="103" t="s">
        <v>1614</v>
      </c>
      <c r="J352" s="48">
        <v>17</v>
      </c>
      <c r="K352" s="49" t="s">
        <v>375</v>
      </c>
      <c r="L352" s="49" t="s">
        <v>1763</v>
      </c>
      <c r="M352" s="103" t="s">
        <v>1614</v>
      </c>
      <c r="N352" s="103"/>
      <c r="O352" s="13" t="s">
        <v>3</v>
      </c>
      <c r="P352" s="13" t="s">
        <v>4</v>
      </c>
      <c r="Q352" s="22" t="s">
        <v>1118</v>
      </c>
      <c r="R352" s="22"/>
      <c r="S352" s="13"/>
      <c r="T352" s="13"/>
      <c r="U352" s="13"/>
      <c r="V352" s="13"/>
      <c r="W352" s="13"/>
      <c r="X352" s="13"/>
      <c r="Y352" s="13"/>
      <c r="Z352" s="13"/>
      <c r="AA352" s="29"/>
      <c r="AB352" s="29">
        <v>75965</v>
      </c>
      <c r="AC352" s="29">
        <v>0</v>
      </c>
      <c r="AD352" s="29">
        <f>55965+20000</f>
        <v>75965</v>
      </c>
      <c r="AE352" s="29">
        <v>0</v>
      </c>
      <c r="AF352" s="29">
        <f t="shared" si="138"/>
        <v>75965</v>
      </c>
      <c r="AG352" s="25">
        <v>0.12</v>
      </c>
      <c r="AH352" s="29">
        <f t="shared" si="153"/>
        <v>9115.7999999999993</v>
      </c>
      <c r="AI352" s="29">
        <f t="shared" si="154"/>
        <v>0</v>
      </c>
      <c r="AJ352" s="29">
        <f t="shared" si="155"/>
        <v>85080.8</v>
      </c>
      <c r="AK352" s="29">
        <v>52936</v>
      </c>
      <c r="AL352" s="29">
        <f>AB352-AK352</f>
        <v>23029</v>
      </c>
      <c r="AM352" s="126"/>
      <c r="AN352" s="29"/>
      <c r="AO352" s="29"/>
      <c r="AP352" s="29"/>
      <c r="AQ352" s="29">
        <v>52936</v>
      </c>
      <c r="AR352" s="29"/>
      <c r="AS352" s="29"/>
      <c r="AT352" s="29"/>
      <c r="AU352" s="29"/>
      <c r="AV352" s="29"/>
      <c r="AW352" s="29"/>
      <c r="AX352" s="29"/>
      <c r="AY352" s="29"/>
      <c r="AZ352" s="29"/>
      <c r="BA352" s="29"/>
      <c r="BB352" s="29"/>
      <c r="BC352" s="29"/>
      <c r="BD352" s="29"/>
      <c r="BE352" s="29"/>
      <c r="BF352" s="29"/>
      <c r="BG352" s="29"/>
      <c r="BH352" s="29"/>
      <c r="BI352" s="29"/>
      <c r="BJ352" s="23"/>
      <c r="BK352" s="29"/>
      <c r="BL352" s="29"/>
      <c r="BM352" s="29"/>
      <c r="BN352" s="13"/>
      <c r="BO352" s="13"/>
      <c r="BP352" s="13"/>
      <c r="BQ352" s="13"/>
      <c r="BR352" s="13"/>
      <c r="BS352" s="13"/>
      <c r="BT352" s="13"/>
      <c r="BU352" s="13"/>
      <c r="BV352" s="13"/>
      <c r="BW352" s="224"/>
      <c r="BX352" s="13"/>
      <c r="BY352" s="13"/>
      <c r="BZ352" s="13"/>
      <c r="CA352" s="13"/>
      <c r="CB352" s="224"/>
      <c r="CC352" s="224"/>
      <c r="CD352" s="224"/>
      <c r="CE352" s="13"/>
      <c r="CF352" s="13"/>
      <c r="CG352" s="13"/>
      <c r="CH352" s="13"/>
      <c r="CI352" s="13"/>
      <c r="CJ352" s="13"/>
      <c r="CK352" s="13"/>
      <c r="CL352" s="13"/>
      <c r="CM352" s="13"/>
      <c r="CN352" s="13"/>
      <c r="CO352" s="13"/>
      <c r="CP352" s="13"/>
      <c r="CQ352" s="13"/>
      <c r="CR352" s="13"/>
      <c r="CS352" s="29"/>
      <c r="CT352" s="29"/>
      <c r="CU352" s="29"/>
      <c r="CV352" s="23"/>
      <c r="CW352" s="13"/>
      <c r="CX352" s="13"/>
      <c r="CY352" s="13"/>
      <c r="CZ352" s="13"/>
      <c r="DA352" s="13"/>
      <c r="DB352" s="2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92"/>
      <c r="DZ352" s="13"/>
      <c r="EA352" s="13"/>
      <c r="EB352" s="13"/>
      <c r="EC352" s="13"/>
      <c r="ED352" s="13"/>
      <c r="EE352" s="13"/>
      <c r="EF352" s="13"/>
      <c r="EG352" s="13">
        <v>60</v>
      </c>
      <c r="EH352" s="13"/>
      <c r="EI352" s="13"/>
      <c r="EJ352" s="13"/>
      <c r="EK352" s="13"/>
      <c r="EL352" s="13"/>
      <c r="EM352" s="13"/>
      <c r="EN352" s="13"/>
      <c r="EO352" s="13"/>
      <c r="EP352" s="13"/>
      <c r="EQ352" s="13"/>
      <c r="ER352" s="13"/>
      <c r="ES352" s="13"/>
      <c r="ET352" s="13"/>
      <c r="EU352" s="13"/>
      <c r="EV352" s="13"/>
      <c r="EW352" s="13"/>
      <c r="EX352" s="13"/>
      <c r="EY352" s="13"/>
      <c r="EZ352" s="13"/>
      <c r="FA352" s="13"/>
      <c r="FB352" s="13"/>
      <c r="FC352" s="13"/>
      <c r="FD352" s="13"/>
      <c r="FE352" s="13"/>
      <c r="FF352" s="13"/>
      <c r="FG352" s="13"/>
      <c r="FH352" s="13"/>
      <c r="FI352" s="13"/>
      <c r="FJ352" s="13"/>
      <c r="FK352" s="13"/>
      <c r="FL352" s="13"/>
      <c r="FM352" s="13"/>
      <c r="FN352" s="13"/>
      <c r="FO352" s="13"/>
      <c r="FP352" s="13"/>
      <c r="FQ352" s="13"/>
      <c r="FR352" s="13"/>
      <c r="FS352" s="13"/>
      <c r="FT352" s="13"/>
      <c r="FU352" s="25"/>
      <c r="FV352" s="25"/>
      <c r="FW352" s="25"/>
      <c r="FX352" s="25"/>
      <c r="FY352" s="25"/>
      <c r="FZ352" s="25"/>
      <c r="GA352" s="25"/>
      <c r="GB352" s="25"/>
      <c r="GC352" s="25">
        <v>0</v>
      </c>
      <c r="GD352" s="25">
        <v>0</v>
      </c>
      <c r="GE352" s="25">
        <v>0</v>
      </c>
      <c r="GF352" s="25">
        <v>0</v>
      </c>
      <c r="GG352" s="25">
        <v>0</v>
      </c>
      <c r="GH352" s="25">
        <v>0</v>
      </c>
      <c r="GI352" s="25">
        <v>0</v>
      </c>
      <c r="GJ352" s="25">
        <v>0</v>
      </c>
      <c r="GK352" s="25">
        <v>0</v>
      </c>
      <c r="GL352" s="25">
        <v>0</v>
      </c>
      <c r="GM352" s="25">
        <v>0</v>
      </c>
      <c r="GN352" s="25">
        <v>0</v>
      </c>
      <c r="GO352" s="25">
        <v>0</v>
      </c>
      <c r="GP352" s="25">
        <v>0.9</v>
      </c>
      <c r="GQ352" s="25">
        <v>0.99</v>
      </c>
      <c r="GR352" s="25">
        <v>1</v>
      </c>
      <c r="GS352" s="25">
        <v>1</v>
      </c>
      <c r="GT352" s="25">
        <v>1</v>
      </c>
      <c r="GU352" s="25">
        <v>1</v>
      </c>
      <c r="GV352" s="25"/>
      <c r="GW352" s="25" t="s">
        <v>1588</v>
      </c>
      <c r="GX352" s="25" t="s">
        <v>1588</v>
      </c>
      <c r="GY352" s="25" t="s">
        <v>1588</v>
      </c>
      <c r="GZ352" s="25" t="s">
        <v>1588</v>
      </c>
      <c r="HA352" s="25" t="s">
        <v>1588</v>
      </c>
      <c r="HB352" s="25" t="s">
        <v>1588</v>
      </c>
      <c r="HC352" s="25" t="s">
        <v>1588</v>
      </c>
      <c r="HD352" s="25" t="s">
        <v>455</v>
      </c>
      <c r="HE352" s="25" t="s">
        <v>455</v>
      </c>
      <c r="HF352" s="25" t="s">
        <v>455</v>
      </c>
      <c r="HG352" s="25" t="s">
        <v>455</v>
      </c>
      <c r="HH352" s="25" t="s">
        <v>455</v>
      </c>
      <c r="HI352" s="25" t="s">
        <v>1651</v>
      </c>
      <c r="HJ352" s="25"/>
      <c r="HK352" s="25"/>
      <c r="HL352" s="25"/>
      <c r="HM352" s="84" t="s">
        <v>1748</v>
      </c>
      <c r="HN352" s="84"/>
      <c r="HO352" s="84"/>
      <c r="HP352" s="84"/>
      <c r="HQ352" s="84"/>
      <c r="HR352" s="84"/>
      <c r="HS352" s="84"/>
      <c r="HT352" s="84"/>
      <c r="HU352" s="13" t="s">
        <v>1627</v>
      </c>
      <c r="HV352" s="13"/>
      <c r="HW352" s="32"/>
      <c r="HX352" s="55"/>
      <c r="HY352" s="55"/>
      <c r="HZ352" s="55"/>
      <c r="IA352" s="55"/>
      <c r="IB352" s="55"/>
      <c r="IC352" s="55"/>
      <c r="ID352" s="55"/>
      <c r="IE352" s="55"/>
      <c r="IF352" s="107">
        <v>75965</v>
      </c>
      <c r="IG352" s="107"/>
      <c r="IH352" s="250">
        <f t="shared" si="156"/>
        <v>52936</v>
      </c>
      <c r="II352" s="55"/>
      <c r="IJ352" s="55"/>
      <c r="IK352" s="55"/>
      <c r="IL352" s="55"/>
      <c r="IM352" s="55"/>
      <c r="IN352" s="55"/>
      <c r="IO352" s="55"/>
      <c r="IP352" s="55"/>
      <c r="IQ352" s="55"/>
      <c r="IR352" s="55"/>
      <c r="IS352" s="55"/>
      <c r="IT352" s="55"/>
      <c r="IU352" s="55"/>
      <c r="IV352" s="55"/>
      <c r="IW352" s="55"/>
      <c r="IX352" s="55"/>
      <c r="IY352" s="55"/>
      <c r="IZ352" s="55"/>
      <c r="JA352" s="55"/>
      <c r="JB352" s="55"/>
      <c r="JC352" s="55"/>
      <c r="JD352" s="55"/>
    </row>
    <row r="353" spans="1:264" s="5" customFormat="1" ht="47.25" hidden="1" customHeight="1">
      <c r="A353" s="26" t="s">
        <v>23</v>
      </c>
      <c r="B353" s="26" t="s">
        <v>313</v>
      </c>
      <c r="C353" s="13" t="s">
        <v>352</v>
      </c>
      <c r="D353" s="13" t="s">
        <v>377</v>
      </c>
      <c r="E353" s="16" t="s">
        <v>353</v>
      </c>
      <c r="F353" s="13" t="s">
        <v>353</v>
      </c>
      <c r="G353" s="39" t="s">
        <v>354</v>
      </c>
      <c r="H353" s="28" t="s">
        <v>1550</v>
      </c>
      <c r="I353" s="384" t="s">
        <v>823</v>
      </c>
      <c r="J353" s="48">
        <v>5</v>
      </c>
      <c r="K353" s="13" t="s">
        <v>375</v>
      </c>
      <c r="L353" s="314" t="s">
        <v>1117</v>
      </c>
      <c r="M353" s="20" t="s">
        <v>1116</v>
      </c>
      <c r="N353" s="20" t="s">
        <v>1913</v>
      </c>
      <c r="O353" s="13" t="s">
        <v>3</v>
      </c>
      <c r="P353" s="13" t="s">
        <v>4</v>
      </c>
      <c r="Q353" s="22" t="s">
        <v>364</v>
      </c>
      <c r="R353" s="22" t="s">
        <v>1599</v>
      </c>
      <c r="S353" s="13" t="s">
        <v>1600</v>
      </c>
      <c r="T353" s="22" t="s">
        <v>1387</v>
      </c>
      <c r="U353" s="22" t="s">
        <v>477</v>
      </c>
      <c r="V353" s="24">
        <v>1105161739001</v>
      </c>
      <c r="W353" s="13" t="s">
        <v>570</v>
      </c>
      <c r="X353" s="13" t="s">
        <v>570</v>
      </c>
      <c r="Y353" s="13"/>
      <c r="Z353" s="13"/>
      <c r="AA353" s="29">
        <v>41800</v>
      </c>
      <c r="AB353" s="41">
        <v>41800</v>
      </c>
      <c r="AC353" s="29">
        <v>41800</v>
      </c>
      <c r="AD353" s="41">
        <f>AA353+AA354+AA355</f>
        <v>109866.2</v>
      </c>
      <c r="AE353" s="29">
        <v>0</v>
      </c>
      <c r="AF353" s="29">
        <f t="shared" si="138"/>
        <v>109866.2</v>
      </c>
      <c r="AG353" s="25">
        <v>0.12</v>
      </c>
      <c r="AH353" s="29">
        <f t="shared" si="153"/>
        <v>13183.944</v>
      </c>
      <c r="AI353" s="29">
        <f t="shared" si="154"/>
        <v>0</v>
      </c>
      <c r="AJ353" s="29">
        <f t="shared" si="155"/>
        <v>123050.14400000001</v>
      </c>
      <c r="AK353" s="29"/>
      <c r="AL353" s="29"/>
      <c r="AM353" s="126">
        <f>AB353-AQ353</f>
        <v>3005.5999999999985</v>
      </c>
      <c r="AN353" s="29">
        <v>41800</v>
      </c>
      <c r="AO353" s="29">
        <f>AN353+AN354+AN355</f>
        <v>109866.2</v>
      </c>
      <c r="AP353" s="29"/>
      <c r="AQ353" s="29">
        <v>38794.400000000001</v>
      </c>
      <c r="AR353" s="25">
        <v>0.12</v>
      </c>
      <c r="AS353" s="29">
        <f>AQ353*0.12</f>
        <v>4655.3280000000004</v>
      </c>
      <c r="AT353" s="29">
        <f>AQ353*1.12</f>
        <v>43449.728000000003</v>
      </c>
      <c r="AU353" s="29"/>
      <c r="AV353" s="29"/>
      <c r="AW353" s="29"/>
      <c r="AX353" s="29"/>
      <c r="AY353" s="29"/>
      <c r="AZ353" s="29"/>
      <c r="BA353" s="29"/>
      <c r="BB353" s="29"/>
      <c r="BC353" s="29"/>
      <c r="BD353" s="29"/>
      <c r="BE353" s="29"/>
      <c r="BF353" s="29"/>
      <c r="BG353" s="29">
        <f>BF353-AW353-AZ353-BC353-BE353</f>
        <v>0</v>
      </c>
      <c r="BH353" s="29" t="s">
        <v>1524</v>
      </c>
      <c r="BI353" s="29" t="s">
        <v>570</v>
      </c>
      <c r="BJ353" s="23" t="s">
        <v>570</v>
      </c>
      <c r="BK353" s="29" t="s">
        <v>570</v>
      </c>
      <c r="BL353" s="29" t="s">
        <v>570</v>
      </c>
      <c r="BM353" s="29" t="s">
        <v>570</v>
      </c>
      <c r="BN353" s="23">
        <v>42961</v>
      </c>
      <c r="BO353" s="23">
        <v>42965</v>
      </c>
      <c r="BP353" s="23">
        <v>42970</v>
      </c>
      <c r="BQ353" s="23">
        <v>42982</v>
      </c>
      <c r="BR353" s="13" t="s">
        <v>570</v>
      </c>
      <c r="BS353" s="23">
        <v>42989</v>
      </c>
      <c r="BT353" s="23">
        <v>43000</v>
      </c>
      <c r="BU353" s="13" t="s">
        <v>570</v>
      </c>
      <c r="BV353" s="13" t="s">
        <v>570</v>
      </c>
      <c r="BW353" s="224" t="s">
        <v>570</v>
      </c>
      <c r="BX353" s="23">
        <v>43010</v>
      </c>
      <c r="BY353" s="13" t="s">
        <v>570</v>
      </c>
      <c r="BZ353" s="23">
        <v>43013</v>
      </c>
      <c r="CA353" s="23">
        <v>43039</v>
      </c>
      <c r="CB353" s="224" t="s">
        <v>570</v>
      </c>
      <c r="CC353" s="224" t="s">
        <v>570</v>
      </c>
      <c r="CD353" s="224" t="s">
        <v>570</v>
      </c>
      <c r="CE353" s="13"/>
      <c r="CF353" s="13"/>
      <c r="CG353" s="13"/>
      <c r="CH353" s="13"/>
      <c r="CI353" s="13"/>
      <c r="CJ353" s="13"/>
      <c r="CK353" s="13"/>
      <c r="CL353" s="13"/>
      <c r="CM353" s="13"/>
      <c r="CN353" s="13"/>
      <c r="CO353" s="13"/>
      <c r="CP353" s="13"/>
      <c r="CQ353" s="13"/>
      <c r="CR353" s="13"/>
      <c r="CS353" s="29" t="s">
        <v>570</v>
      </c>
      <c r="CT353" s="29" t="s">
        <v>570</v>
      </c>
      <c r="CU353" s="29" t="s">
        <v>570</v>
      </c>
      <c r="CV353" s="23"/>
      <c r="CW353" s="13"/>
      <c r="CX353" s="13"/>
      <c r="CY353" s="13"/>
      <c r="CZ353" s="13"/>
      <c r="DA353" s="13"/>
      <c r="DB353" s="2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92"/>
      <c r="DZ353" s="13"/>
      <c r="EA353" s="13"/>
      <c r="EB353" s="13"/>
      <c r="EC353" s="13"/>
      <c r="ED353" s="13"/>
      <c r="EE353" s="13"/>
      <c r="EF353" s="13"/>
      <c r="EG353" s="13">
        <v>365</v>
      </c>
      <c r="EH353" s="13"/>
      <c r="EI353" s="13"/>
      <c r="EJ353" s="13"/>
      <c r="EK353" s="13"/>
      <c r="EL353" s="13"/>
      <c r="EM353" s="13"/>
      <c r="EN353" s="13"/>
      <c r="EO353" s="13"/>
      <c r="EP353" s="13"/>
      <c r="EQ353" s="13"/>
      <c r="ER353" s="13"/>
      <c r="ES353" s="13"/>
      <c r="ET353" s="13"/>
      <c r="EU353" s="13"/>
      <c r="EV353" s="13"/>
      <c r="EW353" s="13"/>
      <c r="EX353" s="13"/>
      <c r="EY353" s="13"/>
      <c r="EZ353" s="13"/>
      <c r="FA353" s="13"/>
      <c r="FB353" s="13"/>
      <c r="FC353" s="13"/>
      <c r="FD353" s="13"/>
      <c r="FE353" s="13"/>
      <c r="FF353" s="13"/>
      <c r="FG353" s="13"/>
      <c r="FH353" s="13"/>
      <c r="FI353" s="13"/>
      <c r="FJ353" s="13"/>
      <c r="FK353" s="13"/>
      <c r="FL353" s="13"/>
      <c r="FM353" s="13"/>
      <c r="FN353" s="13"/>
      <c r="FO353" s="13"/>
      <c r="FP353" s="13"/>
      <c r="FQ353" s="13"/>
      <c r="FR353" s="13"/>
      <c r="FS353" s="13"/>
      <c r="FT353" s="13"/>
      <c r="FU353" s="25">
        <v>0</v>
      </c>
      <c r="FV353" s="25">
        <v>0</v>
      </c>
      <c r="FW353" s="25">
        <v>0</v>
      </c>
      <c r="FX353" s="25">
        <v>0</v>
      </c>
      <c r="FY353" s="25">
        <v>0</v>
      </c>
      <c r="FZ353" s="25">
        <v>0</v>
      </c>
      <c r="GA353" s="25">
        <v>0</v>
      </c>
      <c r="GB353" s="25">
        <v>0</v>
      </c>
      <c r="GC353" s="25">
        <v>0</v>
      </c>
      <c r="GD353" s="25">
        <v>0.9</v>
      </c>
      <c r="GE353" s="25">
        <v>0.9</v>
      </c>
      <c r="GF353" s="25">
        <v>0.9</v>
      </c>
      <c r="GG353" s="25">
        <v>0.9</v>
      </c>
      <c r="GH353" s="25">
        <v>0.9</v>
      </c>
      <c r="GI353" s="25">
        <v>1</v>
      </c>
      <c r="GJ353" s="25">
        <v>1</v>
      </c>
      <c r="GK353" s="25">
        <v>1</v>
      </c>
      <c r="GL353" s="25">
        <v>1</v>
      </c>
      <c r="GM353" s="25">
        <v>1</v>
      </c>
      <c r="GN353" s="25">
        <v>1</v>
      </c>
      <c r="GO353" s="25">
        <v>1</v>
      </c>
      <c r="GP353" s="25">
        <v>1</v>
      </c>
      <c r="GQ353" s="25">
        <v>1</v>
      </c>
      <c r="GR353" s="25">
        <v>1</v>
      </c>
      <c r="GS353" s="25">
        <v>1</v>
      </c>
      <c r="GT353" s="25">
        <v>1</v>
      </c>
      <c r="GU353" s="25">
        <v>1</v>
      </c>
      <c r="GV353" s="25" t="s">
        <v>1588</v>
      </c>
      <c r="GW353" s="25" t="s">
        <v>1588</v>
      </c>
      <c r="GX353" s="25" t="s">
        <v>1588</v>
      </c>
      <c r="GY353" s="25" t="s">
        <v>1588</v>
      </c>
      <c r="GZ353" s="25" t="s">
        <v>1588</v>
      </c>
      <c r="HA353" s="25" t="s">
        <v>1588</v>
      </c>
      <c r="HB353" s="25" t="s">
        <v>1588</v>
      </c>
      <c r="HC353" s="25" t="s">
        <v>1588</v>
      </c>
      <c r="HD353" s="25" t="s">
        <v>1588</v>
      </c>
      <c r="HE353" s="25" t="s">
        <v>1588</v>
      </c>
      <c r="HF353" s="25" t="s">
        <v>1588</v>
      </c>
      <c r="HG353" s="25" t="s">
        <v>1588</v>
      </c>
      <c r="HH353" s="25" t="s">
        <v>1588</v>
      </c>
      <c r="HI353" s="25" t="s">
        <v>1649</v>
      </c>
      <c r="HJ353" s="25"/>
      <c r="HK353" s="25"/>
      <c r="HL353" s="25"/>
      <c r="HM353" s="84" t="s">
        <v>1744</v>
      </c>
      <c r="HN353" s="84" t="s">
        <v>1778</v>
      </c>
      <c r="HO353" s="84" t="s">
        <v>1893</v>
      </c>
      <c r="HP353" s="84"/>
      <c r="HQ353" s="84"/>
      <c r="HR353" s="84"/>
      <c r="HS353" s="84"/>
      <c r="HT353" s="84"/>
      <c r="HU353" s="13"/>
      <c r="HV353" s="13"/>
      <c r="HW353" s="32"/>
      <c r="HX353" s="248">
        <v>42797</v>
      </c>
      <c r="HY353" s="55"/>
      <c r="HZ353" s="55"/>
      <c r="IA353" s="55"/>
      <c r="IB353" s="55"/>
      <c r="IC353" s="55"/>
      <c r="ID353" s="55"/>
      <c r="IE353" s="55"/>
      <c r="IF353" s="107">
        <v>109866.2</v>
      </c>
      <c r="IG353" s="107"/>
      <c r="IH353" s="250">
        <f t="shared" si="156"/>
        <v>0</v>
      </c>
      <c r="II353" s="55"/>
      <c r="IJ353" s="55"/>
      <c r="IK353" s="55"/>
      <c r="IL353" s="55"/>
      <c r="IM353" s="55"/>
      <c r="IN353" s="55"/>
      <c r="IO353" s="55"/>
      <c r="IP353" s="55"/>
      <c r="IQ353" s="55"/>
      <c r="IR353" s="55"/>
      <c r="IS353" s="55"/>
      <c r="IT353" s="55"/>
      <c r="IU353" s="55"/>
      <c r="IV353" s="55"/>
      <c r="IW353" s="55"/>
      <c r="IX353" s="55"/>
      <c r="IY353" s="55"/>
      <c r="IZ353" s="55"/>
      <c r="JA353" s="55"/>
      <c r="JB353" s="55"/>
      <c r="JC353" s="55"/>
      <c r="JD353" s="55">
        <v>2018</v>
      </c>
    </row>
    <row r="354" spans="1:264" s="10" customFormat="1" ht="24.95" hidden="1" customHeight="1">
      <c r="A354" s="26" t="s">
        <v>23</v>
      </c>
      <c r="B354" s="26" t="s">
        <v>313</v>
      </c>
      <c r="C354" s="13" t="s">
        <v>352</v>
      </c>
      <c r="D354" s="13" t="s">
        <v>377</v>
      </c>
      <c r="E354" s="16" t="s">
        <v>353</v>
      </c>
      <c r="F354" s="13" t="s">
        <v>353</v>
      </c>
      <c r="G354" s="39" t="s">
        <v>354</v>
      </c>
      <c r="H354" s="28" t="s">
        <v>1550</v>
      </c>
      <c r="I354" s="384"/>
      <c r="J354" s="48">
        <v>5</v>
      </c>
      <c r="K354" s="13" t="s">
        <v>375</v>
      </c>
      <c r="L354" s="314" t="s">
        <v>1117</v>
      </c>
      <c r="M354" s="20" t="s">
        <v>1116</v>
      </c>
      <c r="N354" s="20" t="s">
        <v>1914</v>
      </c>
      <c r="O354" s="13" t="s">
        <v>3</v>
      </c>
      <c r="P354" s="13" t="s">
        <v>4</v>
      </c>
      <c r="Q354" s="22" t="s">
        <v>364</v>
      </c>
      <c r="R354" s="22" t="s">
        <v>1594</v>
      </c>
      <c r="S354" s="22" t="s">
        <v>1595</v>
      </c>
      <c r="T354" s="22" t="s">
        <v>1387</v>
      </c>
      <c r="U354" s="22" t="s">
        <v>477</v>
      </c>
      <c r="V354" s="24">
        <v>1104622731001</v>
      </c>
      <c r="W354" s="13" t="s">
        <v>570</v>
      </c>
      <c r="X354" s="13" t="s">
        <v>570</v>
      </c>
      <c r="Y354" s="13"/>
      <c r="Z354" s="13"/>
      <c r="AA354" s="29">
        <v>41800</v>
      </c>
      <c r="AB354" s="41">
        <v>41800</v>
      </c>
      <c r="AC354" s="29">
        <v>41800</v>
      </c>
      <c r="AD354" s="41"/>
      <c r="AE354" s="29">
        <v>0</v>
      </c>
      <c r="AF354" s="29">
        <f t="shared" si="138"/>
        <v>0</v>
      </c>
      <c r="AG354" s="25">
        <v>0.12</v>
      </c>
      <c r="AH354" s="29">
        <f t="shared" si="153"/>
        <v>0</v>
      </c>
      <c r="AI354" s="29">
        <f t="shared" si="154"/>
        <v>0</v>
      </c>
      <c r="AJ354" s="29">
        <f t="shared" si="155"/>
        <v>0</v>
      </c>
      <c r="AK354" s="29"/>
      <c r="AL354" s="29"/>
      <c r="AM354" s="126">
        <f>AB354-AQ354</f>
        <v>11779.599999999999</v>
      </c>
      <c r="AN354" s="29">
        <v>41800</v>
      </c>
      <c r="AO354" s="29"/>
      <c r="AP354" s="29"/>
      <c r="AQ354" s="29">
        <v>30020.400000000001</v>
      </c>
      <c r="AR354" s="25">
        <v>0.12</v>
      </c>
      <c r="AS354" s="29">
        <f>AQ354*0.12</f>
        <v>3602.4479999999999</v>
      </c>
      <c r="AT354" s="29">
        <f>AQ354*1.12</f>
        <v>33622.848000000005</v>
      </c>
      <c r="AU354" s="29"/>
      <c r="AV354" s="29"/>
      <c r="AW354" s="29"/>
      <c r="AX354" s="29"/>
      <c r="AY354" s="29"/>
      <c r="AZ354" s="29"/>
      <c r="BA354" s="29"/>
      <c r="BB354" s="29"/>
      <c r="BC354" s="29"/>
      <c r="BD354" s="29"/>
      <c r="BE354" s="29"/>
      <c r="BF354" s="29"/>
      <c r="BG354" s="29"/>
      <c r="BH354" s="29" t="s">
        <v>1524</v>
      </c>
      <c r="BI354" s="29" t="s">
        <v>570</v>
      </c>
      <c r="BJ354" s="23" t="s">
        <v>570</v>
      </c>
      <c r="BK354" s="29" t="s">
        <v>570</v>
      </c>
      <c r="BL354" s="29" t="s">
        <v>570</v>
      </c>
      <c r="BM354" s="29" t="s">
        <v>570</v>
      </c>
      <c r="BN354" s="23">
        <v>42961</v>
      </c>
      <c r="BO354" s="23">
        <v>42965</v>
      </c>
      <c r="BP354" s="23">
        <v>42970</v>
      </c>
      <c r="BQ354" s="23">
        <v>42982</v>
      </c>
      <c r="BR354" s="13" t="s">
        <v>570</v>
      </c>
      <c r="BS354" s="23">
        <v>42989</v>
      </c>
      <c r="BT354" s="23">
        <v>43000</v>
      </c>
      <c r="BU354" s="13" t="s">
        <v>570</v>
      </c>
      <c r="BV354" s="13" t="s">
        <v>570</v>
      </c>
      <c r="BW354" s="224" t="s">
        <v>570</v>
      </c>
      <c r="BX354" s="23">
        <v>43010</v>
      </c>
      <c r="BY354" s="13" t="s">
        <v>570</v>
      </c>
      <c r="BZ354" s="23">
        <v>43013</v>
      </c>
      <c r="CA354" s="23">
        <v>43039</v>
      </c>
      <c r="CB354" s="224" t="s">
        <v>570</v>
      </c>
      <c r="CC354" s="224" t="s">
        <v>570</v>
      </c>
      <c r="CD354" s="224" t="s">
        <v>570</v>
      </c>
      <c r="CE354" s="13"/>
      <c r="CF354" s="13"/>
      <c r="CG354" s="13"/>
      <c r="CH354" s="13"/>
      <c r="CI354" s="13"/>
      <c r="CJ354" s="13"/>
      <c r="CK354" s="13"/>
      <c r="CL354" s="13"/>
      <c r="CM354" s="13"/>
      <c r="CN354" s="13"/>
      <c r="CO354" s="13"/>
      <c r="CP354" s="13"/>
      <c r="CQ354" s="13"/>
      <c r="CR354" s="13"/>
      <c r="CS354" s="29" t="s">
        <v>570</v>
      </c>
      <c r="CT354" s="29" t="s">
        <v>570</v>
      </c>
      <c r="CU354" s="29" t="s">
        <v>570</v>
      </c>
      <c r="CV354" s="23"/>
      <c r="CW354" s="13"/>
      <c r="CX354" s="13"/>
      <c r="CY354" s="13"/>
      <c r="CZ354" s="13"/>
      <c r="DA354" s="13"/>
      <c r="DB354" s="2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92"/>
      <c r="DZ354" s="13"/>
      <c r="EA354" s="13"/>
      <c r="EB354" s="13"/>
      <c r="EC354" s="13"/>
      <c r="ED354" s="13"/>
      <c r="EE354" s="13"/>
      <c r="EF354" s="13"/>
      <c r="EG354" s="13">
        <v>365</v>
      </c>
      <c r="EH354" s="13"/>
      <c r="EI354" s="13"/>
      <c r="EJ354" s="13"/>
      <c r="EK354" s="13"/>
      <c r="EL354" s="13"/>
      <c r="EM354" s="13"/>
      <c r="EN354" s="13"/>
      <c r="EO354" s="13"/>
      <c r="EP354" s="13"/>
      <c r="EQ354" s="13"/>
      <c r="ER354" s="13"/>
      <c r="ES354" s="13"/>
      <c r="ET354" s="13"/>
      <c r="EU354" s="13"/>
      <c r="EV354" s="13"/>
      <c r="EW354" s="13"/>
      <c r="EX354" s="13"/>
      <c r="EY354" s="13"/>
      <c r="EZ354" s="13"/>
      <c r="FA354" s="13"/>
      <c r="FB354" s="13"/>
      <c r="FC354" s="13"/>
      <c r="FD354" s="13"/>
      <c r="FE354" s="13"/>
      <c r="FF354" s="13"/>
      <c r="FG354" s="13"/>
      <c r="FH354" s="13"/>
      <c r="FI354" s="13"/>
      <c r="FJ354" s="13"/>
      <c r="FK354" s="13"/>
      <c r="FL354" s="13"/>
      <c r="FM354" s="13"/>
      <c r="FN354" s="13"/>
      <c r="FO354" s="13"/>
      <c r="FP354" s="13"/>
      <c r="FQ354" s="13"/>
      <c r="FR354" s="13"/>
      <c r="FS354" s="13"/>
      <c r="FT354" s="13"/>
      <c r="FU354" s="25"/>
      <c r="FV354" s="25"/>
      <c r="FW354" s="25"/>
      <c r="FX354" s="25"/>
      <c r="FY354" s="25"/>
      <c r="FZ354" s="25"/>
      <c r="GA354" s="25">
        <v>0</v>
      </c>
      <c r="GB354" s="25">
        <v>0</v>
      </c>
      <c r="GC354" s="25">
        <v>0</v>
      </c>
      <c r="GD354" s="25">
        <v>0</v>
      </c>
      <c r="GE354" s="25">
        <v>0</v>
      </c>
      <c r="GF354" s="25">
        <v>0</v>
      </c>
      <c r="GG354" s="25">
        <v>0</v>
      </c>
      <c r="GH354" s="25">
        <v>0.9</v>
      </c>
      <c r="GI354" s="25">
        <v>1</v>
      </c>
      <c r="GJ354" s="25">
        <v>1</v>
      </c>
      <c r="GK354" s="25">
        <v>1</v>
      </c>
      <c r="GL354" s="25">
        <v>1</v>
      </c>
      <c r="GM354" s="25">
        <v>1</v>
      </c>
      <c r="GN354" s="25">
        <v>1</v>
      </c>
      <c r="GO354" s="25">
        <v>1</v>
      </c>
      <c r="GP354" s="25">
        <v>1</v>
      </c>
      <c r="GQ354" s="25">
        <v>1</v>
      </c>
      <c r="GR354" s="25">
        <v>1</v>
      </c>
      <c r="GS354" s="25">
        <v>1</v>
      </c>
      <c r="GT354" s="25">
        <v>1</v>
      </c>
      <c r="GU354" s="25">
        <v>1</v>
      </c>
      <c r="GV354" s="25" t="s">
        <v>1588</v>
      </c>
      <c r="GW354" s="25" t="s">
        <v>1588</v>
      </c>
      <c r="GX354" s="25" t="s">
        <v>1588</v>
      </c>
      <c r="GY354" s="25" t="s">
        <v>1588</v>
      </c>
      <c r="GZ354" s="25" t="s">
        <v>1588</v>
      </c>
      <c r="HA354" s="25" t="s">
        <v>1588</v>
      </c>
      <c r="HB354" s="25" t="s">
        <v>1588</v>
      </c>
      <c r="HC354" s="25" t="s">
        <v>1588</v>
      </c>
      <c r="HD354" s="25" t="s">
        <v>1588</v>
      </c>
      <c r="HE354" s="25" t="s">
        <v>1588</v>
      </c>
      <c r="HF354" s="25" t="s">
        <v>1588</v>
      </c>
      <c r="HG354" s="25" t="s">
        <v>1588</v>
      </c>
      <c r="HH354" s="25" t="s">
        <v>1588</v>
      </c>
      <c r="HI354" s="25"/>
      <c r="HJ354" s="25"/>
      <c r="HK354" s="25"/>
      <c r="HL354" s="25"/>
      <c r="HM354" s="84" t="s">
        <v>1744</v>
      </c>
      <c r="HN354" s="84"/>
      <c r="HO354" s="84" t="s">
        <v>1862</v>
      </c>
      <c r="HP354" s="84"/>
      <c r="HQ354" s="84"/>
      <c r="HR354" s="84"/>
      <c r="HS354" s="84"/>
      <c r="HT354" s="84"/>
      <c r="HU354" s="13"/>
      <c r="HV354" s="13"/>
      <c r="HW354" s="32"/>
      <c r="HX354" s="248"/>
      <c r="HY354" s="55"/>
      <c r="HZ354" s="55"/>
      <c r="IA354" s="251"/>
      <c r="IB354" s="251"/>
      <c r="IC354" s="251"/>
      <c r="ID354" s="251"/>
      <c r="IE354" s="251"/>
      <c r="IF354" s="107">
        <v>0</v>
      </c>
      <c r="IG354" s="107"/>
      <c r="IH354" s="250">
        <f t="shared" si="156"/>
        <v>0</v>
      </c>
      <c r="II354" s="251"/>
      <c r="IJ354" s="251"/>
      <c r="IK354" s="251"/>
      <c r="IL354" s="251"/>
      <c r="IM354" s="251"/>
      <c r="IN354" s="251"/>
      <c r="IO354" s="251"/>
      <c r="IP354" s="251"/>
      <c r="IQ354" s="251"/>
      <c r="IR354" s="251"/>
      <c r="IS354" s="251"/>
      <c r="IT354" s="251"/>
      <c r="IU354" s="251"/>
      <c r="IV354" s="251"/>
      <c r="IW354" s="251"/>
      <c r="IX354" s="251"/>
      <c r="IY354" s="251"/>
      <c r="IZ354" s="251"/>
      <c r="JA354" s="251"/>
      <c r="JB354" s="251"/>
      <c r="JC354" s="251"/>
      <c r="JD354" s="251">
        <v>2018</v>
      </c>
    </row>
    <row r="355" spans="1:264" s="10" customFormat="1" ht="24.95" hidden="1" customHeight="1">
      <c r="A355" s="26" t="s">
        <v>23</v>
      </c>
      <c r="B355" s="26" t="s">
        <v>313</v>
      </c>
      <c r="C355" s="13" t="s">
        <v>352</v>
      </c>
      <c r="D355" s="13" t="s">
        <v>377</v>
      </c>
      <c r="E355" s="16" t="s">
        <v>353</v>
      </c>
      <c r="F355" s="13" t="s">
        <v>353</v>
      </c>
      <c r="G355" s="39" t="s">
        <v>354</v>
      </c>
      <c r="H355" s="28" t="s">
        <v>1550</v>
      </c>
      <c r="I355" s="384"/>
      <c r="J355" s="48">
        <v>5</v>
      </c>
      <c r="K355" s="13" t="s">
        <v>375</v>
      </c>
      <c r="L355" s="314" t="s">
        <v>1117</v>
      </c>
      <c r="M355" s="20" t="s">
        <v>1116</v>
      </c>
      <c r="N355" s="20" t="s">
        <v>1915</v>
      </c>
      <c r="O355" s="13" t="s">
        <v>3</v>
      </c>
      <c r="P355" s="13" t="s">
        <v>4</v>
      </c>
      <c r="Q355" s="22" t="s">
        <v>1118</v>
      </c>
      <c r="R355" s="22" t="s">
        <v>1596</v>
      </c>
      <c r="S355" s="22" t="s">
        <v>1597</v>
      </c>
      <c r="T355" s="22" t="s">
        <v>1387</v>
      </c>
      <c r="U355" s="22" t="s">
        <v>477</v>
      </c>
      <c r="V355" s="24" t="s">
        <v>1598</v>
      </c>
      <c r="W355" s="13" t="s">
        <v>570</v>
      </c>
      <c r="X355" s="13" t="s">
        <v>570</v>
      </c>
      <c r="Y355" s="13"/>
      <c r="Z355" s="13"/>
      <c r="AA355" s="29">
        <v>26266.2</v>
      </c>
      <c r="AB355" s="41">
        <v>26266.2</v>
      </c>
      <c r="AC355" s="29">
        <v>26266.2</v>
      </c>
      <c r="AD355" s="41"/>
      <c r="AE355" s="29">
        <v>0</v>
      </c>
      <c r="AF355" s="29">
        <f t="shared" si="138"/>
        <v>0</v>
      </c>
      <c r="AG355" s="25">
        <v>0.12</v>
      </c>
      <c r="AH355" s="29">
        <f t="shared" si="153"/>
        <v>0</v>
      </c>
      <c r="AI355" s="29">
        <f t="shared" si="154"/>
        <v>0</v>
      </c>
      <c r="AJ355" s="29">
        <f t="shared" si="155"/>
        <v>0</v>
      </c>
      <c r="AK355" s="29">
        <v>25882.5</v>
      </c>
      <c r="AL355" s="29">
        <f>AB355-AK355</f>
        <v>383.70000000000073</v>
      </c>
      <c r="AM355" s="126"/>
      <c r="AN355" s="29">
        <v>26266.2</v>
      </c>
      <c r="AO355" s="29"/>
      <c r="AP355" s="29"/>
      <c r="AQ355" s="29">
        <v>25882.5</v>
      </c>
      <c r="AR355" s="25">
        <v>0.12</v>
      </c>
      <c r="AS355" s="29">
        <f>AQ355*0.12</f>
        <v>3105.9</v>
      </c>
      <c r="AT355" s="29">
        <f>AQ355*1.12</f>
        <v>28988.400000000001</v>
      </c>
      <c r="AU355" s="29"/>
      <c r="AV355" s="29"/>
      <c r="AW355" s="29"/>
      <c r="AX355" s="29"/>
      <c r="AY355" s="29"/>
      <c r="AZ355" s="29"/>
      <c r="BA355" s="29"/>
      <c r="BB355" s="29"/>
      <c r="BC355" s="29"/>
      <c r="BD355" s="29"/>
      <c r="BE355" s="29"/>
      <c r="BF355" s="29"/>
      <c r="BG355" s="29"/>
      <c r="BH355" s="29" t="s">
        <v>1524</v>
      </c>
      <c r="BI355" s="29" t="s">
        <v>570</v>
      </c>
      <c r="BJ355" s="23" t="s">
        <v>570</v>
      </c>
      <c r="BK355" s="29" t="s">
        <v>570</v>
      </c>
      <c r="BL355" s="29" t="s">
        <v>570</v>
      </c>
      <c r="BM355" s="29" t="s">
        <v>570</v>
      </c>
      <c r="BN355" s="23">
        <v>42961</v>
      </c>
      <c r="BO355" s="23">
        <v>42965</v>
      </c>
      <c r="BP355" s="23">
        <v>42970</v>
      </c>
      <c r="BQ355" s="23">
        <v>42982</v>
      </c>
      <c r="BR355" s="13" t="s">
        <v>570</v>
      </c>
      <c r="BS355" s="23">
        <v>42989</v>
      </c>
      <c r="BT355" s="23">
        <v>43000</v>
      </c>
      <c r="BU355" s="13" t="s">
        <v>570</v>
      </c>
      <c r="BV355" s="13" t="s">
        <v>570</v>
      </c>
      <c r="BW355" s="224" t="s">
        <v>570</v>
      </c>
      <c r="BX355" s="23">
        <v>43010</v>
      </c>
      <c r="BY355" s="13" t="s">
        <v>570</v>
      </c>
      <c r="BZ355" s="23">
        <v>43013</v>
      </c>
      <c r="CA355" s="23">
        <v>43039</v>
      </c>
      <c r="CB355" s="224" t="s">
        <v>570</v>
      </c>
      <c r="CC355" s="224" t="s">
        <v>570</v>
      </c>
      <c r="CD355" s="224" t="s">
        <v>570</v>
      </c>
      <c r="CE355" s="13"/>
      <c r="CF355" s="13"/>
      <c r="CG355" s="13"/>
      <c r="CH355" s="13"/>
      <c r="CI355" s="13"/>
      <c r="CJ355" s="13"/>
      <c r="CK355" s="13"/>
      <c r="CL355" s="13"/>
      <c r="CM355" s="13"/>
      <c r="CN355" s="13"/>
      <c r="CO355" s="13"/>
      <c r="CP355" s="13"/>
      <c r="CQ355" s="13"/>
      <c r="CR355" s="13"/>
      <c r="CS355" s="29" t="s">
        <v>570</v>
      </c>
      <c r="CT355" s="29" t="s">
        <v>570</v>
      </c>
      <c r="CU355" s="29" t="s">
        <v>570</v>
      </c>
      <c r="CV355" s="23"/>
      <c r="CW355" s="13"/>
      <c r="CX355" s="13"/>
      <c r="CY355" s="13"/>
      <c r="CZ355" s="13"/>
      <c r="DA355" s="13"/>
      <c r="DB355" s="2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92"/>
      <c r="DZ355" s="13"/>
      <c r="EA355" s="13"/>
      <c r="EB355" s="13"/>
      <c r="EC355" s="13"/>
      <c r="ED355" s="13"/>
      <c r="EE355" s="13"/>
      <c r="EF355" s="13"/>
      <c r="EG355" s="13">
        <v>365</v>
      </c>
      <c r="EH355" s="13"/>
      <c r="EI355" s="13"/>
      <c r="EJ355" s="13"/>
      <c r="EK355" s="13"/>
      <c r="EL355" s="13"/>
      <c r="EM355" s="13"/>
      <c r="EN355" s="13"/>
      <c r="EO355" s="13"/>
      <c r="EP355" s="13"/>
      <c r="EQ355" s="13"/>
      <c r="ER355" s="13"/>
      <c r="ES355" s="13"/>
      <c r="ET355" s="13"/>
      <c r="EU355" s="13"/>
      <c r="EV355" s="13"/>
      <c r="EW355" s="13"/>
      <c r="EX355" s="13"/>
      <c r="EY355" s="13"/>
      <c r="EZ355" s="13"/>
      <c r="FA355" s="13"/>
      <c r="FB355" s="13"/>
      <c r="FC355" s="13"/>
      <c r="FD355" s="13"/>
      <c r="FE355" s="13"/>
      <c r="FF355" s="13"/>
      <c r="FG355" s="13"/>
      <c r="FH355" s="13"/>
      <c r="FI355" s="13"/>
      <c r="FJ355" s="13"/>
      <c r="FK355" s="13"/>
      <c r="FL355" s="13"/>
      <c r="FM355" s="13"/>
      <c r="FN355" s="13"/>
      <c r="FO355" s="13"/>
      <c r="FP355" s="13"/>
      <c r="FQ355" s="13"/>
      <c r="FR355" s="13"/>
      <c r="FS355" s="13"/>
      <c r="FT355" s="13"/>
      <c r="FU355" s="25"/>
      <c r="FV355" s="25"/>
      <c r="FW355" s="25"/>
      <c r="FX355" s="25"/>
      <c r="FY355" s="25"/>
      <c r="FZ355" s="25"/>
      <c r="GA355" s="25">
        <v>0</v>
      </c>
      <c r="GB355" s="25">
        <v>0</v>
      </c>
      <c r="GC355" s="25">
        <v>0</v>
      </c>
      <c r="GD355" s="25">
        <v>0</v>
      </c>
      <c r="GE355" s="25">
        <v>0</v>
      </c>
      <c r="GF355" s="25">
        <v>0</v>
      </c>
      <c r="GG355" s="25">
        <v>1</v>
      </c>
      <c r="GH355" s="25">
        <v>1</v>
      </c>
      <c r="GI355" s="25">
        <v>1</v>
      </c>
      <c r="GJ355" s="25">
        <v>1</v>
      </c>
      <c r="GK355" s="25">
        <v>1</v>
      </c>
      <c r="GL355" s="25">
        <v>1</v>
      </c>
      <c r="GM355" s="25">
        <v>1</v>
      </c>
      <c r="GN355" s="25">
        <v>1</v>
      </c>
      <c r="GO355" s="25">
        <v>1</v>
      </c>
      <c r="GP355" s="25">
        <v>1</v>
      </c>
      <c r="GQ355" s="25">
        <v>1</v>
      </c>
      <c r="GR355" s="25">
        <v>1</v>
      </c>
      <c r="GS355" s="25">
        <v>1</v>
      </c>
      <c r="GT355" s="25">
        <v>1</v>
      </c>
      <c r="GU355" s="25">
        <v>1</v>
      </c>
      <c r="GV355" s="25" t="s">
        <v>1588</v>
      </c>
      <c r="GW355" s="25" t="s">
        <v>1588</v>
      </c>
      <c r="GX355" s="25" t="s">
        <v>1588</v>
      </c>
      <c r="GY355" s="25" t="s">
        <v>1588</v>
      </c>
      <c r="GZ355" s="25" t="s">
        <v>1588</v>
      </c>
      <c r="HA355" s="25" t="s">
        <v>1588</v>
      </c>
      <c r="HB355" s="25" t="s">
        <v>455</v>
      </c>
      <c r="HC355" s="25" t="s">
        <v>455</v>
      </c>
      <c r="HD355" s="25" t="s">
        <v>455</v>
      </c>
      <c r="HE355" s="25" t="s">
        <v>455</v>
      </c>
      <c r="HF355" s="25" t="s">
        <v>455</v>
      </c>
      <c r="HG355" s="25" t="s">
        <v>455</v>
      </c>
      <c r="HH355" s="25" t="s">
        <v>455</v>
      </c>
      <c r="HI355" s="25"/>
      <c r="HJ355" s="25"/>
      <c r="HK355" s="25"/>
      <c r="HL355" s="25" t="s">
        <v>1721</v>
      </c>
      <c r="HM355" s="25" t="s">
        <v>1721</v>
      </c>
      <c r="HN355" s="25"/>
      <c r="HO355" s="25" t="s">
        <v>1863</v>
      </c>
      <c r="HP355" s="25"/>
      <c r="HQ355" s="25"/>
      <c r="HR355" s="25"/>
      <c r="HS355" s="25"/>
      <c r="HT355" s="25"/>
      <c r="HU355" s="13"/>
      <c r="HV355" s="13"/>
      <c r="HW355" s="32"/>
      <c r="HX355" s="248"/>
      <c r="HY355" s="55"/>
      <c r="HZ355" s="55"/>
      <c r="IA355" s="251"/>
      <c r="IB355" s="251"/>
      <c r="IC355" s="251"/>
      <c r="ID355" s="251"/>
      <c r="IE355" s="251"/>
      <c r="IF355" s="107">
        <v>0</v>
      </c>
      <c r="IG355" s="107"/>
      <c r="IH355" s="250">
        <f t="shared" si="156"/>
        <v>25882.5</v>
      </c>
      <c r="II355" s="251"/>
      <c r="IJ355" s="251"/>
      <c r="IK355" s="251"/>
      <c r="IL355" s="251"/>
      <c r="IM355" s="251"/>
      <c r="IN355" s="251"/>
      <c r="IO355" s="251"/>
      <c r="IP355" s="251"/>
      <c r="IQ355" s="251"/>
      <c r="IR355" s="251"/>
      <c r="IS355" s="251"/>
      <c r="IT355" s="251"/>
      <c r="IU355" s="251"/>
      <c r="IV355" s="251"/>
      <c r="IW355" s="251"/>
      <c r="IX355" s="251"/>
      <c r="IY355" s="251"/>
      <c r="IZ355" s="251"/>
      <c r="JA355" s="251"/>
      <c r="JB355" s="251"/>
      <c r="JC355" s="251"/>
      <c r="JD355" s="251">
        <v>2018</v>
      </c>
    </row>
    <row r="356" spans="1:264" s="5" customFormat="1" ht="42.75" hidden="1" customHeight="1">
      <c r="A356" s="26" t="s">
        <v>175</v>
      </c>
      <c r="B356" s="26" t="s">
        <v>313</v>
      </c>
      <c r="C356" s="13" t="s">
        <v>358</v>
      </c>
      <c r="D356" s="13" t="s">
        <v>379</v>
      </c>
      <c r="E356" s="16" t="s">
        <v>359</v>
      </c>
      <c r="F356" s="13" t="s">
        <v>359</v>
      </c>
      <c r="G356" s="39" t="s">
        <v>354</v>
      </c>
      <c r="H356" s="13" t="s">
        <v>1552</v>
      </c>
      <c r="I356" s="313" t="s">
        <v>329</v>
      </c>
      <c r="J356" s="40">
        <v>11</v>
      </c>
      <c r="K356" s="49" t="s">
        <v>375</v>
      </c>
      <c r="L356" s="314" t="s">
        <v>323</v>
      </c>
      <c r="M356" s="20" t="s">
        <v>329</v>
      </c>
      <c r="N356" s="20"/>
      <c r="O356" s="13" t="s">
        <v>3</v>
      </c>
      <c r="P356" s="13" t="s">
        <v>4</v>
      </c>
      <c r="Q356" s="22" t="s">
        <v>1118</v>
      </c>
      <c r="R356" s="22" t="s">
        <v>1187</v>
      </c>
      <c r="S356" s="13" t="s">
        <v>1119</v>
      </c>
      <c r="T356" s="13" t="s">
        <v>1387</v>
      </c>
      <c r="U356" s="13" t="s">
        <v>479</v>
      </c>
      <c r="V356" s="24" t="s">
        <v>1188</v>
      </c>
      <c r="W356" s="13" t="s">
        <v>570</v>
      </c>
      <c r="X356" s="13" t="s">
        <v>570</v>
      </c>
      <c r="Y356" s="13" t="s">
        <v>1189</v>
      </c>
      <c r="Z356" s="13"/>
      <c r="AA356" s="29"/>
      <c r="AB356" s="29">
        <v>29480</v>
      </c>
      <c r="AC356" s="29">
        <v>0</v>
      </c>
      <c r="AD356" s="29">
        <v>36000</v>
      </c>
      <c r="AE356" s="29">
        <v>0</v>
      </c>
      <c r="AF356" s="29">
        <f t="shared" ref="AF356:AF370" si="158">AD356+AE356</f>
        <v>36000</v>
      </c>
      <c r="AG356" s="25">
        <v>0.12</v>
      </c>
      <c r="AH356" s="29">
        <f t="shared" si="153"/>
        <v>4320</v>
      </c>
      <c r="AI356" s="29">
        <f t="shared" si="154"/>
        <v>0</v>
      </c>
      <c r="AJ356" s="29">
        <f t="shared" si="155"/>
        <v>40320.000000000007</v>
      </c>
      <c r="AK356" s="126">
        <v>29480</v>
      </c>
      <c r="AL356" s="126">
        <f>AB356-AK356</f>
        <v>0</v>
      </c>
      <c r="AM356" s="126"/>
      <c r="AN356" s="29"/>
      <c r="AO356" s="29">
        <v>36000</v>
      </c>
      <c r="AP356" s="29"/>
      <c r="AQ356" s="29">
        <v>29480</v>
      </c>
      <c r="AR356" s="25">
        <v>0.14000000000000001</v>
      </c>
      <c r="AS356" s="29">
        <f>AQ356*0.14</f>
        <v>4127.2000000000007</v>
      </c>
      <c r="AT356" s="29">
        <f>AQ356*1.14</f>
        <v>33607.199999999997</v>
      </c>
      <c r="AU356" s="29"/>
      <c r="AV356" s="29"/>
      <c r="AW356" s="29"/>
      <c r="AX356" s="29"/>
      <c r="AY356" s="29"/>
      <c r="AZ356" s="29"/>
      <c r="BA356" s="29"/>
      <c r="BB356" s="29"/>
      <c r="BC356" s="29"/>
      <c r="BD356" s="29"/>
      <c r="BE356" s="29"/>
      <c r="BF356" s="29"/>
      <c r="BG356" s="29">
        <f t="shared" ref="BG356:BG367" si="159">BF356-AW356-AZ356-BC356-BE356</f>
        <v>0</v>
      </c>
      <c r="BH356" s="29" t="s">
        <v>585</v>
      </c>
      <c r="BI356" s="29" t="s">
        <v>570</v>
      </c>
      <c r="BJ356" s="23" t="s">
        <v>570</v>
      </c>
      <c r="BK356" s="29" t="s">
        <v>570</v>
      </c>
      <c r="BL356" s="29" t="s">
        <v>570</v>
      </c>
      <c r="BM356" s="29" t="s">
        <v>570</v>
      </c>
      <c r="BN356" s="23">
        <v>42723</v>
      </c>
      <c r="BO356" s="23">
        <v>42741</v>
      </c>
      <c r="BP356" s="23">
        <v>42746</v>
      </c>
      <c r="BQ356" s="23">
        <v>42385</v>
      </c>
      <c r="BR356" s="13" t="s">
        <v>570</v>
      </c>
      <c r="BS356" s="23">
        <v>42392</v>
      </c>
      <c r="BT356" s="23">
        <v>42765</v>
      </c>
      <c r="BU356" s="13" t="s">
        <v>570</v>
      </c>
      <c r="BV356" s="13" t="s">
        <v>570</v>
      </c>
      <c r="BW356" s="224" t="s">
        <v>570</v>
      </c>
      <c r="BX356" s="13" t="s">
        <v>503</v>
      </c>
      <c r="BY356" s="102" t="s">
        <v>570</v>
      </c>
      <c r="BZ356" s="13" t="s">
        <v>503</v>
      </c>
      <c r="CA356" s="23">
        <v>42795</v>
      </c>
      <c r="CB356" s="224" t="s">
        <v>570</v>
      </c>
      <c r="CC356" s="224" t="s">
        <v>570</v>
      </c>
      <c r="CD356" s="224" t="s">
        <v>570</v>
      </c>
      <c r="CE356" s="23"/>
      <c r="CF356" s="23"/>
      <c r="CG356" s="23"/>
      <c r="CH356" s="23"/>
      <c r="CI356" s="23"/>
      <c r="CJ356" s="23"/>
      <c r="CK356" s="23"/>
      <c r="CL356" s="23"/>
      <c r="CM356" s="23"/>
      <c r="CN356" s="23"/>
      <c r="CO356" s="23"/>
      <c r="CP356" s="23"/>
      <c r="CQ356" s="23"/>
      <c r="CR356" s="23"/>
      <c r="CS356" s="29" t="s">
        <v>570</v>
      </c>
      <c r="CT356" s="29" t="s">
        <v>570</v>
      </c>
      <c r="CU356" s="29" t="s">
        <v>570</v>
      </c>
      <c r="CV356" s="23"/>
      <c r="CW356" s="13"/>
      <c r="CX356" s="174" t="s">
        <v>1494</v>
      </c>
      <c r="CY356" s="88">
        <v>42846</v>
      </c>
      <c r="CZ356" s="249">
        <v>29480</v>
      </c>
      <c r="DA356" s="13"/>
      <c r="DB356" s="2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92">
        <f t="shared" si="152"/>
        <v>29480</v>
      </c>
      <c r="DZ356" s="13"/>
      <c r="EA356" s="13"/>
      <c r="EB356" s="13"/>
      <c r="EC356" s="13"/>
      <c r="ED356" s="13"/>
      <c r="EE356" s="13"/>
      <c r="EF356" s="13"/>
      <c r="EG356" s="13">
        <v>10</v>
      </c>
      <c r="EH356" s="13" t="s">
        <v>503</v>
      </c>
      <c r="EI356" s="13"/>
      <c r="EJ356" s="13"/>
      <c r="EK356" s="13"/>
      <c r="EL356" s="13"/>
      <c r="EM356" s="13"/>
      <c r="EN356" s="13"/>
      <c r="EO356" s="13"/>
      <c r="EP356" s="13"/>
      <c r="EQ356" s="13"/>
      <c r="ER356" s="13"/>
      <c r="ES356" s="13"/>
      <c r="ET356" s="13"/>
      <c r="EU356" s="13"/>
      <c r="EV356" s="13"/>
      <c r="EW356" s="13"/>
      <c r="EX356" s="13"/>
      <c r="EY356" s="13"/>
      <c r="EZ356" s="13"/>
      <c r="FA356" s="13"/>
      <c r="FB356" s="13"/>
      <c r="FC356" s="13"/>
      <c r="FD356" s="13"/>
      <c r="FE356" s="13"/>
      <c r="FF356" s="13"/>
      <c r="FG356" s="13"/>
      <c r="FH356" s="13"/>
      <c r="FI356" s="13"/>
      <c r="FJ356" s="13"/>
      <c r="FK356" s="13"/>
      <c r="FL356" s="13"/>
      <c r="FM356" s="13"/>
      <c r="FN356" s="13"/>
      <c r="FO356" s="13"/>
      <c r="FP356" s="13"/>
      <c r="FQ356" s="13"/>
      <c r="FR356" s="13"/>
      <c r="FS356" s="13"/>
      <c r="FT356" s="13"/>
      <c r="FU356" s="13"/>
      <c r="FV356" s="25">
        <v>1</v>
      </c>
      <c r="FW356" s="25">
        <v>1</v>
      </c>
      <c r="FX356" s="25">
        <v>1</v>
      </c>
      <c r="FY356" s="25">
        <v>1</v>
      </c>
      <c r="FZ356" s="25">
        <v>1</v>
      </c>
      <c r="GA356" s="25">
        <v>1</v>
      </c>
      <c r="GB356" s="25">
        <v>1</v>
      </c>
      <c r="GC356" s="25">
        <v>1</v>
      </c>
      <c r="GD356" s="25">
        <v>1</v>
      </c>
      <c r="GE356" s="25">
        <v>1</v>
      </c>
      <c r="GF356" s="25">
        <v>1</v>
      </c>
      <c r="GG356" s="25">
        <v>1</v>
      </c>
      <c r="GH356" s="25">
        <v>1</v>
      </c>
      <c r="GI356" s="25">
        <v>1</v>
      </c>
      <c r="GJ356" s="25">
        <v>1</v>
      </c>
      <c r="GK356" s="25">
        <v>1</v>
      </c>
      <c r="GL356" s="25">
        <v>1</v>
      </c>
      <c r="GM356" s="25">
        <v>1</v>
      </c>
      <c r="GN356" s="25">
        <v>1</v>
      </c>
      <c r="GO356" s="25">
        <v>1</v>
      </c>
      <c r="GP356" s="25">
        <v>1</v>
      </c>
      <c r="GQ356" s="25">
        <v>1</v>
      </c>
      <c r="GR356" s="25">
        <v>1</v>
      </c>
      <c r="GS356" s="25">
        <v>1</v>
      </c>
      <c r="GT356" s="25">
        <v>1</v>
      </c>
      <c r="GU356" s="25">
        <v>1</v>
      </c>
      <c r="GV356" s="25" t="s">
        <v>455</v>
      </c>
      <c r="GW356" s="25" t="s">
        <v>455</v>
      </c>
      <c r="GX356" s="25" t="s">
        <v>455</v>
      </c>
      <c r="GY356" s="25" t="s">
        <v>455</v>
      </c>
      <c r="GZ356" s="25" t="s">
        <v>455</v>
      </c>
      <c r="HA356" s="25" t="s">
        <v>455</v>
      </c>
      <c r="HB356" s="25" t="s">
        <v>455</v>
      </c>
      <c r="HC356" s="25" t="s">
        <v>455</v>
      </c>
      <c r="HD356" s="25" t="s">
        <v>455</v>
      </c>
      <c r="HE356" s="25" t="s">
        <v>455</v>
      </c>
      <c r="HF356" s="25" t="s">
        <v>455</v>
      </c>
      <c r="HG356" s="25" t="s">
        <v>455</v>
      </c>
      <c r="HH356" s="25" t="s">
        <v>455</v>
      </c>
      <c r="HI356" s="25"/>
      <c r="HJ356" s="25"/>
      <c r="HK356" s="25"/>
      <c r="HL356" s="25"/>
      <c r="HM356" s="25"/>
      <c r="HN356" s="25"/>
      <c r="HO356" s="25"/>
      <c r="HP356" s="25"/>
      <c r="HQ356" s="25"/>
      <c r="HR356" s="25"/>
      <c r="HS356" s="25"/>
      <c r="HT356" s="25"/>
      <c r="HU356" s="13" t="s">
        <v>768</v>
      </c>
      <c r="HV356" s="13"/>
      <c r="HW356" s="32"/>
      <c r="HX356" s="55"/>
      <c r="HY356" s="55"/>
      <c r="HZ356" s="55"/>
      <c r="IA356" s="55"/>
      <c r="IB356" s="55"/>
      <c r="IC356" s="55"/>
      <c r="ID356" s="55"/>
      <c r="IE356" s="55"/>
      <c r="IF356" s="107">
        <v>29480</v>
      </c>
      <c r="IG356" s="107">
        <v>29480</v>
      </c>
      <c r="IH356" s="250">
        <f t="shared" si="156"/>
        <v>0</v>
      </c>
      <c r="II356" s="55"/>
      <c r="IJ356" s="55"/>
      <c r="IK356" s="55"/>
      <c r="IL356" s="55"/>
      <c r="IM356" s="55"/>
      <c r="IN356" s="55"/>
      <c r="IO356" s="55"/>
      <c r="IP356" s="55"/>
      <c r="IQ356" s="55"/>
      <c r="IR356" s="55"/>
      <c r="IS356" s="55"/>
      <c r="IT356" s="55"/>
      <c r="IU356" s="55"/>
      <c r="IV356" s="55"/>
      <c r="IW356" s="55"/>
      <c r="IX356" s="55"/>
      <c r="IY356" s="55"/>
      <c r="IZ356" s="55"/>
      <c r="JA356" s="55"/>
      <c r="JB356" s="55"/>
      <c r="JC356" s="55"/>
      <c r="JD356" s="55"/>
    </row>
    <row r="357" spans="1:264" s="5" customFormat="1" ht="62.25" hidden="1" customHeight="1">
      <c r="A357" s="26" t="s">
        <v>175</v>
      </c>
      <c r="B357" s="26" t="s">
        <v>1</v>
      </c>
      <c r="C357" s="13" t="s">
        <v>358</v>
      </c>
      <c r="D357" s="13" t="s">
        <v>379</v>
      </c>
      <c r="E357" s="16" t="s">
        <v>359</v>
      </c>
      <c r="F357" s="13" t="s">
        <v>359</v>
      </c>
      <c r="G357" s="39" t="s">
        <v>354</v>
      </c>
      <c r="H357" s="13" t="s">
        <v>1552</v>
      </c>
      <c r="I357" s="313" t="s">
        <v>1194</v>
      </c>
      <c r="J357" s="40">
        <v>12</v>
      </c>
      <c r="K357" s="49" t="s">
        <v>375</v>
      </c>
      <c r="L357" s="314" t="s">
        <v>1902</v>
      </c>
      <c r="M357" s="20" t="s">
        <v>1194</v>
      </c>
      <c r="N357" s="20"/>
      <c r="O357" s="13" t="s">
        <v>3</v>
      </c>
      <c r="P357" s="13" t="s">
        <v>4</v>
      </c>
      <c r="Q357" s="22" t="s">
        <v>547</v>
      </c>
      <c r="R357" s="22"/>
      <c r="S357" s="13"/>
      <c r="T357" s="13"/>
      <c r="U357" s="13"/>
      <c r="V357" s="13"/>
      <c r="W357" s="13" t="s">
        <v>570</v>
      </c>
      <c r="X357" s="13" t="s">
        <v>570</v>
      </c>
      <c r="Y357" s="13"/>
      <c r="Z357" s="13"/>
      <c r="AA357" s="29"/>
      <c r="AB357" s="29">
        <v>140000</v>
      </c>
      <c r="AC357" s="29">
        <v>0</v>
      </c>
      <c r="AD357" s="29">
        <v>140000</v>
      </c>
      <c r="AE357" s="29">
        <v>0</v>
      </c>
      <c r="AF357" s="29">
        <f t="shared" si="158"/>
        <v>140000</v>
      </c>
      <c r="AG357" s="25">
        <v>0.12</v>
      </c>
      <c r="AH357" s="29">
        <f t="shared" si="153"/>
        <v>16800</v>
      </c>
      <c r="AI357" s="29">
        <f t="shared" si="154"/>
        <v>0</v>
      </c>
      <c r="AJ357" s="29">
        <f t="shared" si="155"/>
        <v>156800.00000000003</v>
      </c>
      <c r="AK357" s="126"/>
      <c r="AL357" s="126"/>
      <c r="AM357" s="126"/>
      <c r="AN357" s="29"/>
      <c r="AO357" s="29"/>
      <c r="AP357" s="29"/>
      <c r="AQ357" s="29"/>
      <c r="AR357" s="29"/>
      <c r="AS357" s="29"/>
      <c r="AT357" s="29"/>
      <c r="AU357" s="29"/>
      <c r="AV357" s="29"/>
      <c r="AW357" s="29"/>
      <c r="AX357" s="29"/>
      <c r="AY357" s="29"/>
      <c r="AZ357" s="29"/>
      <c r="BA357" s="29"/>
      <c r="BB357" s="29"/>
      <c r="BC357" s="29"/>
      <c r="BD357" s="29"/>
      <c r="BE357" s="29"/>
      <c r="BF357" s="29"/>
      <c r="BG357" s="29">
        <f t="shared" si="159"/>
        <v>0</v>
      </c>
      <c r="BH357" s="29"/>
      <c r="BI357" s="29" t="s">
        <v>570</v>
      </c>
      <c r="BJ357" s="23" t="s">
        <v>570</v>
      </c>
      <c r="BK357" s="29" t="s">
        <v>570</v>
      </c>
      <c r="BL357" s="29" t="s">
        <v>570</v>
      </c>
      <c r="BM357" s="29" t="s">
        <v>570</v>
      </c>
      <c r="BN357" s="13"/>
      <c r="BO357" s="13"/>
      <c r="BP357" s="13"/>
      <c r="BQ357" s="13"/>
      <c r="BR357" s="13"/>
      <c r="BS357" s="13"/>
      <c r="BT357" s="13"/>
      <c r="BU357" s="13" t="s">
        <v>570</v>
      </c>
      <c r="BV357" s="13" t="s">
        <v>570</v>
      </c>
      <c r="BW357" s="224" t="s">
        <v>570</v>
      </c>
      <c r="BX357" s="13"/>
      <c r="BY357" s="13"/>
      <c r="BZ357" s="13"/>
      <c r="CA357" s="13"/>
      <c r="CB357" s="224" t="s">
        <v>570</v>
      </c>
      <c r="CC357" s="224" t="s">
        <v>570</v>
      </c>
      <c r="CD357" s="224" t="s">
        <v>570</v>
      </c>
      <c r="CE357" s="13"/>
      <c r="CF357" s="13"/>
      <c r="CG357" s="13"/>
      <c r="CH357" s="13"/>
      <c r="CI357" s="13"/>
      <c r="CJ357" s="13"/>
      <c r="CK357" s="13"/>
      <c r="CL357" s="13"/>
      <c r="CM357" s="13"/>
      <c r="CN357" s="13"/>
      <c r="CO357" s="13"/>
      <c r="CP357" s="13"/>
      <c r="CQ357" s="13"/>
      <c r="CR357" s="13"/>
      <c r="CS357" s="13" t="s">
        <v>570</v>
      </c>
      <c r="CT357" s="13" t="s">
        <v>570</v>
      </c>
      <c r="CU357" s="13" t="s">
        <v>570</v>
      </c>
      <c r="CV357" s="23"/>
      <c r="CW357" s="13"/>
      <c r="CX357" s="13"/>
      <c r="CY357" s="13"/>
      <c r="CZ357" s="13"/>
      <c r="DA357" s="13"/>
      <c r="DB357" s="2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92">
        <f t="shared" si="152"/>
        <v>0</v>
      </c>
      <c r="DZ357" s="13"/>
      <c r="EA357" s="13"/>
      <c r="EB357" s="13"/>
      <c r="EC357" s="13"/>
      <c r="ED357" s="13"/>
      <c r="EE357" s="13"/>
      <c r="EF357" s="13"/>
      <c r="EG357" s="13"/>
      <c r="EH357" s="13"/>
      <c r="EI357" s="13"/>
      <c r="EJ357" s="13"/>
      <c r="EK357" s="13"/>
      <c r="EL357" s="13"/>
      <c r="EM357" s="13"/>
      <c r="EN357" s="13"/>
      <c r="EO357" s="13"/>
      <c r="EP357" s="13"/>
      <c r="EQ357" s="13"/>
      <c r="ER357" s="13"/>
      <c r="ES357" s="13"/>
      <c r="ET357" s="13"/>
      <c r="EU357" s="13"/>
      <c r="EV357" s="13"/>
      <c r="EW357" s="13"/>
      <c r="EX357" s="13"/>
      <c r="EY357" s="13"/>
      <c r="EZ357" s="13"/>
      <c r="FA357" s="13"/>
      <c r="FB357" s="13"/>
      <c r="FC357" s="13"/>
      <c r="FD357" s="13"/>
      <c r="FE357" s="13"/>
      <c r="FF357" s="13"/>
      <c r="FG357" s="13"/>
      <c r="FH357" s="13"/>
      <c r="FI357" s="13"/>
      <c r="FJ357" s="13"/>
      <c r="FK357" s="13"/>
      <c r="FL357" s="13"/>
      <c r="FM357" s="13"/>
      <c r="FN357" s="13"/>
      <c r="FO357" s="13"/>
      <c r="FP357" s="13"/>
      <c r="FQ357" s="13"/>
      <c r="FR357" s="13"/>
      <c r="FS357" s="13"/>
      <c r="FT357" s="13"/>
      <c r="FU357" s="13"/>
      <c r="FV357" s="25">
        <v>0</v>
      </c>
      <c r="FW357" s="25">
        <v>0</v>
      </c>
      <c r="FX357" s="25">
        <v>0</v>
      </c>
      <c r="FY357" s="25">
        <v>0</v>
      </c>
      <c r="FZ357" s="25">
        <v>0</v>
      </c>
      <c r="GA357" s="25">
        <v>0</v>
      </c>
      <c r="GB357" s="25">
        <v>0</v>
      </c>
      <c r="GC357" s="25">
        <v>0</v>
      </c>
      <c r="GD357" s="25">
        <v>0</v>
      </c>
      <c r="GE357" s="25">
        <v>0</v>
      </c>
      <c r="GF357" s="25">
        <v>0</v>
      </c>
      <c r="GG357" s="25">
        <v>0</v>
      </c>
      <c r="GH357" s="25">
        <v>0</v>
      </c>
      <c r="GI357" s="25">
        <v>0</v>
      </c>
      <c r="GJ357" s="25">
        <v>0</v>
      </c>
      <c r="GK357" s="25">
        <v>0</v>
      </c>
      <c r="GL357" s="25">
        <v>0</v>
      </c>
      <c r="GM357" s="25">
        <v>0</v>
      </c>
      <c r="GN357" s="25">
        <v>0</v>
      </c>
      <c r="GO357" s="25">
        <v>0</v>
      </c>
      <c r="GP357" s="25">
        <v>0</v>
      </c>
      <c r="GQ357" s="25">
        <v>0</v>
      </c>
      <c r="GR357" s="25">
        <v>0</v>
      </c>
      <c r="GS357" s="25">
        <v>0</v>
      </c>
      <c r="GT357" s="25">
        <v>0</v>
      </c>
      <c r="GU357" s="25">
        <v>0</v>
      </c>
      <c r="GV357" s="25" t="s">
        <v>1588</v>
      </c>
      <c r="GW357" s="25" t="s">
        <v>1588</v>
      </c>
      <c r="GX357" s="25" t="s">
        <v>1588</v>
      </c>
      <c r="GY357" s="25" t="s">
        <v>1588</v>
      </c>
      <c r="GZ357" s="25" t="s">
        <v>1588</v>
      </c>
      <c r="HA357" s="25" t="s">
        <v>1588</v>
      </c>
      <c r="HB357" s="25" t="s">
        <v>1588</v>
      </c>
      <c r="HC357" s="25" t="s">
        <v>1588</v>
      </c>
      <c r="HD357" s="25" t="s">
        <v>1588</v>
      </c>
      <c r="HE357" s="25" t="s">
        <v>1588</v>
      </c>
      <c r="HF357" s="25" t="s">
        <v>1588</v>
      </c>
      <c r="HG357" s="25" t="s">
        <v>1588</v>
      </c>
      <c r="HH357" s="25" t="s">
        <v>1588</v>
      </c>
      <c r="HI357" s="25"/>
      <c r="HJ357" s="25"/>
      <c r="HK357" s="25"/>
      <c r="HL357" s="25"/>
      <c r="HM357" s="25"/>
      <c r="HN357" s="25"/>
      <c r="HO357" s="25" t="s">
        <v>1878</v>
      </c>
      <c r="HP357" s="25"/>
      <c r="HQ357" s="25"/>
      <c r="HR357" s="25"/>
      <c r="HS357" s="25"/>
      <c r="HT357" s="25"/>
      <c r="HU357" s="104" t="s">
        <v>1199</v>
      </c>
      <c r="HV357" s="104"/>
      <c r="HW357" s="32"/>
      <c r="HX357" s="55"/>
      <c r="HY357" s="55"/>
      <c r="HZ357" s="55"/>
      <c r="IA357" s="55"/>
      <c r="IB357" s="55"/>
      <c r="IC357" s="55"/>
      <c r="ID357" s="55"/>
      <c r="IE357" s="55"/>
      <c r="IF357" s="107">
        <v>140000</v>
      </c>
      <c r="IG357" s="107"/>
      <c r="IH357" s="250">
        <f t="shared" si="156"/>
        <v>0</v>
      </c>
      <c r="II357" s="55"/>
      <c r="IJ357" s="55"/>
      <c r="IK357" s="55"/>
      <c r="IL357" s="55"/>
      <c r="IM357" s="55"/>
      <c r="IN357" s="55"/>
      <c r="IO357" s="55"/>
      <c r="IP357" s="55"/>
      <c r="IQ357" s="55"/>
      <c r="IR357" s="55"/>
      <c r="IS357" s="55"/>
      <c r="IT357" s="55"/>
      <c r="IU357" s="55"/>
      <c r="IV357" s="55"/>
      <c r="IW357" s="55"/>
      <c r="IX357" s="55"/>
      <c r="IY357" s="55"/>
      <c r="IZ357" s="55"/>
      <c r="JA357" s="55"/>
      <c r="JB357" s="55"/>
      <c r="JC357" s="55"/>
      <c r="JD357" s="55"/>
    </row>
    <row r="358" spans="1:264" s="5" customFormat="1" ht="33" hidden="1" customHeight="1">
      <c r="A358" s="26" t="s">
        <v>175</v>
      </c>
      <c r="B358" s="26" t="s">
        <v>313</v>
      </c>
      <c r="C358" s="13" t="s">
        <v>358</v>
      </c>
      <c r="D358" s="13" t="s">
        <v>379</v>
      </c>
      <c r="E358" s="16" t="s">
        <v>359</v>
      </c>
      <c r="F358" s="13" t="s">
        <v>359</v>
      </c>
      <c r="G358" s="39" t="s">
        <v>354</v>
      </c>
      <c r="H358" s="13" t="s">
        <v>1552</v>
      </c>
      <c r="I358" s="47" t="s">
        <v>1362</v>
      </c>
      <c r="J358" s="40">
        <v>13</v>
      </c>
      <c r="K358" s="49" t="s">
        <v>375</v>
      </c>
      <c r="L358" s="314" t="s">
        <v>324</v>
      </c>
      <c r="M358" s="20" t="s">
        <v>1362</v>
      </c>
      <c r="N358" s="20"/>
      <c r="O358" s="13" t="s">
        <v>3</v>
      </c>
      <c r="P358" s="13" t="s">
        <v>4</v>
      </c>
      <c r="Q358" s="22" t="s">
        <v>1118</v>
      </c>
      <c r="R358" s="22" t="s">
        <v>1610</v>
      </c>
      <c r="S358" s="13" t="s">
        <v>1611</v>
      </c>
      <c r="T358" s="13" t="s">
        <v>1387</v>
      </c>
      <c r="U358" s="13" t="s">
        <v>479</v>
      </c>
      <c r="V358" s="24">
        <v>1792608872001</v>
      </c>
      <c r="W358" s="13" t="s">
        <v>570</v>
      </c>
      <c r="X358" s="13" t="s">
        <v>570</v>
      </c>
      <c r="Y358" s="13"/>
      <c r="Z358" s="13"/>
      <c r="AA358" s="29"/>
      <c r="AB358" s="29">
        <v>100000</v>
      </c>
      <c r="AC358" s="29">
        <v>0</v>
      </c>
      <c r="AD358" s="29">
        <v>100000</v>
      </c>
      <c r="AE358" s="29">
        <v>0</v>
      </c>
      <c r="AF358" s="29">
        <f t="shared" si="158"/>
        <v>100000</v>
      </c>
      <c r="AG358" s="25">
        <v>0.12</v>
      </c>
      <c r="AH358" s="29">
        <f t="shared" si="153"/>
        <v>12000</v>
      </c>
      <c r="AI358" s="29">
        <f t="shared" si="154"/>
        <v>0</v>
      </c>
      <c r="AJ358" s="29">
        <f t="shared" si="155"/>
        <v>112000.00000000001</v>
      </c>
      <c r="AK358" s="126">
        <v>45505</v>
      </c>
      <c r="AL358" s="126">
        <f>AB358-AK358</f>
        <v>54495</v>
      </c>
      <c r="AM358" s="126"/>
      <c r="AN358" s="29"/>
      <c r="AO358" s="29">
        <v>65000</v>
      </c>
      <c r="AP358" s="29"/>
      <c r="AQ358" s="29">
        <v>45505</v>
      </c>
      <c r="AR358" s="25">
        <v>0.12</v>
      </c>
      <c r="AS358" s="29">
        <f>AQ358*0.12</f>
        <v>5460.5999999999995</v>
      </c>
      <c r="AT358" s="29">
        <f>AQ358*1.12</f>
        <v>50965.600000000006</v>
      </c>
      <c r="AU358" s="29"/>
      <c r="AV358" s="29"/>
      <c r="AW358" s="29"/>
      <c r="AX358" s="29"/>
      <c r="AY358" s="29"/>
      <c r="AZ358" s="29"/>
      <c r="BA358" s="29"/>
      <c r="BB358" s="29"/>
      <c r="BC358" s="29"/>
      <c r="BD358" s="29"/>
      <c r="BE358" s="29"/>
      <c r="BF358" s="29"/>
      <c r="BG358" s="29">
        <f t="shared" si="159"/>
        <v>0</v>
      </c>
      <c r="BH358" s="29"/>
      <c r="BI358" s="29" t="s">
        <v>570</v>
      </c>
      <c r="BJ358" s="23" t="s">
        <v>570</v>
      </c>
      <c r="BK358" s="29" t="s">
        <v>570</v>
      </c>
      <c r="BL358" s="29" t="s">
        <v>570</v>
      </c>
      <c r="BM358" s="29" t="s">
        <v>570</v>
      </c>
      <c r="BN358" s="23">
        <v>43067</v>
      </c>
      <c r="BO358" s="23">
        <v>43084</v>
      </c>
      <c r="BP358" s="23">
        <v>43091</v>
      </c>
      <c r="BQ358" s="23">
        <v>43097</v>
      </c>
      <c r="BR358" s="13"/>
      <c r="BS358" s="23">
        <v>43112</v>
      </c>
      <c r="BT358" s="23">
        <v>43117</v>
      </c>
      <c r="BU358" s="13" t="s">
        <v>570</v>
      </c>
      <c r="BV358" s="13" t="s">
        <v>570</v>
      </c>
      <c r="BW358" s="224" t="s">
        <v>570</v>
      </c>
      <c r="BX358" s="23">
        <v>43150</v>
      </c>
      <c r="BY358" s="224" t="s">
        <v>570</v>
      </c>
      <c r="BZ358" s="23">
        <v>43150</v>
      </c>
      <c r="CA358" s="23">
        <v>43187</v>
      </c>
      <c r="CB358" s="224" t="s">
        <v>570</v>
      </c>
      <c r="CC358" s="224" t="s">
        <v>570</v>
      </c>
      <c r="CD358" s="224" t="s">
        <v>570</v>
      </c>
      <c r="CE358" s="13"/>
      <c r="CF358" s="13"/>
      <c r="CG358" s="13"/>
      <c r="CH358" s="13"/>
      <c r="CI358" s="13"/>
      <c r="CJ358" s="13"/>
      <c r="CK358" s="13"/>
      <c r="CL358" s="13"/>
      <c r="CM358" s="13"/>
      <c r="CN358" s="13"/>
      <c r="CO358" s="13"/>
      <c r="CP358" s="13"/>
      <c r="CQ358" s="13"/>
      <c r="CR358" s="13"/>
      <c r="CS358" s="29" t="s">
        <v>570</v>
      </c>
      <c r="CT358" s="29" t="s">
        <v>570</v>
      </c>
      <c r="CU358" s="29" t="s">
        <v>570</v>
      </c>
      <c r="CV358" s="23"/>
      <c r="CW358" s="13"/>
      <c r="CX358" s="13"/>
      <c r="CY358" s="13"/>
      <c r="CZ358" s="13"/>
      <c r="DA358" s="13"/>
      <c r="DB358" s="2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92">
        <f t="shared" si="152"/>
        <v>0</v>
      </c>
      <c r="DZ358" s="13"/>
      <c r="EA358" s="13"/>
      <c r="EB358" s="13"/>
      <c r="EC358" s="13"/>
      <c r="ED358" s="13"/>
      <c r="EE358" s="13"/>
      <c r="EF358" s="13"/>
      <c r="EG358" s="13"/>
      <c r="EH358" s="13"/>
      <c r="EI358" s="13"/>
      <c r="EJ358" s="13"/>
      <c r="EK358" s="13"/>
      <c r="EL358" s="13"/>
      <c r="EM358" s="13"/>
      <c r="EN358" s="13"/>
      <c r="EO358" s="13"/>
      <c r="EP358" s="13"/>
      <c r="EQ358" s="13"/>
      <c r="ER358" s="13"/>
      <c r="ES358" s="13"/>
      <c r="ET358" s="13"/>
      <c r="EU358" s="13"/>
      <c r="EV358" s="13"/>
      <c r="EW358" s="13"/>
      <c r="EX358" s="13"/>
      <c r="EY358" s="13"/>
      <c r="EZ358" s="13"/>
      <c r="FA358" s="13"/>
      <c r="FB358" s="13"/>
      <c r="FC358" s="13"/>
      <c r="FD358" s="13"/>
      <c r="FE358" s="13"/>
      <c r="FF358" s="13"/>
      <c r="FG358" s="13"/>
      <c r="FH358" s="13"/>
      <c r="FI358" s="13"/>
      <c r="FJ358" s="13"/>
      <c r="FK358" s="13"/>
      <c r="FL358" s="13"/>
      <c r="FM358" s="13"/>
      <c r="FN358" s="13"/>
      <c r="FO358" s="13"/>
      <c r="FP358" s="13"/>
      <c r="FQ358" s="13"/>
      <c r="FR358" s="13"/>
      <c r="FS358" s="13"/>
      <c r="FT358" s="13"/>
      <c r="FU358" s="13"/>
      <c r="FV358" s="25">
        <v>0</v>
      </c>
      <c r="FW358" s="25">
        <v>0</v>
      </c>
      <c r="FX358" s="25">
        <v>0</v>
      </c>
      <c r="FY358" s="25">
        <v>0</v>
      </c>
      <c r="FZ358" s="25">
        <v>0</v>
      </c>
      <c r="GA358" s="25">
        <v>0</v>
      </c>
      <c r="GB358" s="25">
        <v>0</v>
      </c>
      <c r="GC358" s="25">
        <v>0</v>
      </c>
      <c r="GD358" s="25">
        <v>1</v>
      </c>
      <c r="GE358" s="25">
        <v>1</v>
      </c>
      <c r="GF358" s="25">
        <v>1</v>
      </c>
      <c r="GG358" s="25">
        <v>1</v>
      </c>
      <c r="GH358" s="25">
        <v>1</v>
      </c>
      <c r="GI358" s="25">
        <v>1</v>
      </c>
      <c r="GJ358" s="25">
        <v>1</v>
      </c>
      <c r="GK358" s="25">
        <v>1</v>
      </c>
      <c r="GL358" s="25">
        <v>1</v>
      </c>
      <c r="GM358" s="25">
        <v>1</v>
      </c>
      <c r="GN358" s="25">
        <v>1</v>
      </c>
      <c r="GO358" s="25">
        <v>1</v>
      </c>
      <c r="GP358" s="25">
        <v>1</v>
      </c>
      <c r="GQ358" s="25">
        <v>1</v>
      </c>
      <c r="GR358" s="25">
        <v>1</v>
      </c>
      <c r="GS358" s="25">
        <v>1</v>
      </c>
      <c r="GT358" s="25">
        <v>1</v>
      </c>
      <c r="GU358" s="25">
        <v>1</v>
      </c>
      <c r="GV358" s="25" t="s">
        <v>452</v>
      </c>
      <c r="GW358" s="25" t="s">
        <v>452</v>
      </c>
      <c r="GX358" s="25" t="s">
        <v>452</v>
      </c>
      <c r="GY358" s="25" t="s">
        <v>452</v>
      </c>
      <c r="GZ358" s="25" t="s">
        <v>452</v>
      </c>
      <c r="HA358" s="25" t="s">
        <v>452</v>
      </c>
      <c r="HB358" s="25" t="s">
        <v>452</v>
      </c>
      <c r="HC358" s="25" t="s">
        <v>452</v>
      </c>
      <c r="HD358" s="25" t="s">
        <v>452</v>
      </c>
      <c r="HE358" s="25" t="s">
        <v>452</v>
      </c>
      <c r="HF358" s="25" t="s">
        <v>452</v>
      </c>
      <c r="HG358" s="25" t="s">
        <v>452</v>
      </c>
      <c r="HH358" s="25" t="s">
        <v>452</v>
      </c>
      <c r="HI358" s="25"/>
      <c r="HJ358" s="25"/>
      <c r="HK358" s="25"/>
      <c r="HL358" s="25"/>
      <c r="HM358" s="25"/>
      <c r="HN358" s="25"/>
      <c r="HO358" s="25"/>
      <c r="HP358" s="25"/>
      <c r="HQ358" s="25"/>
      <c r="HR358" s="25"/>
      <c r="HS358" s="25"/>
      <c r="HT358" s="25"/>
      <c r="HU358" s="13"/>
      <c r="HV358" s="13"/>
      <c r="HW358" s="32"/>
      <c r="HX358" s="55"/>
      <c r="HY358" s="55"/>
      <c r="HZ358" s="55"/>
      <c r="IA358" s="55"/>
      <c r="IB358" s="55"/>
      <c r="IC358" s="55"/>
      <c r="ID358" s="55"/>
      <c r="IE358" s="55"/>
      <c r="IF358" s="107">
        <v>50000</v>
      </c>
      <c r="IG358" s="107">
        <v>45505</v>
      </c>
      <c r="IH358" s="250">
        <f t="shared" si="156"/>
        <v>0</v>
      </c>
      <c r="II358" s="55"/>
      <c r="IJ358" s="55"/>
      <c r="IK358" s="55"/>
      <c r="IL358" s="55"/>
      <c r="IM358" s="55"/>
      <c r="IN358" s="55"/>
      <c r="IO358" s="55"/>
      <c r="IP358" s="55"/>
      <c r="IQ358" s="55"/>
      <c r="IR358" s="55"/>
      <c r="IS358" s="55"/>
      <c r="IT358" s="55"/>
      <c r="IU358" s="55"/>
      <c r="IV358" s="55"/>
      <c r="IW358" s="55"/>
      <c r="IX358" s="55"/>
      <c r="IY358" s="55"/>
      <c r="IZ358" s="55"/>
      <c r="JA358" s="55"/>
      <c r="JB358" s="55"/>
      <c r="JC358" s="55"/>
      <c r="JD358" s="55"/>
    </row>
    <row r="359" spans="1:264" s="5" customFormat="1" ht="40.5" hidden="1" customHeight="1">
      <c r="A359" s="26" t="s">
        <v>175</v>
      </c>
      <c r="B359" s="26" t="s">
        <v>313</v>
      </c>
      <c r="C359" s="13" t="s">
        <v>358</v>
      </c>
      <c r="D359" s="13" t="s">
        <v>379</v>
      </c>
      <c r="E359" s="16" t="s">
        <v>359</v>
      </c>
      <c r="F359" s="13" t="s">
        <v>359</v>
      </c>
      <c r="G359" s="39" t="s">
        <v>354</v>
      </c>
      <c r="H359" s="13" t="s">
        <v>1552</v>
      </c>
      <c r="I359" s="313" t="s">
        <v>1363</v>
      </c>
      <c r="J359" s="40">
        <v>14</v>
      </c>
      <c r="K359" s="49" t="s">
        <v>375</v>
      </c>
      <c r="L359" s="314" t="s">
        <v>325</v>
      </c>
      <c r="M359" s="20" t="s">
        <v>1363</v>
      </c>
      <c r="N359" s="20"/>
      <c r="O359" s="13" t="s">
        <v>3</v>
      </c>
      <c r="P359" s="13" t="s">
        <v>4</v>
      </c>
      <c r="Q359" s="22" t="s">
        <v>547</v>
      </c>
      <c r="R359" s="22"/>
      <c r="S359" s="13"/>
      <c r="T359" s="13"/>
      <c r="U359" s="13"/>
      <c r="V359" s="13"/>
      <c r="W359" s="13" t="s">
        <v>570</v>
      </c>
      <c r="X359" s="13" t="s">
        <v>570</v>
      </c>
      <c r="Y359" s="13"/>
      <c r="Z359" s="13"/>
      <c r="AA359" s="29"/>
      <c r="AB359" s="29">
        <v>70000</v>
      </c>
      <c r="AC359" s="29">
        <v>0</v>
      </c>
      <c r="AD359" s="29">
        <v>70000</v>
      </c>
      <c r="AE359" s="29">
        <v>0</v>
      </c>
      <c r="AF359" s="29">
        <f t="shared" si="158"/>
        <v>70000</v>
      </c>
      <c r="AG359" s="25">
        <v>0.12</v>
      </c>
      <c r="AH359" s="29">
        <f t="shared" si="153"/>
        <v>8400</v>
      </c>
      <c r="AI359" s="29">
        <f t="shared" si="154"/>
        <v>0</v>
      </c>
      <c r="AJ359" s="29">
        <f t="shared" si="155"/>
        <v>78400.000000000015</v>
      </c>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f t="shared" si="159"/>
        <v>0</v>
      </c>
      <c r="BH359" s="29"/>
      <c r="BI359" s="29" t="s">
        <v>570</v>
      </c>
      <c r="BJ359" s="23" t="s">
        <v>570</v>
      </c>
      <c r="BK359" s="29" t="s">
        <v>570</v>
      </c>
      <c r="BL359" s="29" t="s">
        <v>570</v>
      </c>
      <c r="BM359" s="29" t="s">
        <v>570</v>
      </c>
      <c r="BN359" s="13"/>
      <c r="BO359" s="13"/>
      <c r="BP359" s="13"/>
      <c r="BQ359" s="13"/>
      <c r="BR359" s="13"/>
      <c r="BS359" s="13"/>
      <c r="BT359" s="13"/>
      <c r="BU359" s="13" t="s">
        <v>570</v>
      </c>
      <c r="BV359" s="13" t="s">
        <v>570</v>
      </c>
      <c r="BW359" s="224" t="s">
        <v>570</v>
      </c>
      <c r="BX359" s="13"/>
      <c r="BY359" s="13"/>
      <c r="BZ359" s="13"/>
      <c r="CA359" s="13"/>
      <c r="CB359" s="224" t="s">
        <v>570</v>
      </c>
      <c r="CC359" s="224" t="s">
        <v>570</v>
      </c>
      <c r="CD359" s="224" t="s">
        <v>570</v>
      </c>
      <c r="CE359" s="13"/>
      <c r="CF359" s="13"/>
      <c r="CG359" s="13"/>
      <c r="CH359" s="13"/>
      <c r="CI359" s="13"/>
      <c r="CJ359" s="13"/>
      <c r="CK359" s="13"/>
      <c r="CL359" s="13"/>
      <c r="CM359" s="13"/>
      <c r="CN359" s="13"/>
      <c r="CO359" s="13"/>
      <c r="CP359" s="13"/>
      <c r="CQ359" s="13"/>
      <c r="CR359" s="13"/>
      <c r="CS359" s="29" t="s">
        <v>570</v>
      </c>
      <c r="CT359" s="29" t="s">
        <v>570</v>
      </c>
      <c r="CU359" s="29" t="s">
        <v>570</v>
      </c>
      <c r="CV359" s="23"/>
      <c r="CW359" s="13"/>
      <c r="CX359" s="13"/>
      <c r="CY359" s="13"/>
      <c r="CZ359" s="13"/>
      <c r="DA359" s="13"/>
      <c r="DB359" s="2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92">
        <f t="shared" si="152"/>
        <v>0</v>
      </c>
      <c r="DZ359" s="13"/>
      <c r="EA359" s="13"/>
      <c r="EB359" s="13"/>
      <c r="EC359" s="13"/>
      <c r="ED359" s="13"/>
      <c r="EE359" s="13"/>
      <c r="EF359" s="13"/>
      <c r="EG359" s="13"/>
      <c r="EH359" s="13"/>
      <c r="EI359" s="13"/>
      <c r="EJ359" s="13"/>
      <c r="EK359" s="13"/>
      <c r="EL359" s="13"/>
      <c r="EM359" s="13"/>
      <c r="EN359" s="13"/>
      <c r="EO359" s="13"/>
      <c r="EP359" s="13"/>
      <c r="EQ359" s="13"/>
      <c r="ER359" s="13"/>
      <c r="ES359" s="13"/>
      <c r="ET359" s="13"/>
      <c r="EU359" s="13"/>
      <c r="EV359" s="13"/>
      <c r="EW359" s="13"/>
      <c r="EX359" s="13"/>
      <c r="EY359" s="13"/>
      <c r="EZ359" s="13"/>
      <c r="FA359" s="13"/>
      <c r="FB359" s="13"/>
      <c r="FC359" s="13"/>
      <c r="FD359" s="13"/>
      <c r="FE359" s="13"/>
      <c r="FF359" s="13"/>
      <c r="FG359" s="13"/>
      <c r="FH359" s="13"/>
      <c r="FI359" s="13"/>
      <c r="FJ359" s="13"/>
      <c r="FK359" s="13"/>
      <c r="FL359" s="13"/>
      <c r="FM359" s="13"/>
      <c r="FN359" s="13"/>
      <c r="FO359" s="13"/>
      <c r="FP359" s="13"/>
      <c r="FQ359" s="13"/>
      <c r="FR359" s="13"/>
      <c r="FS359" s="13"/>
      <c r="FT359" s="13"/>
      <c r="FU359" s="13"/>
      <c r="FV359" s="25">
        <v>0</v>
      </c>
      <c r="FW359" s="25">
        <v>0</v>
      </c>
      <c r="FX359" s="25">
        <v>0</v>
      </c>
      <c r="FY359" s="25">
        <v>0</v>
      </c>
      <c r="FZ359" s="25">
        <v>0</v>
      </c>
      <c r="GA359" s="25">
        <v>0</v>
      </c>
      <c r="GB359" s="25">
        <v>0</v>
      </c>
      <c r="GC359" s="25">
        <v>0</v>
      </c>
      <c r="GD359" s="25">
        <v>0</v>
      </c>
      <c r="GE359" s="25">
        <v>0</v>
      </c>
      <c r="GF359" s="25">
        <v>0</v>
      </c>
      <c r="GG359" s="25">
        <v>0</v>
      </c>
      <c r="GH359" s="25">
        <v>0</v>
      </c>
      <c r="GI359" s="25">
        <v>0</v>
      </c>
      <c r="GJ359" s="25">
        <v>0</v>
      </c>
      <c r="GK359" s="25">
        <v>0</v>
      </c>
      <c r="GL359" s="25">
        <v>0</v>
      </c>
      <c r="GM359" s="25">
        <v>0</v>
      </c>
      <c r="GN359" s="25">
        <v>0</v>
      </c>
      <c r="GO359" s="25">
        <v>0</v>
      </c>
      <c r="GP359" s="25">
        <v>0</v>
      </c>
      <c r="GQ359" s="25">
        <v>0</v>
      </c>
      <c r="GR359" s="25">
        <v>0</v>
      </c>
      <c r="GS359" s="25">
        <v>0</v>
      </c>
      <c r="GT359" s="25">
        <v>0</v>
      </c>
      <c r="GU359" s="25">
        <v>0</v>
      </c>
      <c r="GV359" s="25" t="s">
        <v>1588</v>
      </c>
      <c r="GW359" s="25" t="s">
        <v>1588</v>
      </c>
      <c r="GX359" s="25" t="s">
        <v>1588</v>
      </c>
      <c r="GY359" s="25" t="s">
        <v>1588</v>
      </c>
      <c r="GZ359" s="25" t="s">
        <v>1588</v>
      </c>
      <c r="HA359" s="25" t="s">
        <v>1588</v>
      </c>
      <c r="HB359" s="25" t="s">
        <v>1588</v>
      </c>
      <c r="HC359" s="25" t="s">
        <v>1588</v>
      </c>
      <c r="HD359" s="25" t="s">
        <v>1588</v>
      </c>
      <c r="HE359" s="25" t="s">
        <v>1588</v>
      </c>
      <c r="HF359" s="25" t="s">
        <v>1588</v>
      </c>
      <c r="HG359" s="25" t="s">
        <v>1588</v>
      </c>
      <c r="HH359" s="25" t="s">
        <v>1588</v>
      </c>
      <c r="HI359" s="25"/>
      <c r="HJ359" s="25"/>
      <c r="HK359" s="25"/>
      <c r="HL359" s="25"/>
      <c r="HM359" s="25"/>
      <c r="HN359" s="25"/>
      <c r="HO359" s="25" t="s">
        <v>1878</v>
      </c>
      <c r="HP359" s="25"/>
      <c r="HQ359" s="25"/>
      <c r="HR359" s="25"/>
      <c r="HS359" s="25"/>
      <c r="HT359" s="25"/>
      <c r="HU359" s="13"/>
      <c r="HV359" s="13"/>
      <c r="HW359" s="32"/>
      <c r="HX359" s="55"/>
      <c r="HY359" s="55"/>
      <c r="HZ359" s="55"/>
      <c r="IA359" s="55"/>
      <c r="IB359" s="55"/>
      <c r="IC359" s="55"/>
      <c r="ID359" s="55"/>
      <c r="IE359" s="55"/>
      <c r="IF359" s="107">
        <v>70000</v>
      </c>
      <c r="IG359" s="107"/>
      <c r="IH359" s="250">
        <f t="shared" si="156"/>
        <v>0</v>
      </c>
      <c r="II359" s="55"/>
      <c r="IJ359" s="55"/>
      <c r="IK359" s="55"/>
      <c r="IL359" s="55"/>
      <c r="IM359" s="55"/>
      <c r="IN359" s="55"/>
      <c r="IO359" s="55"/>
      <c r="IP359" s="55"/>
      <c r="IQ359" s="55"/>
      <c r="IR359" s="55"/>
      <c r="IS359" s="55"/>
      <c r="IT359" s="55"/>
      <c r="IU359" s="55"/>
      <c r="IV359" s="55"/>
      <c r="IW359" s="55"/>
      <c r="IX359" s="55"/>
      <c r="IY359" s="55"/>
      <c r="IZ359" s="55"/>
      <c r="JA359" s="55"/>
      <c r="JB359" s="55"/>
      <c r="JC359" s="55"/>
      <c r="JD359" s="55"/>
    </row>
    <row r="360" spans="1:264" s="5" customFormat="1" ht="39" hidden="1" customHeight="1">
      <c r="A360" s="26" t="s">
        <v>175</v>
      </c>
      <c r="B360" s="26" t="s">
        <v>313</v>
      </c>
      <c r="C360" s="13" t="s">
        <v>358</v>
      </c>
      <c r="D360" s="13" t="s">
        <v>379</v>
      </c>
      <c r="E360" s="16" t="s">
        <v>359</v>
      </c>
      <c r="F360" s="13" t="s">
        <v>359</v>
      </c>
      <c r="G360" s="39" t="s">
        <v>354</v>
      </c>
      <c r="H360" s="13" t="s">
        <v>1552</v>
      </c>
      <c r="I360" s="313" t="s">
        <v>1364</v>
      </c>
      <c r="J360" s="40">
        <v>15</v>
      </c>
      <c r="K360" s="49" t="s">
        <v>375</v>
      </c>
      <c r="L360" s="314" t="s">
        <v>326</v>
      </c>
      <c r="M360" s="20" t="s">
        <v>1364</v>
      </c>
      <c r="N360" s="20"/>
      <c r="O360" s="13" t="s">
        <v>3</v>
      </c>
      <c r="P360" s="13" t="s">
        <v>4</v>
      </c>
      <c r="Q360" s="22" t="s">
        <v>547</v>
      </c>
      <c r="R360" s="22"/>
      <c r="S360" s="13"/>
      <c r="T360" s="13"/>
      <c r="U360" s="13"/>
      <c r="V360" s="13"/>
      <c r="W360" s="13" t="s">
        <v>570</v>
      </c>
      <c r="X360" s="13" t="s">
        <v>570</v>
      </c>
      <c r="Y360" s="13"/>
      <c r="Z360" s="13"/>
      <c r="AA360" s="29"/>
      <c r="AB360" s="29">
        <f>70000-1650</f>
        <v>68350</v>
      </c>
      <c r="AC360" s="29">
        <v>0</v>
      </c>
      <c r="AD360" s="29">
        <f>70000-1650</f>
        <v>68350</v>
      </c>
      <c r="AE360" s="29">
        <v>0</v>
      </c>
      <c r="AF360" s="29">
        <f t="shared" si="158"/>
        <v>68350</v>
      </c>
      <c r="AG360" s="25">
        <v>0.12</v>
      </c>
      <c r="AH360" s="29">
        <f t="shared" si="153"/>
        <v>8202</v>
      </c>
      <c r="AI360" s="29">
        <f t="shared" si="154"/>
        <v>0</v>
      </c>
      <c r="AJ360" s="29">
        <f t="shared" si="155"/>
        <v>76552.000000000015</v>
      </c>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f t="shared" si="159"/>
        <v>0</v>
      </c>
      <c r="BH360" s="29"/>
      <c r="BI360" s="29" t="s">
        <v>570</v>
      </c>
      <c r="BJ360" s="23" t="s">
        <v>570</v>
      </c>
      <c r="BK360" s="29" t="s">
        <v>570</v>
      </c>
      <c r="BL360" s="29" t="s">
        <v>570</v>
      </c>
      <c r="BM360" s="29" t="s">
        <v>570</v>
      </c>
      <c r="BN360" s="13"/>
      <c r="BO360" s="13"/>
      <c r="BP360" s="13"/>
      <c r="BQ360" s="13"/>
      <c r="BR360" s="13"/>
      <c r="BS360" s="13"/>
      <c r="BT360" s="13"/>
      <c r="BU360" s="13" t="s">
        <v>570</v>
      </c>
      <c r="BV360" s="13" t="s">
        <v>570</v>
      </c>
      <c r="BW360" s="224" t="s">
        <v>570</v>
      </c>
      <c r="BX360" s="13"/>
      <c r="BY360" s="13"/>
      <c r="BZ360" s="13"/>
      <c r="CA360" s="13"/>
      <c r="CB360" s="224" t="s">
        <v>570</v>
      </c>
      <c r="CC360" s="224" t="s">
        <v>570</v>
      </c>
      <c r="CD360" s="224" t="s">
        <v>570</v>
      </c>
      <c r="CE360" s="13"/>
      <c r="CF360" s="13"/>
      <c r="CG360" s="13"/>
      <c r="CH360" s="13"/>
      <c r="CI360" s="13"/>
      <c r="CJ360" s="13"/>
      <c r="CK360" s="13"/>
      <c r="CL360" s="13"/>
      <c r="CM360" s="13"/>
      <c r="CN360" s="13"/>
      <c r="CO360" s="13"/>
      <c r="CP360" s="13"/>
      <c r="CQ360" s="13"/>
      <c r="CR360" s="13"/>
      <c r="CS360" s="29" t="s">
        <v>570</v>
      </c>
      <c r="CT360" s="29" t="s">
        <v>570</v>
      </c>
      <c r="CU360" s="29" t="s">
        <v>570</v>
      </c>
      <c r="CV360" s="23"/>
      <c r="CW360" s="13"/>
      <c r="CX360" s="13"/>
      <c r="CY360" s="13"/>
      <c r="CZ360" s="13"/>
      <c r="DA360" s="13"/>
      <c r="DB360" s="2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92">
        <f t="shared" si="152"/>
        <v>0</v>
      </c>
      <c r="DZ360" s="13"/>
      <c r="EA360" s="13"/>
      <c r="EB360" s="13"/>
      <c r="EC360" s="13"/>
      <c r="ED360" s="13"/>
      <c r="EE360" s="13"/>
      <c r="EF360" s="13"/>
      <c r="EG360" s="13"/>
      <c r="EH360" s="13"/>
      <c r="EI360" s="13"/>
      <c r="EJ360" s="13"/>
      <c r="EK360" s="13"/>
      <c r="EL360" s="13"/>
      <c r="EM360" s="13"/>
      <c r="EN360" s="13"/>
      <c r="EO360" s="13"/>
      <c r="EP360" s="13"/>
      <c r="EQ360" s="13"/>
      <c r="ER360" s="13"/>
      <c r="ES360" s="13"/>
      <c r="ET360" s="13"/>
      <c r="EU360" s="13"/>
      <c r="EV360" s="13"/>
      <c r="EW360" s="13"/>
      <c r="EX360" s="13"/>
      <c r="EY360" s="13"/>
      <c r="EZ360" s="13"/>
      <c r="FA360" s="13"/>
      <c r="FB360" s="13"/>
      <c r="FC360" s="13"/>
      <c r="FD360" s="13"/>
      <c r="FE360" s="13"/>
      <c r="FF360" s="13"/>
      <c r="FG360" s="13"/>
      <c r="FH360" s="13"/>
      <c r="FI360" s="13"/>
      <c r="FJ360" s="13"/>
      <c r="FK360" s="13"/>
      <c r="FL360" s="13"/>
      <c r="FM360" s="13"/>
      <c r="FN360" s="13"/>
      <c r="FO360" s="13"/>
      <c r="FP360" s="13"/>
      <c r="FQ360" s="13"/>
      <c r="FR360" s="13"/>
      <c r="FS360" s="13"/>
      <c r="FT360" s="13"/>
      <c r="FU360" s="13"/>
      <c r="FV360" s="25">
        <v>0</v>
      </c>
      <c r="FW360" s="25">
        <v>0</v>
      </c>
      <c r="FX360" s="25">
        <v>0</v>
      </c>
      <c r="FY360" s="25">
        <v>0</v>
      </c>
      <c r="FZ360" s="25">
        <v>0</v>
      </c>
      <c r="GA360" s="25">
        <v>0</v>
      </c>
      <c r="GB360" s="25">
        <v>0</v>
      </c>
      <c r="GC360" s="25">
        <v>0</v>
      </c>
      <c r="GD360" s="25">
        <v>0</v>
      </c>
      <c r="GE360" s="25">
        <v>0</v>
      </c>
      <c r="GF360" s="25">
        <v>0</v>
      </c>
      <c r="GG360" s="25">
        <v>0</v>
      </c>
      <c r="GH360" s="25">
        <v>0</v>
      </c>
      <c r="GI360" s="25">
        <v>0</v>
      </c>
      <c r="GJ360" s="25">
        <v>0</v>
      </c>
      <c r="GK360" s="25">
        <v>0</v>
      </c>
      <c r="GL360" s="25">
        <v>0</v>
      </c>
      <c r="GM360" s="25">
        <v>0</v>
      </c>
      <c r="GN360" s="25">
        <v>0</v>
      </c>
      <c r="GO360" s="25">
        <v>0</v>
      </c>
      <c r="GP360" s="25">
        <v>0</v>
      </c>
      <c r="GQ360" s="25">
        <v>0</v>
      </c>
      <c r="GR360" s="25">
        <v>0</v>
      </c>
      <c r="GS360" s="25">
        <v>0</v>
      </c>
      <c r="GT360" s="25">
        <v>0</v>
      </c>
      <c r="GU360" s="25">
        <v>0</v>
      </c>
      <c r="GV360" s="25" t="s">
        <v>1588</v>
      </c>
      <c r="GW360" s="25" t="s">
        <v>1588</v>
      </c>
      <c r="GX360" s="25" t="s">
        <v>1588</v>
      </c>
      <c r="GY360" s="25" t="s">
        <v>1588</v>
      </c>
      <c r="GZ360" s="25" t="s">
        <v>1588</v>
      </c>
      <c r="HA360" s="25" t="s">
        <v>1588</v>
      </c>
      <c r="HB360" s="25" t="s">
        <v>1588</v>
      </c>
      <c r="HC360" s="25" t="s">
        <v>1588</v>
      </c>
      <c r="HD360" s="25" t="s">
        <v>1588</v>
      </c>
      <c r="HE360" s="25" t="s">
        <v>1588</v>
      </c>
      <c r="HF360" s="25" t="s">
        <v>1588</v>
      </c>
      <c r="HG360" s="25" t="s">
        <v>1588</v>
      </c>
      <c r="HH360" s="25" t="s">
        <v>1588</v>
      </c>
      <c r="HI360" s="25"/>
      <c r="HJ360" s="25"/>
      <c r="HK360" s="25"/>
      <c r="HL360" s="25"/>
      <c r="HM360" s="25"/>
      <c r="HN360" s="25"/>
      <c r="HO360" s="25" t="s">
        <v>1878</v>
      </c>
      <c r="HP360" s="25"/>
      <c r="HQ360" s="25"/>
      <c r="HR360" s="25"/>
      <c r="HS360" s="25"/>
      <c r="HT360" s="25"/>
      <c r="HU360" s="13"/>
      <c r="HV360" s="13"/>
      <c r="HW360" s="32"/>
      <c r="HX360" s="55"/>
      <c r="HY360" s="55"/>
      <c r="HZ360" s="55"/>
      <c r="IA360" s="55"/>
      <c r="IB360" s="55"/>
      <c r="IC360" s="55"/>
      <c r="ID360" s="55"/>
      <c r="IE360" s="55"/>
      <c r="IF360" s="107">
        <v>68350</v>
      </c>
      <c r="IG360" s="107"/>
      <c r="IH360" s="250">
        <f t="shared" si="156"/>
        <v>0</v>
      </c>
      <c r="II360" s="55"/>
      <c r="IJ360" s="55"/>
      <c r="IK360" s="55"/>
      <c r="IL360" s="55"/>
      <c r="IM360" s="55"/>
      <c r="IN360" s="55"/>
      <c r="IO360" s="55"/>
      <c r="IP360" s="55"/>
      <c r="IQ360" s="55"/>
      <c r="IR360" s="55"/>
      <c r="IS360" s="55"/>
      <c r="IT360" s="55"/>
      <c r="IU360" s="55"/>
      <c r="IV360" s="55"/>
      <c r="IW360" s="55"/>
      <c r="IX360" s="55"/>
      <c r="IY360" s="55"/>
      <c r="IZ360" s="55"/>
      <c r="JA360" s="55"/>
      <c r="JB360" s="55"/>
      <c r="JC360" s="55"/>
      <c r="JD360" s="55"/>
    </row>
    <row r="361" spans="1:264" s="5" customFormat="1" ht="41.25" hidden="1" customHeight="1">
      <c r="A361" s="26" t="s">
        <v>175</v>
      </c>
      <c r="B361" s="26" t="s">
        <v>313</v>
      </c>
      <c r="C361" s="13" t="s">
        <v>358</v>
      </c>
      <c r="D361" s="13" t="s">
        <v>379</v>
      </c>
      <c r="E361" s="16" t="s">
        <v>359</v>
      </c>
      <c r="F361" s="13" t="s">
        <v>359</v>
      </c>
      <c r="G361" s="39" t="s">
        <v>354</v>
      </c>
      <c r="H361" s="13" t="s">
        <v>1552</v>
      </c>
      <c r="I361" s="313" t="s">
        <v>1365</v>
      </c>
      <c r="J361" s="40">
        <v>16</v>
      </c>
      <c r="K361" s="49" t="s">
        <v>375</v>
      </c>
      <c r="L361" s="314" t="s">
        <v>327</v>
      </c>
      <c r="M361" s="20" t="s">
        <v>1365</v>
      </c>
      <c r="N361" s="20"/>
      <c r="O361" s="13" t="s">
        <v>3</v>
      </c>
      <c r="P361" s="13" t="s">
        <v>4</v>
      </c>
      <c r="Q361" s="22" t="s">
        <v>2094</v>
      </c>
      <c r="R361" s="22"/>
      <c r="S361" s="13"/>
      <c r="T361" s="13"/>
      <c r="U361" s="13"/>
      <c r="V361" s="13"/>
      <c r="W361" s="13" t="s">
        <v>570</v>
      </c>
      <c r="X361" s="13" t="s">
        <v>570</v>
      </c>
      <c r="Y361" s="13"/>
      <c r="Z361" s="13"/>
      <c r="AA361" s="29"/>
      <c r="AB361" s="29"/>
      <c r="AC361" s="29">
        <v>0</v>
      </c>
      <c r="AD361" s="29"/>
      <c r="AE361" s="29">
        <v>0</v>
      </c>
      <c r="AF361" s="29">
        <f t="shared" si="158"/>
        <v>0</v>
      </c>
      <c r="AG361" s="25">
        <v>0.12</v>
      </c>
      <c r="AH361" s="29">
        <f t="shared" si="153"/>
        <v>0</v>
      </c>
      <c r="AI361" s="29">
        <f t="shared" si="154"/>
        <v>0</v>
      </c>
      <c r="AJ361" s="29">
        <f t="shared" si="155"/>
        <v>0</v>
      </c>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f t="shared" si="159"/>
        <v>0</v>
      </c>
      <c r="BH361" s="29"/>
      <c r="BI361" s="29" t="s">
        <v>570</v>
      </c>
      <c r="BJ361" s="23" t="s">
        <v>570</v>
      </c>
      <c r="BK361" s="29" t="s">
        <v>570</v>
      </c>
      <c r="BL361" s="29" t="s">
        <v>570</v>
      </c>
      <c r="BM361" s="29" t="s">
        <v>570</v>
      </c>
      <c r="BN361" s="23">
        <v>42765</v>
      </c>
      <c r="BO361" s="23">
        <v>42779</v>
      </c>
      <c r="BP361" s="23">
        <v>42786</v>
      </c>
      <c r="BQ361" s="23">
        <v>42797</v>
      </c>
      <c r="BR361" s="13"/>
      <c r="BS361" s="23">
        <v>42807</v>
      </c>
      <c r="BT361" s="23">
        <v>42814</v>
      </c>
      <c r="BU361" s="13" t="s">
        <v>570</v>
      </c>
      <c r="BV361" s="13" t="s">
        <v>570</v>
      </c>
      <c r="BW361" s="224" t="s">
        <v>570</v>
      </c>
      <c r="BX361" s="224" t="s">
        <v>570</v>
      </c>
      <c r="BY361" s="23">
        <v>42781</v>
      </c>
      <c r="BZ361" s="224" t="s">
        <v>570</v>
      </c>
      <c r="CA361" s="224" t="s">
        <v>570</v>
      </c>
      <c r="CB361" s="224" t="s">
        <v>570</v>
      </c>
      <c r="CC361" s="224" t="s">
        <v>570</v>
      </c>
      <c r="CD361" s="224" t="s">
        <v>570</v>
      </c>
      <c r="CE361" s="13"/>
      <c r="CF361" s="13"/>
      <c r="CG361" s="13"/>
      <c r="CH361" s="13"/>
      <c r="CI361" s="13"/>
      <c r="CJ361" s="13"/>
      <c r="CK361" s="13"/>
      <c r="CL361" s="13"/>
      <c r="CM361" s="13"/>
      <c r="CN361" s="13"/>
      <c r="CO361" s="13"/>
      <c r="CP361" s="13"/>
      <c r="CQ361" s="13"/>
      <c r="CR361" s="13"/>
      <c r="CS361" s="29" t="s">
        <v>570</v>
      </c>
      <c r="CT361" s="29" t="s">
        <v>570</v>
      </c>
      <c r="CU361" s="29" t="s">
        <v>570</v>
      </c>
      <c r="CV361" s="23"/>
      <c r="CW361" s="13"/>
      <c r="CX361" s="13"/>
      <c r="CY361" s="13"/>
      <c r="CZ361" s="13"/>
      <c r="DA361" s="13"/>
      <c r="DB361" s="2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92">
        <f t="shared" si="152"/>
        <v>0</v>
      </c>
      <c r="DZ361" s="13"/>
      <c r="EA361" s="13"/>
      <c r="EB361" s="13"/>
      <c r="EC361" s="13"/>
      <c r="ED361" s="13"/>
      <c r="EE361" s="13"/>
      <c r="EF361" s="13"/>
      <c r="EG361" s="13"/>
      <c r="EH361" s="13"/>
      <c r="EI361" s="13"/>
      <c r="EJ361" s="13"/>
      <c r="EK361" s="13"/>
      <c r="EL361" s="13"/>
      <c r="EM361" s="13"/>
      <c r="EN361" s="13"/>
      <c r="EO361" s="13"/>
      <c r="EP361" s="13"/>
      <c r="EQ361" s="13"/>
      <c r="ER361" s="13"/>
      <c r="ES361" s="13"/>
      <c r="ET361" s="13"/>
      <c r="EU361" s="13"/>
      <c r="EV361" s="13"/>
      <c r="EW361" s="13"/>
      <c r="EX361" s="13"/>
      <c r="EY361" s="13"/>
      <c r="EZ361" s="13"/>
      <c r="FA361" s="13"/>
      <c r="FB361" s="13"/>
      <c r="FC361" s="13"/>
      <c r="FD361" s="13"/>
      <c r="FE361" s="13"/>
      <c r="FF361" s="13"/>
      <c r="FG361" s="13"/>
      <c r="FH361" s="13"/>
      <c r="FI361" s="13"/>
      <c r="FJ361" s="13"/>
      <c r="FK361" s="13"/>
      <c r="FL361" s="13"/>
      <c r="FM361" s="13"/>
      <c r="FN361" s="13"/>
      <c r="FO361" s="13"/>
      <c r="FP361" s="13"/>
      <c r="FQ361" s="13"/>
      <c r="FR361" s="13"/>
      <c r="FS361" s="13"/>
      <c r="FT361" s="13"/>
      <c r="FU361" s="13"/>
      <c r="FV361" s="25">
        <v>0</v>
      </c>
      <c r="FW361" s="25">
        <v>0</v>
      </c>
      <c r="FX361" s="25">
        <v>0</v>
      </c>
      <c r="FY361" s="25">
        <v>0</v>
      </c>
      <c r="FZ361" s="25">
        <v>0</v>
      </c>
      <c r="GA361" s="25">
        <v>0</v>
      </c>
      <c r="GB361" s="25">
        <v>0</v>
      </c>
      <c r="GC361" s="25">
        <v>0</v>
      </c>
      <c r="GD361" s="25">
        <v>0</v>
      </c>
      <c r="GE361" s="25">
        <v>0</v>
      </c>
      <c r="GF361" s="25">
        <v>0</v>
      </c>
      <c r="GG361" s="25">
        <v>0</v>
      </c>
      <c r="GH361" s="25">
        <v>0</v>
      </c>
      <c r="GI361" s="25">
        <v>0</v>
      </c>
      <c r="GJ361" s="25">
        <v>0</v>
      </c>
      <c r="GK361" s="25">
        <v>0</v>
      </c>
      <c r="GL361" s="25">
        <v>0</v>
      </c>
      <c r="GM361" s="25">
        <v>0</v>
      </c>
      <c r="GN361" s="25">
        <v>0</v>
      </c>
      <c r="GO361" s="25">
        <v>0</v>
      </c>
      <c r="GP361" s="25">
        <v>0</v>
      </c>
      <c r="GQ361" s="25">
        <v>0</v>
      </c>
      <c r="GR361" s="25">
        <v>0</v>
      </c>
      <c r="GS361" s="25">
        <v>0</v>
      </c>
      <c r="GT361" s="25">
        <v>0</v>
      </c>
      <c r="GU361" s="25">
        <v>0</v>
      </c>
      <c r="GV361" s="25" t="s">
        <v>1588</v>
      </c>
      <c r="GW361" s="25" t="s">
        <v>1588</v>
      </c>
      <c r="GX361" s="25" t="s">
        <v>1588</v>
      </c>
      <c r="GY361" s="25" t="s">
        <v>1588</v>
      </c>
      <c r="GZ361" s="25" t="s">
        <v>1588</v>
      </c>
      <c r="HA361" s="25" t="s">
        <v>1588</v>
      </c>
      <c r="HB361" s="25" t="s">
        <v>1588</v>
      </c>
      <c r="HC361" s="25" t="s">
        <v>1588</v>
      </c>
      <c r="HD361" s="25" t="s">
        <v>1588</v>
      </c>
      <c r="HE361" s="25" t="s">
        <v>1588</v>
      </c>
      <c r="HF361" s="25" t="s">
        <v>1588</v>
      </c>
      <c r="HG361" s="25" t="s">
        <v>1588</v>
      </c>
      <c r="HH361" s="25" t="s">
        <v>1588</v>
      </c>
      <c r="HI361" s="25"/>
      <c r="HJ361" s="25"/>
      <c r="HK361" s="25"/>
      <c r="HL361" s="25"/>
      <c r="HM361" s="25"/>
      <c r="HN361" s="25"/>
      <c r="HO361" s="25" t="s">
        <v>1876</v>
      </c>
      <c r="HP361" s="25"/>
      <c r="HQ361" s="25"/>
      <c r="HR361" s="25"/>
      <c r="HS361" s="25"/>
      <c r="HT361" s="25"/>
      <c r="HU361" s="13"/>
      <c r="HV361" s="13"/>
      <c r="HW361" s="32"/>
      <c r="HX361" s="55"/>
      <c r="HY361" s="55"/>
      <c r="HZ361" s="55"/>
      <c r="IA361" s="55"/>
      <c r="IB361" s="55"/>
      <c r="IC361" s="55"/>
      <c r="ID361" s="55"/>
      <c r="IE361" s="55"/>
      <c r="IF361" s="107">
        <v>100000</v>
      </c>
      <c r="IG361" s="107"/>
      <c r="IH361" s="250">
        <f t="shared" si="156"/>
        <v>0</v>
      </c>
      <c r="II361" s="55"/>
      <c r="IJ361" s="55"/>
      <c r="IK361" s="55"/>
      <c r="IL361" s="55"/>
      <c r="IM361" s="55"/>
      <c r="IN361" s="55"/>
      <c r="IO361" s="55"/>
      <c r="IP361" s="55"/>
      <c r="IQ361" s="55"/>
      <c r="IR361" s="55"/>
      <c r="IS361" s="55"/>
      <c r="IT361" s="55"/>
      <c r="IU361" s="55"/>
      <c r="IV361" s="55"/>
      <c r="IW361" s="55"/>
      <c r="IX361" s="55"/>
      <c r="IY361" s="55"/>
      <c r="IZ361" s="55"/>
      <c r="JA361" s="55"/>
      <c r="JB361" s="55"/>
      <c r="JC361" s="55"/>
      <c r="JD361" s="55"/>
    </row>
    <row r="362" spans="1:264" s="17" customFormat="1" ht="41.25" hidden="1" customHeight="1">
      <c r="A362" s="26" t="s">
        <v>175</v>
      </c>
      <c r="B362" s="26" t="s">
        <v>313</v>
      </c>
      <c r="C362" s="13" t="s">
        <v>358</v>
      </c>
      <c r="D362" s="13" t="s">
        <v>379</v>
      </c>
      <c r="E362" s="16" t="s">
        <v>359</v>
      </c>
      <c r="F362" s="13" t="s">
        <v>359</v>
      </c>
      <c r="G362" s="39" t="s">
        <v>354</v>
      </c>
      <c r="H362" s="13" t="s">
        <v>1552</v>
      </c>
      <c r="I362" s="313" t="s">
        <v>1365</v>
      </c>
      <c r="J362" s="40">
        <v>16</v>
      </c>
      <c r="K362" s="49" t="s">
        <v>375</v>
      </c>
      <c r="L362" s="314" t="s">
        <v>2096</v>
      </c>
      <c r="M362" s="20" t="s">
        <v>1365</v>
      </c>
      <c r="N362" s="20"/>
      <c r="O362" s="13" t="s">
        <v>3</v>
      </c>
      <c r="P362" s="13" t="s">
        <v>4</v>
      </c>
      <c r="Q362" s="22" t="s">
        <v>547</v>
      </c>
      <c r="R362" s="22"/>
      <c r="S362" s="13"/>
      <c r="T362" s="13"/>
      <c r="U362" s="13"/>
      <c r="V362" s="13"/>
      <c r="W362" s="13" t="s">
        <v>570</v>
      </c>
      <c r="X362" s="13" t="s">
        <v>570</v>
      </c>
      <c r="Y362" s="13"/>
      <c r="Z362" s="13"/>
      <c r="AA362" s="29"/>
      <c r="AB362" s="29">
        <v>100000</v>
      </c>
      <c r="AC362" s="29">
        <v>0</v>
      </c>
      <c r="AD362" s="29">
        <v>100000</v>
      </c>
      <c r="AE362" s="29">
        <v>0</v>
      </c>
      <c r="AF362" s="29">
        <f t="shared" ref="AF362" si="160">AD362+AE362</f>
        <v>100000</v>
      </c>
      <c r="AG362" s="25">
        <v>0.12</v>
      </c>
      <c r="AH362" s="29">
        <f t="shared" ref="AH362" si="161">AD362*0.12</f>
        <v>12000</v>
      </c>
      <c r="AI362" s="29">
        <f t="shared" ref="AI362" si="162">AE362*0.12</f>
        <v>0</v>
      </c>
      <c r="AJ362" s="29">
        <f t="shared" ref="AJ362" si="163">AF362*1.12</f>
        <v>112000.00000000001</v>
      </c>
      <c r="AK362" s="29"/>
      <c r="AL362" s="29"/>
      <c r="AM362" s="29"/>
      <c r="AN362" s="29"/>
      <c r="AO362" s="29">
        <v>100000</v>
      </c>
      <c r="AP362" s="29"/>
      <c r="AQ362" s="29"/>
      <c r="AR362" s="29"/>
      <c r="AS362" s="29"/>
      <c r="AT362" s="29"/>
      <c r="AU362" s="29"/>
      <c r="AV362" s="29"/>
      <c r="AW362" s="29"/>
      <c r="AX362" s="29"/>
      <c r="AY362" s="29"/>
      <c r="AZ362" s="29"/>
      <c r="BA362" s="29"/>
      <c r="BB362" s="29"/>
      <c r="BC362" s="29"/>
      <c r="BD362" s="29"/>
      <c r="BE362" s="29"/>
      <c r="BF362" s="29"/>
      <c r="BG362" s="29">
        <f t="shared" ref="BG362" si="164">BF362-AW362-AZ362-BC362-BE362</f>
        <v>0</v>
      </c>
      <c r="BH362" s="29"/>
      <c r="BI362" s="29"/>
      <c r="BJ362" s="23"/>
      <c r="BK362" s="29"/>
      <c r="BL362" s="29"/>
      <c r="BM362" s="29"/>
      <c r="BN362" s="23"/>
      <c r="BO362" s="23"/>
      <c r="BP362" s="23"/>
      <c r="BQ362" s="23"/>
      <c r="BR362" s="13"/>
      <c r="BS362" s="23"/>
      <c r="BT362" s="23"/>
      <c r="BU362" s="13"/>
      <c r="BV362" s="13"/>
      <c r="BW362" s="224"/>
      <c r="BX362" s="224"/>
      <c r="BY362" s="23"/>
      <c r="BZ362" s="224"/>
      <c r="CA362" s="224"/>
      <c r="CB362" s="224"/>
      <c r="CC362" s="224"/>
      <c r="CD362" s="224"/>
      <c r="CE362" s="13"/>
      <c r="CF362" s="13"/>
      <c r="CG362" s="13"/>
      <c r="CH362" s="13"/>
      <c r="CI362" s="13"/>
      <c r="CJ362" s="13"/>
      <c r="CK362" s="13"/>
      <c r="CL362" s="13"/>
      <c r="CM362" s="13"/>
      <c r="CN362" s="13"/>
      <c r="CO362" s="13"/>
      <c r="CP362" s="13"/>
      <c r="CQ362" s="13"/>
      <c r="CR362" s="13"/>
      <c r="CS362" s="29"/>
      <c r="CT362" s="29"/>
      <c r="CU362" s="29"/>
      <c r="CV362" s="23"/>
      <c r="CW362" s="13"/>
      <c r="CX362" s="13"/>
      <c r="CY362" s="13"/>
      <c r="CZ362" s="13"/>
      <c r="DA362" s="13"/>
      <c r="DB362" s="2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92"/>
      <c r="DZ362" s="13"/>
      <c r="EA362" s="13"/>
      <c r="EB362" s="13"/>
      <c r="EC362" s="13"/>
      <c r="ED362" s="13"/>
      <c r="EE362" s="13"/>
      <c r="EF362" s="13"/>
      <c r="EG362" s="13"/>
      <c r="EH362" s="13"/>
      <c r="EI362" s="13"/>
      <c r="EJ362" s="13"/>
      <c r="EK362" s="13"/>
      <c r="EL362" s="13"/>
      <c r="EM362" s="13"/>
      <c r="EN362" s="13"/>
      <c r="EO362" s="13"/>
      <c r="EP362" s="13"/>
      <c r="EQ362" s="13"/>
      <c r="ER362" s="13"/>
      <c r="ES362" s="13"/>
      <c r="ET362" s="13"/>
      <c r="EU362" s="13"/>
      <c r="EV362" s="13"/>
      <c r="EW362" s="13"/>
      <c r="EX362" s="13"/>
      <c r="EY362" s="13"/>
      <c r="EZ362" s="13"/>
      <c r="FA362" s="13"/>
      <c r="FB362" s="13"/>
      <c r="FC362" s="13"/>
      <c r="FD362" s="13"/>
      <c r="FE362" s="307"/>
      <c r="FF362" s="307"/>
      <c r="FG362" s="307"/>
      <c r="FH362" s="307"/>
      <c r="FI362" s="307"/>
      <c r="FJ362" s="307"/>
      <c r="FK362" s="307"/>
      <c r="FL362" s="307"/>
      <c r="FM362" s="307"/>
      <c r="FN362" s="307"/>
      <c r="FO362" s="307"/>
      <c r="FP362" s="307"/>
      <c r="FQ362" s="307"/>
      <c r="FR362" s="307"/>
      <c r="FS362" s="307"/>
      <c r="FT362" s="307"/>
      <c r="FU362" s="307"/>
      <c r="FV362" s="308"/>
      <c r="FW362" s="308"/>
      <c r="FX362" s="308"/>
      <c r="FY362" s="308"/>
      <c r="FZ362" s="308"/>
      <c r="GA362" s="308"/>
      <c r="GB362" s="308"/>
      <c r="GC362" s="308"/>
      <c r="GD362" s="308"/>
      <c r="GE362" s="308"/>
      <c r="GF362" s="308"/>
      <c r="GG362" s="308"/>
      <c r="GH362" s="308"/>
      <c r="GI362" s="308"/>
      <c r="GJ362" s="308"/>
      <c r="GK362" s="308"/>
      <c r="GL362" s="308"/>
      <c r="GM362" s="308"/>
      <c r="GN362" s="308"/>
      <c r="GO362" s="308"/>
      <c r="GP362" s="308"/>
      <c r="GQ362" s="308"/>
      <c r="GR362" s="308"/>
      <c r="GS362" s="308"/>
      <c r="GT362" s="308"/>
      <c r="GU362" s="308"/>
      <c r="GV362" s="25"/>
      <c r="GW362" s="25"/>
      <c r="GX362" s="25"/>
      <c r="GY362" s="25"/>
      <c r="GZ362" s="25"/>
      <c r="HA362" s="25"/>
      <c r="HB362" s="25"/>
      <c r="HC362" s="25"/>
      <c r="HD362" s="25"/>
      <c r="HE362" s="25"/>
      <c r="HF362" s="308"/>
      <c r="HG362" s="308"/>
      <c r="HH362" s="308"/>
      <c r="HI362" s="25"/>
      <c r="HJ362" s="25"/>
      <c r="HK362" s="25"/>
      <c r="HL362" s="25"/>
      <c r="HM362" s="25"/>
      <c r="HN362" s="25"/>
      <c r="HO362" s="25"/>
      <c r="HP362" s="25"/>
      <c r="HQ362" s="25"/>
      <c r="HR362" s="308"/>
      <c r="HS362" s="308"/>
      <c r="HT362" s="308"/>
      <c r="HU362" s="307"/>
      <c r="HV362" s="307"/>
      <c r="HW362" s="309"/>
      <c r="HX362" s="310"/>
      <c r="HY362" s="310"/>
      <c r="HZ362" s="310"/>
      <c r="IA362" s="310"/>
      <c r="IB362" s="310"/>
      <c r="IC362" s="310"/>
      <c r="ID362" s="310"/>
      <c r="IE362" s="310"/>
      <c r="IF362" s="311"/>
      <c r="IG362" s="311"/>
      <c r="IH362" s="312"/>
      <c r="II362" s="310"/>
      <c r="IJ362" s="310"/>
      <c r="IK362" s="310"/>
      <c r="IL362" s="310"/>
      <c r="IM362" s="310"/>
      <c r="IN362" s="310"/>
      <c r="IO362" s="310"/>
      <c r="IP362" s="310"/>
      <c r="IQ362" s="310"/>
      <c r="IR362" s="310"/>
      <c r="IS362" s="310"/>
      <c r="IT362" s="310"/>
      <c r="IU362" s="310"/>
      <c r="IV362" s="310"/>
      <c r="IW362" s="310"/>
      <c r="IX362" s="310"/>
      <c r="IY362" s="310"/>
      <c r="IZ362" s="310"/>
      <c r="JA362" s="310"/>
      <c r="JB362" s="310"/>
      <c r="JC362" s="310"/>
      <c r="JD362" s="310"/>
    </row>
    <row r="363" spans="1:264" s="5" customFormat="1" ht="47.25" hidden="1" customHeight="1">
      <c r="A363" s="26" t="s">
        <v>175</v>
      </c>
      <c r="B363" s="26" t="s">
        <v>313</v>
      </c>
      <c r="C363" s="13" t="s">
        <v>358</v>
      </c>
      <c r="D363" s="13" t="s">
        <v>379</v>
      </c>
      <c r="E363" s="16" t="s">
        <v>359</v>
      </c>
      <c r="F363" s="13" t="s">
        <v>359</v>
      </c>
      <c r="G363" s="39" t="s">
        <v>354</v>
      </c>
      <c r="H363" s="13" t="s">
        <v>1552</v>
      </c>
      <c r="I363" s="20" t="s">
        <v>1360</v>
      </c>
      <c r="J363" s="40">
        <v>17</v>
      </c>
      <c r="K363" s="49" t="s">
        <v>375</v>
      </c>
      <c r="L363" s="314" t="s">
        <v>824</v>
      </c>
      <c r="M363" s="20" t="s">
        <v>1360</v>
      </c>
      <c r="N363" s="20"/>
      <c r="O363" s="13" t="s">
        <v>3</v>
      </c>
      <c r="P363" s="13" t="s">
        <v>4</v>
      </c>
      <c r="Q363" s="22" t="s">
        <v>547</v>
      </c>
      <c r="R363" s="22"/>
      <c r="S363" s="13"/>
      <c r="T363" s="13"/>
      <c r="U363" s="13"/>
      <c r="V363" s="13"/>
      <c r="W363" s="13" t="s">
        <v>570</v>
      </c>
      <c r="X363" s="13" t="s">
        <v>570</v>
      </c>
      <c r="Y363" s="13"/>
      <c r="Z363" s="13"/>
      <c r="AA363" s="29"/>
      <c r="AB363" s="29">
        <v>100000</v>
      </c>
      <c r="AC363" s="29">
        <v>0</v>
      </c>
      <c r="AD363" s="29">
        <v>100000</v>
      </c>
      <c r="AE363" s="29">
        <v>0</v>
      </c>
      <c r="AF363" s="29">
        <f t="shared" si="158"/>
        <v>100000</v>
      </c>
      <c r="AG363" s="25">
        <v>0.12</v>
      </c>
      <c r="AH363" s="29">
        <f t="shared" si="153"/>
        <v>12000</v>
      </c>
      <c r="AI363" s="29">
        <f t="shared" si="154"/>
        <v>0</v>
      </c>
      <c r="AJ363" s="29">
        <f t="shared" si="155"/>
        <v>112000.00000000001</v>
      </c>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f t="shared" si="159"/>
        <v>0</v>
      </c>
      <c r="BH363" s="29"/>
      <c r="BI363" s="29" t="s">
        <v>570</v>
      </c>
      <c r="BJ363" s="23" t="s">
        <v>570</v>
      </c>
      <c r="BK363" s="29" t="s">
        <v>570</v>
      </c>
      <c r="BL363" s="29" t="s">
        <v>570</v>
      </c>
      <c r="BM363" s="29" t="s">
        <v>570</v>
      </c>
      <c r="BN363" s="13"/>
      <c r="BO363" s="13"/>
      <c r="BP363" s="13"/>
      <c r="BQ363" s="13"/>
      <c r="BR363" s="104"/>
      <c r="BS363" s="13"/>
      <c r="BT363" s="13"/>
      <c r="BU363" s="13" t="s">
        <v>570</v>
      </c>
      <c r="BV363" s="13" t="s">
        <v>570</v>
      </c>
      <c r="BW363" s="224" t="s">
        <v>570</v>
      </c>
      <c r="BX363" s="13"/>
      <c r="BY363" s="13"/>
      <c r="BZ363" s="13"/>
      <c r="CA363" s="13"/>
      <c r="CB363" s="224" t="s">
        <v>570</v>
      </c>
      <c r="CC363" s="224" t="s">
        <v>570</v>
      </c>
      <c r="CD363" s="224" t="s">
        <v>570</v>
      </c>
      <c r="CE363" s="13"/>
      <c r="CF363" s="13"/>
      <c r="CG363" s="13"/>
      <c r="CH363" s="13"/>
      <c r="CI363" s="13"/>
      <c r="CJ363" s="13"/>
      <c r="CK363" s="13"/>
      <c r="CL363" s="13"/>
      <c r="CM363" s="13"/>
      <c r="CN363" s="13"/>
      <c r="CO363" s="13"/>
      <c r="CP363" s="13"/>
      <c r="CQ363" s="13"/>
      <c r="CR363" s="13"/>
      <c r="CS363" s="29" t="s">
        <v>570</v>
      </c>
      <c r="CT363" s="29" t="s">
        <v>570</v>
      </c>
      <c r="CU363" s="29" t="s">
        <v>570</v>
      </c>
      <c r="CV363" s="23"/>
      <c r="CW363" s="13"/>
      <c r="CX363" s="13"/>
      <c r="CY363" s="13"/>
      <c r="CZ363" s="13"/>
      <c r="DA363" s="13"/>
      <c r="DB363" s="2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92">
        <f t="shared" si="152"/>
        <v>0</v>
      </c>
      <c r="DZ363" s="13"/>
      <c r="EA363" s="13"/>
      <c r="EB363" s="13"/>
      <c r="EC363" s="13"/>
      <c r="ED363" s="13"/>
      <c r="EE363" s="13"/>
      <c r="EF363" s="13"/>
      <c r="EG363" s="13"/>
      <c r="EH363" s="13"/>
      <c r="EI363" s="13"/>
      <c r="EJ363" s="13"/>
      <c r="EK363" s="13"/>
      <c r="EL363" s="13"/>
      <c r="EM363" s="13"/>
      <c r="EN363" s="13"/>
      <c r="EO363" s="13"/>
      <c r="EP363" s="13"/>
      <c r="EQ363" s="13"/>
      <c r="ER363" s="13"/>
      <c r="ES363" s="13"/>
      <c r="ET363" s="13"/>
      <c r="EU363" s="13"/>
      <c r="EV363" s="13"/>
      <c r="EW363" s="13"/>
      <c r="EX363" s="13"/>
      <c r="EY363" s="13"/>
      <c r="EZ363" s="13"/>
      <c r="FA363" s="13"/>
      <c r="FB363" s="13"/>
      <c r="FC363" s="13"/>
      <c r="FD363" s="13"/>
      <c r="FE363" s="13"/>
      <c r="FF363" s="13"/>
      <c r="FG363" s="13"/>
      <c r="FH363" s="13"/>
      <c r="FI363" s="13"/>
      <c r="FJ363" s="13"/>
      <c r="FK363" s="13"/>
      <c r="FL363" s="13"/>
      <c r="FM363" s="13"/>
      <c r="FN363" s="13"/>
      <c r="FO363" s="13"/>
      <c r="FP363" s="13"/>
      <c r="FQ363" s="13"/>
      <c r="FR363" s="13"/>
      <c r="FS363" s="13"/>
      <c r="FT363" s="13"/>
      <c r="FU363" s="13"/>
      <c r="FV363" s="25">
        <v>0</v>
      </c>
      <c r="FW363" s="25">
        <v>0</v>
      </c>
      <c r="FX363" s="25">
        <v>0</v>
      </c>
      <c r="FY363" s="25">
        <v>0</v>
      </c>
      <c r="FZ363" s="25">
        <v>0</v>
      </c>
      <c r="GA363" s="25">
        <v>0</v>
      </c>
      <c r="GB363" s="25">
        <v>0</v>
      </c>
      <c r="GC363" s="25">
        <v>0</v>
      </c>
      <c r="GD363" s="25">
        <v>0</v>
      </c>
      <c r="GE363" s="25">
        <v>0</v>
      </c>
      <c r="GF363" s="25">
        <v>0</v>
      </c>
      <c r="GG363" s="25">
        <v>0</v>
      </c>
      <c r="GH363" s="25">
        <v>0</v>
      </c>
      <c r="GI363" s="25">
        <v>0</v>
      </c>
      <c r="GJ363" s="25">
        <v>0</v>
      </c>
      <c r="GK363" s="25">
        <v>0</v>
      </c>
      <c r="GL363" s="25">
        <v>0</v>
      </c>
      <c r="GM363" s="25">
        <v>0</v>
      </c>
      <c r="GN363" s="25">
        <v>0</v>
      </c>
      <c r="GO363" s="25">
        <v>0</v>
      </c>
      <c r="GP363" s="25">
        <v>0</v>
      </c>
      <c r="GQ363" s="25">
        <v>0</v>
      </c>
      <c r="GR363" s="25">
        <v>0</v>
      </c>
      <c r="GS363" s="25">
        <v>0</v>
      </c>
      <c r="GT363" s="25">
        <v>0</v>
      </c>
      <c r="GU363" s="25">
        <v>0</v>
      </c>
      <c r="GV363" s="25" t="s">
        <v>1588</v>
      </c>
      <c r="GW363" s="25" t="s">
        <v>1588</v>
      </c>
      <c r="GX363" s="25" t="s">
        <v>1588</v>
      </c>
      <c r="GY363" s="25" t="s">
        <v>1588</v>
      </c>
      <c r="GZ363" s="25" t="s">
        <v>1588</v>
      </c>
      <c r="HA363" s="25" t="s">
        <v>1588</v>
      </c>
      <c r="HB363" s="25" t="s">
        <v>1588</v>
      </c>
      <c r="HC363" s="25" t="s">
        <v>1588</v>
      </c>
      <c r="HD363" s="25" t="s">
        <v>1588</v>
      </c>
      <c r="HE363" s="25" t="s">
        <v>1588</v>
      </c>
      <c r="HF363" s="25" t="s">
        <v>1588</v>
      </c>
      <c r="HG363" s="25" t="s">
        <v>1588</v>
      </c>
      <c r="HH363" s="25" t="s">
        <v>1588</v>
      </c>
      <c r="HI363" s="25"/>
      <c r="HJ363" s="25"/>
      <c r="HK363" s="25"/>
      <c r="HL363" s="25"/>
      <c r="HM363" s="25"/>
      <c r="HN363" s="25"/>
      <c r="HO363" s="25" t="s">
        <v>1877</v>
      </c>
      <c r="HP363" s="25"/>
      <c r="HQ363" s="25"/>
      <c r="HR363" s="25"/>
      <c r="HS363" s="25"/>
      <c r="HT363" s="25"/>
      <c r="HU363" s="104" t="s">
        <v>826</v>
      </c>
      <c r="HV363" s="104"/>
      <c r="HW363" s="32"/>
      <c r="HX363" s="55"/>
      <c r="HY363" s="55"/>
      <c r="HZ363" s="55"/>
      <c r="IA363" s="55"/>
      <c r="IB363" s="55"/>
      <c r="IC363" s="55"/>
      <c r="ID363" s="55"/>
      <c r="IE363" s="55"/>
      <c r="IF363" s="107">
        <v>100000</v>
      </c>
      <c r="IG363" s="107"/>
      <c r="IH363" s="250">
        <f t="shared" si="156"/>
        <v>0</v>
      </c>
      <c r="II363" s="55"/>
      <c r="IJ363" s="55"/>
      <c r="IK363" s="55"/>
      <c r="IL363" s="55"/>
      <c r="IM363" s="55"/>
      <c r="IN363" s="55"/>
      <c r="IO363" s="55"/>
      <c r="IP363" s="55"/>
      <c r="IQ363" s="55"/>
      <c r="IR363" s="55"/>
      <c r="IS363" s="55"/>
      <c r="IT363" s="55"/>
      <c r="IU363" s="55"/>
      <c r="IV363" s="55"/>
      <c r="IW363" s="55"/>
      <c r="IX363" s="55"/>
      <c r="IY363" s="55"/>
      <c r="IZ363" s="55"/>
      <c r="JA363" s="55"/>
      <c r="JB363" s="55"/>
      <c r="JC363" s="55"/>
      <c r="JD363" s="55"/>
    </row>
    <row r="364" spans="1:264" s="5" customFormat="1" ht="24.95" hidden="1" customHeight="1">
      <c r="A364" s="26" t="s">
        <v>175</v>
      </c>
      <c r="B364" s="26" t="s">
        <v>313</v>
      </c>
      <c r="C364" s="13" t="s">
        <v>358</v>
      </c>
      <c r="D364" s="13" t="s">
        <v>379</v>
      </c>
      <c r="E364" s="16" t="s">
        <v>359</v>
      </c>
      <c r="F364" s="13" t="s">
        <v>359</v>
      </c>
      <c r="G364" s="39" t="s">
        <v>354</v>
      </c>
      <c r="H364" s="13" t="s">
        <v>1552</v>
      </c>
      <c r="I364" s="313" t="s">
        <v>1366</v>
      </c>
      <c r="J364" s="40">
        <v>18</v>
      </c>
      <c r="K364" s="49" t="s">
        <v>375</v>
      </c>
      <c r="L364" s="314" t="s">
        <v>328</v>
      </c>
      <c r="M364" s="20" t="s">
        <v>1366</v>
      </c>
      <c r="N364" s="20"/>
      <c r="O364" s="13" t="s">
        <v>3</v>
      </c>
      <c r="P364" s="13" t="s">
        <v>4</v>
      </c>
      <c r="Q364" s="22" t="s">
        <v>547</v>
      </c>
      <c r="R364" s="22"/>
      <c r="S364" s="13"/>
      <c r="T364" s="13"/>
      <c r="U364" s="13"/>
      <c r="V364" s="13"/>
      <c r="W364" s="13" t="s">
        <v>570</v>
      </c>
      <c r="X364" s="13" t="s">
        <v>570</v>
      </c>
      <c r="Y364" s="13"/>
      <c r="Z364" s="13"/>
      <c r="AA364" s="29"/>
      <c r="AB364" s="29">
        <v>74000</v>
      </c>
      <c r="AC364" s="29">
        <v>0</v>
      </c>
      <c r="AD364" s="29">
        <v>74000</v>
      </c>
      <c r="AE364" s="29">
        <v>0</v>
      </c>
      <c r="AF364" s="29">
        <f t="shared" si="158"/>
        <v>74000</v>
      </c>
      <c r="AG364" s="25">
        <v>0.12</v>
      </c>
      <c r="AH364" s="29">
        <f t="shared" si="153"/>
        <v>8880</v>
      </c>
      <c r="AI364" s="29">
        <f t="shared" si="154"/>
        <v>0</v>
      </c>
      <c r="AJ364" s="29">
        <f t="shared" si="155"/>
        <v>82880.000000000015</v>
      </c>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f t="shared" si="159"/>
        <v>0</v>
      </c>
      <c r="BH364" s="29"/>
      <c r="BI364" s="29" t="s">
        <v>570</v>
      </c>
      <c r="BJ364" s="23" t="s">
        <v>570</v>
      </c>
      <c r="BK364" s="29" t="s">
        <v>570</v>
      </c>
      <c r="BL364" s="29" t="s">
        <v>570</v>
      </c>
      <c r="BM364" s="29" t="s">
        <v>570</v>
      </c>
      <c r="BN364" s="13"/>
      <c r="BO364" s="13"/>
      <c r="BP364" s="13"/>
      <c r="BQ364" s="13"/>
      <c r="BR364" s="13"/>
      <c r="BS364" s="13"/>
      <c r="BT364" s="13"/>
      <c r="BU364" s="13" t="s">
        <v>570</v>
      </c>
      <c r="BV364" s="13" t="s">
        <v>570</v>
      </c>
      <c r="BW364" s="224" t="s">
        <v>570</v>
      </c>
      <c r="BX364" s="13"/>
      <c r="BY364" s="13"/>
      <c r="BZ364" s="13"/>
      <c r="CA364" s="13"/>
      <c r="CB364" s="224" t="s">
        <v>570</v>
      </c>
      <c r="CC364" s="224" t="s">
        <v>570</v>
      </c>
      <c r="CD364" s="224" t="s">
        <v>570</v>
      </c>
      <c r="CE364" s="13"/>
      <c r="CF364" s="13"/>
      <c r="CG364" s="13"/>
      <c r="CH364" s="13"/>
      <c r="CI364" s="13"/>
      <c r="CJ364" s="13"/>
      <c r="CK364" s="13"/>
      <c r="CL364" s="13"/>
      <c r="CM364" s="13"/>
      <c r="CN364" s="13"/>
      <c r="CO364" s="13"/>
      <c r="CP364" s="13"/>
      <c r="CQ364" s="13"/>
      <c r="CR364" s="13"/>
      <c r="CS364" s="29" t="s">
        <v>570</v>
      </c>
      <c r="CT364" s="29" t="s">
        <v>570</v>
      </c>
      <c r="CU364" s="29" t="s">
        <v>570</v>
      </c>
      <c r="CV364" s="23"/>
      <c r="CW364" s="13"/>
      <c r="CX364" s="13"/>
      <c r="CY364" s="13"/>
      <c r="CZ364" s="13"/>
      <c r="DA364" s="13"/>
      <c r="DB364" s="2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92">
        <f t="shared" si="152"/>
        <v>0</v>
      </c>
      <c r="DZ364" s="13"/>
      <c r="EA364" s="13"/>
      <c r="EB364" s="13"/>
      <c r="EC364" s="13"/>
      <c r="ED364" s="13"/>
      <c r="EE364" s="13"/>
      <c r="EF364" s="13"/>
      <c r="EG364" s="13"/>
      <c r="EH364" s="13"/>
      <c r="EI364" s="13"/>
      <c r="EJ364" s="13"/>
      <c r="EK364" s="13"/>
      <c r="EL364" s="13"/>
      <c r="EM364" s="13"/>
      <c r="EN364" s="13"/>
      <c r="EO364" s="13"/>
      <c r="EP364" s="13"/>
      <c r="EQ364" s="13"/>
      <c r="ER364" s="13"/>
      <c r="ES364" s="13"/>
      <c r="ET364" s="13"/>
      <c r="EU364" s="13"/>
      <c r="EV364" s="13"/>
      <c r="EW364" s="13"/>
      <c r="EX364" s="13"/>
      <c r="EY364" s="13"/>
      <c r="EZ364" s="13"/>
      <c r="FA364" s="13"/>
      <c r="FB364" s="13"/>
      <c r="FC364" s="13"/>
      <c r="FD364" s="13"/>
      <c r="FE364" s="13"/>
      <c r="FF364" s="13"/>
      <c r="FG364" s="13"/>
      <c r="FH364" s="13"/>
      <c r="FI364" s="13"/>
      <c r="FJ364" s="13"/>
      <c r="FK364" s="13"/>
      <c r="FL364" s="13"/>
      <c r="FM364" s="13"/>
      <c r="FN364" s="13"/>
      <c r="FO364" s="13"/>
      <c r="FP364" s="13"/>
      <c r="FQ364" s="13"/>
      <c r="FR364" s="13"/>
      <c r="FS364" s="13"/>
      <c r="FT364" s="13"/>
      <c r="FU364" s="13"/>
      <c r="FV364" s="25">
        <v>0</v>
      </c>
      <c r="FW364" s="25">
        <v>0</v>
      </c>
      <c r="FX364" s="25">
        <v>0</v>
      </c>
      <c r="FY364" s="25">
        <v>0</v>
      </c>
      <c r="FZ364" s="25">
        <v>0</v>
      </c>
      <c r="GA364" s="25">
        <v>0</v>
      </c>
      <c r="GB364" s="25">
        <v>0</v>
      </c>
      <c r="GC364" s="25">
        <v>0</v>
      </c>
      <c r="GD364" s="25">
        <v>0</v>
      </c>
      <c r="GE364" s="25">
        <v>0</v>
      </c>
      <c r="GF364" s="25">
        <v>0</v>
      </c>
      <c r="GG364" s="25">
        <v>0</v>
      </c>
      <c r="GH364" s="25">
        <v>0</v>
      </c>
      <c r="GI364" s="25">
        <v>0</v>
      </c>
      <c r="GJ364" s="25">
        <v>0</v>
      </c>
      <c r="GK364" s="25">
        <v>0</v>
      </c>
      <c r="GL364" s="25">
        <v>0</v>
      </c>
      <c r="GM364" s="25">
        <v>0</v>
      </c>
      <c r="GN364" s="25">
        <v>0</v>
      </c>
      <c r="GO364" s="25">
        <v>0</v>
      </c>
      <c r="GP364" s="25">
        <v>0</v>
      </c>
      <c r="GQ364" s="25">
        <v>0</v>
      </c>
      <c r="GR364" s="25">
        <v>0</v>
      </c>
      <c r="GS364" s="25">
        <v>0</v>
      </c>
      <c r="GT364" s="25">
        <v>0</v>
      </c>
      <c r="GU364" s="25">
        <v>0</v>
      </c>
      <c r="GV364" s="25" t="s">
        <v>1588</v>
      </c>
      <c r="GW364" s="25" t="s">
        <v>1588</v>
      </c>
      <c r="GX364" s="25" t="s">
        <v>1588</v>
      </c>
      <c r="GY364" s="25" t="s">
        <v>1588</v>
      </c>
      <c r="GZ364" s="25" t="s">
        <v>1588</v>
      </c>
      <c r="HA364" s="25" t="s">
        <v>1588</v>
      </c>
      <c r="HB364" s="25" t="s">
        <v>1588</v>
      </c>
      <c r="HC364" s="25" t="s">
        <v>1588</v>
      </c>
      <c r="HD364" s="25" t="s">
        <v>1588</v>
      </c>
      <c r="HE364" s="25" t="s">
        <v>1588</v>
      </c>
      <c r="HF364" s="25" t="s">
        <v>1588</v>
      </c>
      <c r="HG364" s="25" t="s">
        <v>1588</v>
      </c>
      <c r="HH364" s="25" t="s">
        <v>1588</v>
      </c>
      <c r="HI364" s="25"/>
      <c r="HJ364" s="25"/>
      <c r="HK364" s="25"/>
      <c r="HL364" s="25"/>
      <c r="HM364" s="25"/>
      <c r="HN364" s="25"/>
      <c r="HO364" s="25" t="s">
        <v>1880</v>
      </c>
      <c r="HP364" s="25"/>
      <c r="HQ364" s="25"/>
      <c r="HR364" s="25"/>
      <c r="HS364" s="25"/>
      <c r="HT364" s="25"/>
      <c r="HU364" s="13"/>
      <c r="HV364" s="13"/>
      <c r="HW364" s="32"/>
      <c r="HX364" s="55"/>
      <c r="HY364" s="55"/>
      <c r="HZ364" s="55"/>
      <c r="IA364" s="55"/>
      <c r="IB364" s="55"/>
      <c r="IC364" s="55"/>
      <c r="ID364" s="55"/>
      <c r="IE364" s="55"/>
      <c r="IF364" s="107">
        <v>74000</v>
      </c>
      <c r="IG364" s="107"/>
      <c r="IH364" s="250">
        <f t="shared" si="156"/>
        <v>0</v>
      </c>
      <c r="II364" s="55"/>
      <c r="IJ364" s="55"/>
      <c r="IK364" s="55"/>
      <c r="IL364" s="55"/>
      <c r="IM364" s="55"/>
      <c r="IN364" s="55"/>
      <c r="IO364" s="55"/>
      <c r="IP364" s="55"/>
      <c r="IQ364" s="55"/>
      <c r="IR364" s="55"/>
      <c r="IS364" s="55"/>
      <c r="IT364" s="55"/>
      <c r="IU364" s="55"/>
      <c r="IV364" s="55"/>
      <c r="IW364" s="55"/>
      <c r="IX364" s="55"/>
      <c r="IY364" s="55"/>
      <c r="IZ364" s="55"/>
      <c r="JA364" s="55"/>
      <c r="JB364" s="55"/>
      <c r="JC364" s="55"/>
      <c r="JD364" s="55"/>
    </row>
    <row r="365" spans="1:264" s="5" customFormat="1" ht="43.5" hidden="1" customHeight="1">
      <c r="A365" s="26" t="s">
        <v>175</v>
      </c>
      <c r="B365" s="26" t="s">
        <v>313</v>
      </c>
      <c r="C365" s="13" t="s">
        <v>358</v>
      </c>
      <c r="D365" s="13" t="s">
        <v>379</v>
      </c>
      <c r="E365" s="16" t="s">
        <v>359</v>
      </c>
      <c r="F365" s="13" t="s">
        <v>359</v>
      </c>
      <c r="G365" s="39" t="s">
        <v>354</v>
      </c>
      <c r="H365" s="13" t="s">
        <v>1552</v>
      </c>
      <c r="I365" s="20" t="s">
        <v>1361</v>
      </c>
      <c r="J365" s="40">
        <v>19</v>
      </c>
      <c r="K365" s="49" t="s">
        <v>375</v>
      </c>
      <c r="L365" s="314" t="s">
        <v>369</v>
      </c>
      <c r="M365" s="20" t="s">
        <v>1361</v>
      </c>
      <c r="N365" s="20"/>
      <c r="O365" s="13" t="s">
        <v>3</v>
      </c>
      <c r="P365" s="13" t="s">
        <v>4</v>
      </c>
      <c r="Q365" s="22" t="s">
        <v>547</v>
      </c>
      <c r="R365" s="22"/>
      <c r="S365" s="13"/>
      <c r="T365" s="13"/>
      <c r="U365" s="13"/>
      <c r="V365" s="13"/>
      <c r="W365" s="13" t="s">
        <v>570</v>
      </c>
      <c r="X365" s="13" t="s">
        <v>570</v>
      </c>
      <c r="Y365" s="13"/>
      <c r="Z365" s="13"/>
      <c r="AA365" s="29"/>
      <c r="AB365" s="29">
        <v>100000</v>
      </c>
      <c r="AC365" s="29">
        <v>0</v>
      </c>
      <c r="AD365" s="29">
        <v>100000</v>
      </c>
      <c r="AE365" s="29">
        <v>0</v>
      </c>
      <c r="AF365" s="29">
        <f t="shared" si="158"/>
        <v>100000</v>
      </c>
      <c r="AG365" s="25">
        <v>0.12</v>
      </c>
      <c r="AH365" s="29">
        <f t="shared" si="153"/>
        <v>12000</v>
      </c>
      <c r="AI365" s="29">
        <f t="shared" si="154"/>
        <v>0</v>
      </c>
      <c r="AJ365" s="29">
        <f t="shared" si="155"/>
        <v>112000.00000000001</v>
      </c>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f t="shared" si="159"/>
        <v>0</v>
      </c>
      <c r="BH365" s="29"/>
      <c r="BI365" s="29" t="s">
        <v>570</v>
      </c>
      <c r="BJ365" s="23" t="s">
        <v>570</v>
      </c>
      <c r="BK365" s="29" t="s">
        <v>570</v>
      </c>
      <c r="BL365" s="29" t="s">
        <v>570</v>
      </c>
      <c r="BM365" s="29" t="s">
        <v>570</v>
      </c>
      <c r="BN365" s="13"/>
      <c r="BO365" s="13"/>
      <c r="BP365" s="13"/>
      <c r="BQ365" s="13"/>
      <c r="BR365" s="13"/>
      <c r="BS365" s="13"/>
      <c r="BT365" s="13"/>
      <c r="BU365" s="13" t="s">
        <v>570</v>
      </c>
      <c r="BV365" s="13" t="s">
        <v>570</v>
      </c>
      <c r="BW365" s="224" t="s">
        <v>570</v>
      </c>
      <c r="BX365" s="13"/>
      <c r="BY365" s="13"/>
      <c r="BZ365" s="13"/>
      <c r="CA365" s="13"/>
      <c r="CB365" s="224" t="s">
        <v>570</v>
      </c>
      <c r="CC365" s="224" t="s">
        <v>570</v>
      </c>
      <c r="CD365" s="224" t="s">
        <v>570</v>
      </c>
      <c r="CE365" s="13"/>
      <c r="CF365" s="13"/>
      <c r="CG365" s="13"/>
      <c r="CH365" s="13"/>
      <c r="CI365" s="13"/>
      <c r="CJ365" s="13"/>
      <c r="CK365" s="13"/>
      <c r="CL365" s="13"/>
      <c r="CM365" s="13"/>
      <c r="CN365" s="13"/>
      <c r="CO365" s="13"/>
      <c r="CP365" s="13"/>
      <c r="CQ365" s="13"/>
      <c r="CR365" s="13"/>
      <c r="CS365" s="29" t="s">
        <v>570</v>
      </c>
      <c r="CT365" s="29" t="s">
        <v>570</v>
      </c>
      <c r="CU365" s="29" t="s">
        <v>570</v>
      </c>
      <c r="CV365" s="2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92">
        <f t="shared" si="152"/>
        <v>0</v>
      </c>
      <c r="DZ365" s="13"/>
      <c r="EA365" s="13"/>
      <c r="EB365" s="13"/>
      <c r="EC365" s="13"/>
      <c r="ED365" s="13"/>
      <c r="EE365" s="13"/>
      <c r="EF365" s="13"/>
      <c r="EG365" s="13"/>
      <c r="EH365" s="13"/>
      <c r="EI365" s="13"/>
      <c r="EJ365" s="13"/>
      <c r="EK365" s="13"/>
      <c r="EL365" s="13"/>
      <c r="EM365" s="13"/>
      <c r="EN365" s="13"/>
      <c r="EO365" s="13"/>
      <c r="EP365" s="13"/>
      <c r="EQ365" s="13"/>
      <c r="ER365" s="13"/>
      <c r="ES365" s="13"/>
      <c r="ET365" s="13"/>
      <c r="EU365" s="13"/>
      <c r="EV365" s="13"/>
      <c r="EW365" s="13"/>
      <c r="EX365" s="13"/>
      <c r="EY365" s="13"/>
      <c r="EZ365" s="13"/>
      <c r="FA365" s="13"/>
      <c r="FB365" s="13"/>
      <c r="FC365" s="13"/>
      <c r="FD365" s="13"/>
      <c r="FE365" s="13"/>
      <c r="FF365" s="13"/>
      <c r="FG365" s="13"/>
      <c r="FH365" s="13"/>
      <c r="FI365" s="13"/>
      <c r="FJ365" s="13"/>
      <c r="FK365" s="13"/>
      <c r="FL365" s="13"/>
      <c r="FM365" s="13"/>
      <c r="FN365" s="13"/>
      <c r="FO365" s="13"/>
      <c r="FP365" s="13"/>
      <c r="FQ365" s="13"/>
      <c r="FR365" s="13"/>
      <c r="FS365" s="13"/>
      <c r="FT365" s="13"/>
      <c r="FU365" s="13"/>
      <c r="FV365" s="25">
        <v>0</v>
      </c>
      <c r="FW365" s="25">
        <v>0</v>
      </c>
      <c r="FX365" s="25">
        <v>0</v>
      </c>
      <c r="FY365" s="25">
        <v>0</v>
      </c>
      <c r="FZ365" s="25">
        <v>0</v>
      </c>
      <c r="GA365" s="25">
        <v>0</v>
      </c>
      <c r="GB365" s="25">
        <v>0</v>
      </c>
      <c r="GC365" s="25">
        <v>0</v>
      </c>
      <c r="GD365" s="25">
        <v>0</v>
      </c>
      <c r="GE365" s="25">
        <v>0</v>
      </c>
      <c r="GF365" s="25">
        <v>0</v>
      </c>
      <c r="GG365" s="25">
        <v>0</v>
      </c>
      <c r="GH365" s="25">
        <v>0</v>
      </c>
      <c r="GI365" s="25">
        <v>0</v>
      </c>
      <c r="GJ365" s="25">
        <v>0</v>
      </c>
      <c r="GK365" s="25">
        <v>0</v>
      </c>
      <c r="GL365" s="25">
        <v>0</v>
      </c>
      <c r="GM365" s="25">
        <v>0</v>
      </c>
      <c r="GN365" s="25">
        <v>0</v>
      </c>
      <c r="GO365" s="25">
        <v>0</v>
      </c>
      <c r="GP365" s="25">
        <v>0</v>
      </c>
      <c r="GQ365" s="25">
        <v>0</v>
      </c>
      <c r="GR365" s="25">
        <v>0</v>
      </c>
      <c r="GS365" s="25">
        <v>0</v>
      </c>
      <c r="GT365" s="25">
        <v>0</v>
      </c>
      <c r="GU365" s="25">
        <v>0</v>
      </c>
      <c r="GV365" s="25" t="s">
        <v>1588</v>
      </c>
      <c r="GW365" s="25" t="s">
        <v>1588</v>
      </c>
      <c r="GX365" s="25" t="s">
        <v>1588</v>
      </c>
      <c r="GY365" s="25" t="s">
        <v>1588</v>
      </c>
      <c r="GZ365" s="25" t="s">
        <v>1588</v>
      </c>
      <c r="HA365" s="25" t="s">
        <v>1588</v>
      </c>
      <c r="HB365" s="25" t="s">
        <v>1588</v>
      </c>
      <c r="HC365" s="25" t="s">
        <v>1588</v>
      </c>
      <c r="HD365" s="25" t="s">
        <v>1588</v>
      </c>
      <c r="HE365" s="25" t="s">
        <v>1588</v>
      </c>
      <c r="HF365" s="25" t="s">
        <v>1588</v>
      </c>
      <c r="HG365" s="25" t="s">
        <v>1588</v>
      </c>
      <c r="HH365" s="25" t="s">
        <v>1588</v>
      </c>
      <c r="HI365" s="25"/>
      <c r="HJ365" s="25"/>
      <c r="HK365" s="25"/>
      <c r="HL365" s="25"/>
      <c r="HM365" s="25"/>
      <c r="HN365" s="25"/>
      <c r="HO365" s="25" t="s">
        <v>1877</v>
      </c>
      <c r="HP365" s="25"/>
      <c r="HQ365" s="25"/>
      <c r="HR365" s="25"/>
      <c r="HS365" s="25"/>
      <c r="HT365" s="25"/>
      <c r="HU365" s="13"/>
      <c r="HV365" s="13"/>
      <c r="HW365" s="32"/>
      <c r="HX365" s="55"/>
      <c r="HY365" s="55"/>
      <c r="HZ365" s="55"/>
      <c r="IA365" s="55"/>
      <c r="IB365" s="55"/>
      <c r="IC365" s="55"/>
      <c r="ID365" s="55"/>
      <c r="IE365" s="55"/>
      <c r="IF365" s="107">
        <v>100000</v>
      </c>
      <c r="IG365" s="107"/>
      <c r="IH365" s="250">
        <f t="shared" si="156"/>
        <v>0</v>
      </c>
      <c r="II365" s="55"/>
      <c r="IJ365" s="55"/>
      <c r="IK365" s="55"/>
      <c r="IL365" s="55"/>
      <c r="IM365" s="55"/>
      <c r="IN365" s="55"/>
      <c r="IO365" s="55"/>
      <c r="IP365" s="55"/>
      <c r="IQ365" s="55"/>
      <c r="IR365" s="55"/>
      <c r="IS365" s="55"/>
      <c r="IT365" s="55"/>
      <c r="IU365" s="55"/>
      <c r="IV365" s="55"/>
      <c r="IW365" s="55"/>
      <c r="IX365" s="55"/>
      <c r="IY365" s="55"/>
      <c r="IZ365" s="55"/>
      <c r="JA365" s="55"/>
      <c r="JB365" s="55"/>
      <c r="JC365" s="55"/>
      <c r="JD365" s="55"/>
    </row>
    <row r="366" spans="1:264" s="5" customFormat="1" ht="33" hidden="1" customHeight="1">
      <c r="A366" s="26" t="s">
        <v>175</v>
      </c>
      <c r="B366" s="26" t="s">
        <v>313</v>
      </c>
      <c r="C366" s="13" t="s">
        <v>358</v>
      </c>
      <c r="D366" s="13" t="s">
        <v>379</v>
      </c>
      <c r="E366" s="16" t="s">
        <v>359</v>
      </c>
      <c r="F366" s="13" t="s">
        <v>359</v>
      </c>
      <c r="G366" s="39" t="s">
        <v>354</v>
      </c>
      <c r="H366" s="13" t="s">
        <v>1552</v>
      </c>
      <c r="I366" s="313" t="s">
        <v>1368</v>
      </c>
      <c r="J366" s="40">
        <v>20</v>
      </c>
      <c r="K366" s="49" t="s">
        <v>375</v>
      </c>
      <c r="L366" s="314" t="s">
        <v>370</v>
      </c>
      <c r="M366" s="20" t="s">
        <v>1368</v>
      </c>
      <c r="N366" s="20"/>
      <c r="O366" s="13" t="s">
        <v>3</v>
      </c>
      <c r="P366" s="13" t="s">
        <v>4</v>
      </c>
      <c r="Q366" s="22" t="s">
        <v>547</v>
      </c>
      <c r="R366" s="22"/>
      <c r="S366" s="13"/>
      <c r="T366" s="13"/>
      <c r="U366" s="13"/>
      <c r="V366" s="13"/>
      <c r="W366" s="13" t="s">
        <v>570</v>
      </c>
      <c r="X366" s="13" t="s">
        <v>570</v>
      </c>
      <c r="Y366" s="13"/>
      <c r="Z366" s="13"/>
      <c r="AA366" s="29"/>
      <c r="AB366" s="29">
        <v>50000</v>
      </c>
      <c r="AC366" s="29">
        <v>0</v>
      </c>
      <c r="AD366" s="29">
        <v>50000</v>
      </c>
      <c r="AE366" s="29">
        <v>0</v>
      </c>
      <c r="AF366" s="29">
        <f t="shared" si="158"/>
        <v>50000</v>
      </c>
      <c r="AG366" s="25">
        <v>0.12</v>
      </c>
      <c r="AH366" s="29">
        <f t="shared" si="153"/>
        <v>6000</v>
      </c>
      <c r="AI366" s="29">
        <f t="shared" si="154"/>
        <v>0</v>
      </c>
      <c r="AJ366" s="29">
        <f t="shared" si="155"/>
        <v>56000.000000000007</v>
      </c>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f t="shared" si="159"/>
        <v>0</v>
      </c>
      <c r="BH366" s="29"/>
      <c r="BI366" s="29" t="s">
        <v>570</v>
      </c>
      <c r="BJ366" s="23" t="s">
        <v>570</v>
      </c>
      <c r="BK366" s="29" t="s">
        <v>570</v>
      </c>
      <c r="BL366" s="29" t="s">
        <v>570</v>
      </c>
      <c r="BM366" s="29" t="s">
        <v>570</v>
      </c>
      <c r="BN366" s="13"/>
      <c r="BO366" s="13"/>
      <c r="BP366" s="13"/>
      <c r="BQ366" s="13"/>
      <c r="BR366" s="13"/>
      <c r="BS366" s="13"/>
      <c r="BT366" s="13"/>
      <c r="BU366" s="13" t="s">
        <v>570</v>
      </c>
      <c r="BV366" s="13" t="s">
        <v>570</v>
      </c>
      <c r="BW366" s="224" t="s">
        <v>570</v>
      </c>
      <c r="BX366" s="13"/>
      <c r="BY366" s="13"/>
      <c r="BZ366" s="13"/>
      <c r="CA366" s="13"/>
      <c r="CB366" s="224" t="s">
        <v>570</v>
      </c>
      <c r="CC366" s="224" t="s">
        <v>570</v>
      </c>
      <c r="CD366" s="224" t="s">
        <v>570</v>
      </c>
      <c r="CE366" s="13"/>
      <c r="CF366" s="13"/>
      <c r="CG366" s="13"/>
      <c r="CH366" s="13"/>
      <c r="CI366" s="13"/>
      <c r="CJ366" s="13"/>
      <c r="CK366" s="13"/>
      <c r="CL366" s="13"/>
      <c r="CM366" s="13"/>
      <c r="CN366" s="13"/>
      <c r="CO366" s="13"/>
      <c r="CP366" s="13"/>
      <c r="CQ366" s="13"/>
      <c r="CR366" s="13"/>
      <c r="CS366" s="29" t="s">
        <v>570</v>
      </c>
      <c r="CT366" s="29" t="s">
        <v>570</v>
      </c>
      <c r="CU366" s="29" t="s">
        <v>570</v>
      </c>
      <c r="CV366" s="2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92">
        <f t="shared" si="152"/>
        <v>0</v>
      </c>
      <c r="DZ366" s="13"/>
      <c r="EA366" s="13"/>
      <c r="EB366" s="13"/>
      <c r="EC366" s="13"/>
      <c r="ED366" s="13"/>
      <c r="EE366" s="13"/>
      <c r="EF366" s="13"/>
      <c r="EG366" s="13"/>
      <c r="EH366" s="13"/>
      <c r="EI366" s="13"/>
      <c r="EJ366" s="13"/>
      <c r="EK366" s="13"/>
      <c r="EL366" s="13"/>
      <c r="EM366" s="13"/>
      <c r="EN366" s="13"/>
      <c r="EO366" s="13"/>
      <c r="EP366" s="13"/>
      <c r="EQ366" s="13"/>
      <c r="ER366" s="13"/>
      <c r="ES366" s="13"/>
      <c r="ET366" s="13"/>
      <c r="EU366" s="13"/>
      <c r="EV366" s="13"/>
      <c r="EW366" s="13"/>
      <c r="EX366" s="13"/>
      <c r="EY366" s="13"/>
      <c r="EZ366" s="13"/>
      <c r="FA366" s="13"/>
      <c r="FB366" s="13"/>
      <c r="FC366" s="13"/>
      <c r="FD366" s="13"/>
      <c r="FE366" s="13"/>
      <c r="FF366" s="13"/>
      <c r="FG366" s="13"/>
      <c r="FH366" s="13"/>
      <c r="FI366" s="13"/>
      <c r="FJ366" s="13"/>
      <c r="FK366" s="13"/>
      <c r="FL366" s="13"/>
      <c r="FM366" s="13"/>
      <c r="FN366" s="13"/>
      <c r="FO366" s="13"/>
      <c r="FP366" s="13"/>
      <c r="FQ366" s="13"/>
      <c r="FR366" s="13"/>
      <c r="FS366" s="13"/>
      <c r="FT366" s="13"/>
      <c r="FU366" s="13"/>
      <c r="FV366" s="25">
        <v>0</v>
      </c>
      <c r="FW366" s="25">
        <v>0</v>
      </c>
      <c r="FX366" s="25">
        <v>0</v>
      </c>
      <c r="FY366" s="25">
        <v>0</v>
      </c>
      <c r="FZ366" s="25">
        <v>0</v>
      </c>
      <c r="GA366" s="25">
        <v>0</v>
      </c>
      <c r="GB366" s="25">
        <v>0</v>
      </c>
      <c r="GC366" s="25">
        <v>0</v>
      </c>
      <c r="GD366" s="25">
        <v>0</v>
      </c>
      <c r="GE366" s="25">
        <v>0</v>
      </c>
      <c r="GF366" s="25">
        <v>0</v>
      </c>
      <c r="GG366" s="25">
        <v>0</v>
      </c>
      <c r="GH366" s="25">
        <v>0</v>
      </c>
      <c r="GI366" s="25">
        <v>0</v>
      </c>
      <c r="GJ366" s="25">
        <v>0</v>
      </c>
      <c r="GK366" s="25">
        <v>0</v>
      </c>
      <c r="GL366" s="25">
        <v>0</v>
      </c>
      <c r="GM366" s="25">
        <v>0</v>
      </c>
      <c r="GN366" s="25">
        <v>0</v>
      </c>
      <c r="GO366" s="25">
        <v>0</v>
      </c>
      <c r="GP366" s="25">
        <v>0</v>
      </c>
      <c r="GQ366" s="25">
        <v>0</v>
      </c>
      <c r="GR366" s="25">
        <v>0</v>
      </c>
      <c r="GS366" s="25">
        <v>0</v>
      </c>
      <c r="GT366" s="25">
        <v>0</v>
      </c>
      <c r="GU366" s="25">
        <v>0</v>
      </c>
      <c r="GV366" s="25" t="s">
        <v>1588</v>
      </c>
      <c r="GW366" s="25" t="s">
        <v>1588</v>
      </c>
      <c r="GX366" s="25" t="s">
        <v>1588</v>
      </c>
      <c r="GY366" s="25" t="s">
        <v>1588</v>
      </c>
      <c r="GZ366" s="25" t="s">
        <v>1588</v>
      </c>
      <c r="HA366" s="25" t="s">
        <v>1588</v>
      </c>
      <c r="HB366" s="25" t="s">
        <v>1588</v>
      </c>
      <c r="HC366" s="25" t="s">
        <v>1588</v>
      </c>
      <c r="HD366" s="25" t="s">
        <v>1588</v>
      </c>
      <c r="HE366" s="25" t="s">
        <v>1588</v>
      </c>
      <c r="HF366" s="25" t="s">
        <v>1588</v>
      </c>
      <c r="HG366" s="25" t="s">
        <v>1588</v>
      </c>
      <c r="HH366" s="25" t="s">
        <v>1588</v>
      </c>
      <c r="HI366" s="25"/>
      <c r="HJ366" s="25"/>
      <c r="HK366" s="25"/>
      <c r="HL366" s="25"/>
      <c r="HM366" s="25"/>
      <c r="HN366" s="25"/>
      <c r="HO366" s="25" t="s">
        <v>1876</v>
      </c>
      <c r="HP366" s="25"/>
      <c r="HQ366" s="25"/>
      <c r="HR366" s="25"/>
      <c r="HS366" s="25" t="s">
        <v>2077</v>
      </c>
      <c r="HT366" s="25" t="s">
        <v>2077</v>
      </c>
      <c r="HU366" s="13"/>
      <c r="HV366" s="13"/>
      <c r="HW366" s="32"/>
      <c r="HX366" s="55"/>
      <c r="HY366" s="55"/>
      <c r="HZ366" s="55"/>
      <c r="IA366" s="55"/>
      <c r="IB366" s="55"/>
      <c r="IC366" s="55"/>
      <c r="ID366" s="55"/>
      <c r="IE366" s="55"/>
      <c r="IF366" s="107">
        <v>50000</v>
      </c>
      <c r="IG366" s="107"/>
      <c r="IH366" s="250">
        <f t="shared" si="156"/>
        <v>0</v>
      </c>
      <c r="II366" s="55"/>
      <c r="IJ366" s="55"/>
      <c r="IK366" s="55"/>
      <c r="IL366" s="55"/>
      <c r="IM366" s="55"/>
      <c r="IN366" s="55"/>
      <c r="IO366" s="55"/>
      <c r="IP366" s="55"/>
      <c r="IQ366" s="55"/>
      <c r="IR366" s="55"/>
      <c r="IS366" s="55"/>
      <c r="IT366" s="55"/>
      <c r="IU366" s="55"/>
      <c r="IV366" s="55"/>
      <c r="IW366" s="55"/>
      <c r="IX366" s="55"/>
      <c r="IY366" s="55"/>
      <c r="IZ366" s="55"/>
      <c r="JA366" s="55"/>
      <c r="JB366" s="55"/>
      <c r="JC366" s="55"/>
      <c r="JD366" s="55"/>
    </row>
    <row r="367" spans="1:264" s="5" customFormat="1" ht="24.95" hidden="1" customHeight="1">
      <c r="A367" s="26" t="s">
        <v>175</v>
      </c>
      <c r="B367" s="26" t="s">
        <v>313</v>
      </c>
      <c r="C367" s="13" t="s">
        <v>358</v>
      </c>
      <c r="D367" s="13" t="s">
        <v>379</v>
      </c>
      <c r="E367" s="16" t="s">
        <v>359</v>
      </c>
      <c r="F367" s="13" t="s">
        <v>359</v>
      </c>
      <c r="G367" s="39" t="s">
        <v>354</v>
      </c>
      <c r="H367" s="13" t="s">
        <v>1552</v>
      </c>
      <c r="I367" s="313" t="s">
        <v>1367</v>
      </c>
      <c r="J367" s="40">
        <v>21</v>
      </c>
      <c r="K367" s="49" t="s">
        <v>375</v>
      </c>
      <c r="L367" s="314" t="s">
        <v>376</v>
      </c>
      <c r="M367" s="20" t="s">
        <v>1367</v>
      </c>
      <c r="N367" s="20"/>
      <c r="O367" s="13" t="s">
        <v>3</v>
      </c>
      <c r="P367" s="13" t="s">
        <v>4</v>
      </c>
      <c r="Q367" s="22" t="s">
        <v>2094</v>
      </c>
      <c r="R367" s="22"/>
      <c r="S367" s="13"/>
      <c r="T367" s="13"/>
      <c r="U367" s="13"/>
      <c r="V367" s="13"/>
      <c r="W367" s="13" t="s">
        <v>570</v>
      </c>
      <c r="X367" s="13" t="s">
        <v>570</v>
      </c>
      <c r="Y367" s="13"/>
      <c r="Z367" s="13"/>
      <c r="AA367" s="29"/>
      <c r="AB367" s="29"/>
      <c r="AC367" s="29">
        <v>0</v>
      </c>
      <c r="AD367" s="29"/>
      <c r="AE367" s="29">
        <v>0</v>
      </c>
      <c r="AF367" s="29">
        <f t="shared" si="158"/>
        <v>0</v>
      </c>
      <c r="AG367" s="25">
        <v>0.12</v>
      </c>
      <c r="AH367" s="29">
        <f t="shared" si="153"/>
        <v>0</v>
      </c>
      <c r="AI367" s="29">
        <f t="shared" si="154"/>
        <v>0</v>
      </c>
      <c r="AJ367" s="29">
        <f t="shared" si="155"/>
        <v>0</v>
      </c>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f t="shared" si="159"/>
        <v>0</v>
      </c>
      <c r="BH367" s="29"/>
      <c r="BI367" s="29" t="s">
        <v>570</v>
      </c>
      <c r="BJ367" s="23" t="s">
        <v>570</v>
      </c>
      <c r="BK367" s="29" t="s">
        <v>570</v>
      </c>
      <c r="BL367" s="29" t="s">
        <v>570</v>
      </c>
      <c r="BM367" s="29" t="s">
        <v>570</v>
      </c>
      <c r="BN367" s="13"/>
      <c r="BO367" s="13"/>
      <c r="BP367" s="13"/>
      <c r="BQ367" s="13"/>
      <c r="BR367" s="13"/>
      <c r="BS367" s="13"/>
      <c r="BT367" s="13"/>
      <c r="BU367" s="13" t="s">
        <v>570</v>
      </c>
      <c r="BV367" s="13" t="s">
        <v>570</v>
      </c>
      <c r="BW367" s="224" t="s">
        <v>570</v>
      </c>
      <c r="BX367" s="13"/>
      <c r="BY367" s="13"/>
      <c r="BZ367" s="13"/>
      <c r="CA367" s="13"/>
      <c r="CB367" s="224" t="s">
        <v>570</v>
      </c>
      <c r="CC367" s="224" t="s">
        <v>570</v>
      </c>
      <c r="CD367" s="224" t="s">
        <v>570</v>
      </c>
      <c r="CE367" s="13"/>
      <c r="CF367" s="13"/>
      <c r="CG367" s="13"/>
      <c r="CH367" s="13"/>
      <c r="CI367" s="13"/>
      <c r="CJ367" s="13"/>
      <c r="CK367" s="13"/>
      <c r="CL367" s="13"/>
      <c r="CM367" s="13"/>
      <c r="CN367" s="13"/>
      <c r="CO367" s="13"/>
      <c r="CP367" s="13"/>
      <c r="CQ367" s="13"/>
      <c r="CR367" s="13"/>
      <c r="CS367" s="29" t="s">
        <v>570</v>
      </c>
      <c r="CT367" s="29" t="s">
        <v>570</v>
      </c>
      <c r="CU367" s="29" t="s">
        <v>570</v>
      </c>
      <c r="CV367" s="2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92">
        <f t="shared" si="152"/>
        <v>0</v>
      </c>
      <c r="DZ367" s="13"/>
      <c r="EA367" s="13"/>
      <c r="EB367" s="13"/>
      <c r="EC367" s="13"/>
      <c r="ED367" s="13"/>
      <c r="EE367" s="13"/>
      <c r="EF367" s="13"/>
      <c r="EG367" s="13"/>
      <c r="EH367" s="13"/>
      <c r="EI367" s="13"/>
      <c r="EJ367" s="13"/>
      <c r="EK367" s="13"/>
      <c r="EL367" s="13"/>
      <c r="EM367" s="13"/>
      <c r="EN367" s="13"/>
      <c r="EO367" s="13"/>
      <c r="EP367" s="13"/>
      <c r="EQ367" s="13"/>
      <c r="ER367" s="13"/>
      <c r="ES367" s="13"/>
      <c r="ET367" s="13"/>
      <c r="EU367" s="13"/>
      <c r="EV367" s="13"/>
      <c r="EW367" s="13"/>
      <c r="EX367" s="13"/>
      <c r="EY367" s="13"/>
      <c r="EZ367" s="13"/>
      <c r="FA367" s="13"/>
      <c r="FB367" s="13"/>
      <c r="FC367" s="13"/>
      <c r="FD367" s="13"/>
      <c r="FE367" s="13"/>
      <c r="FF367" s="13"/>
      <c r="FG367" s="13"/>
      <c r="FH367" s="13"/>
      <c r="FI367" s="13"/>
      <c r="FJ367" s="13"/>
      <c r="FK367" s="13"/>
      <c r="FL367" s="13"/>
      <c r="FM367" s="13"/>
      <c r="FN367" s="13"/>
      <c r="FO367" s="13"/>
      <c r="FP367" s="13"/>
      <c r="FQ367" s="13"/>
      <c r="FR367" s="13"/>
      <c r="FS367" s="13"/>
      <c r="FT367" s="13"/>
      <c r="FU367" s="13"/>
      <c r="FV367" s="25">
        <v>0</v>
      </c>
      <c r="FW367" s="25">
        <v>0</v>
      </c>
      <c r="FX367" s="25">
        <v>0</v>
      </c>
      <c r="FY367" s="25">
        <v>0</v>
      </c>
      <c r="FZ367" s="25">
        <v>0</v>
      </c>
      <c r="GA367" s="25">
        <v>0</v>
      </c>
      <c r="GB367" s="25">
        <v>0</v>
      </c>
      <c r="GC367" s="25">
        <v>0</v>
      </c>
      <c r="GD367" s="25">
        <v>0</v>
      </c>
      <c r="GE367" s="25">
        <v>0</v>
      </c>
      <c r="GF367" s="25">
        <v>0</v>
      </c>
      <c r="GG367" s="25">
        <v>0</v>
      </c>
      <c r="GH367" s="25">
        <v>0</v>
      </c>
      <c r="GI367" s="25">
        <v>0</v>
      </c>
      <c r="GJ367" s="25">
        <v>0</v>
      </c>
      <c r="GK367" s="25">
        <v>0</v>
      </c>
      <c r="GL367" s="25">
        <v>0</v>
      </c>
      <c r="GM367" s="25">
        <v>0</v>
      </c>
      <c r="GN367" s="25">
        <v>0</v>
      </c>
      <c r="GO367" s="25">
        <v>0</v>
      </c>
      <c r="GP367" s="25">
        <v>0</v>
      </c>
      <c r="GQ367" s="25">
        <v>0</v>
      </c>
      <c r="GR367" s="25">
        <v>0</v>
      </c>
      <c r="GS367" s="25">
        <v>0</v>
      </c>
      <c r="GT367" s="25">
        <v>0</v>
      </c>
      <c r="GU367" s="25">
        <v>0</v>
      </c>
      <c r="GV367" s="25" t="s">
        <v>1588</v>
      </c>
      <c r="GW367" s="25" t="s">
        <v>1588</v>
      </c>
      <c r="GX367" s="25" t="s">
        <v>1588</v>
      </c>
      <c r="GY367" s="25" t="s">
        <v>1588</v>
      </c>
      <c r="GZ367" s="25" t="s">
        <v>1588</v>
      </c>
      <c r="HA367" s="25" t="s">
        <v>1588</v>
      </c>
      <c r="HB367" s="25" t="s">
        <v>1588</v>
      </c>
      <c r="HC367" s="25" t="s">
        <v>1588</v>
      </c>
      <c r="HD367" s="25" t="s">
        <v>1588</v>
      </c>
      <c r="HE367" s="25" t="s">
        <v>1588</v>
      </c>
      <c r="HF367" s="25" t="s">
        <v>1588</v>
      </c>
      <c r="HG367" s="25" t="s">
        <v>1588</v>
      </c>
      <c r="HH367" s="25" t="s">
        <v>1588</v>
      </c>
      <c r="HI367" s="25"/>
      <c r="HJ367" s="25"/>
      <c r="HK367" s="25"/>
      <c r="HL367" s="25"/>
      <c r="HM367" s="25"/>
      <c r="HN367" s="25"/>
      <c r="HO367" s="25" t="s">
        <v>1878</v>
      </c>
      <c r="HP367" s="25"/>
      <c r="HQ367" s="25"/>
      <c r="HR367" s="25"/>
      <c r="HS367" s="25"/>
      <c r="HT367" s="25"/>
      <c r="HU367" s="13" t="s">
        <v>1821</v>
      </c>
      <c r="HV367" s="13"/>
      <c r="HW367" s="32"/>
      <c r="HX367" s="55"/>
      <c r="HY367" s="55"/>
      <c r="HZ367" s="55"/>
      <c r="IA367" s="55"/>
      <c r="IB367" s="55"/>
      <c r="IC367" s="55"/>
      <c r="ID367" s="55"/>
      <c r="IE367" s="55"/>
      <c r="IF367" s="107">
        <v>268840</v>
      </c>
      <c r="IG367" s="107"/>
      <c r="IH367" s="250">
        <f t="shared" si="156"/>
        <v>0</v>
      </c>
      <c r="II367" s="55"/>
      <c r="IJ367" s="55"/>
      <c r="IK367" s="55"/>
      <c r="IL367" s="55"/>
      <c r="IM367" s="55"/>
      <c r="IN367" s="55"/>
      <c r="IO367" s="55"/>
      <c r="IP367" s="55"/>
      <c r="IQ367" s="55"/>
      <c r="IR367" s="55"/>
      <c r="IS367" s="55"/>
      <c r="IT367" s="55"/>
      <c r="IU367" s="55"/>
      <c r="IV367" s="55"/>
      <c r="IW367" s="55"/>
      <c r="IX367" s="55"/>
      <c r="IY367" s="55"/>
      <c r="IZ367" s="55"/>
      <c r="JA367" s="55"/>
      <c r="JB367" s="55"/>
      <c r="JC367" s="55"/>
      <c r="JD367" s="55"/>
    </row>
    <row r="368" spans="1:264" s="17" customFormat="1" ht="24.95" hidden="1" customHeight="1">
      <c r="A368" s="26" t="s">
        <v>175</v>
      </c>
      <c r="B368" s="26" t="s">
        <v>313</v>
      </c>
      <c r="C368" s="13" t="s">
        <v>358</v>
      </c>
      <c r="D368" s="13" t="s">
        <v>379</v>
      </c>
      <c r="E368" s="16" t="s">
        <v>359</v>
      </c>
      <c r="F368" s="13" t="s">
        <v>359</v>
      </c>
      <c r="G368" s="39" t="s">
        <v>354</v>
      </c>
      <c r="H368" s="13" t="s">
        <v>1552</v>
      </c>
      <c r="I368" s="313" t="s">
        <v>1367</v>
      </c>
      <c r="J368" s="40">
        <v>21</v>
      </c>
      <c r="K368" s="49" t="s">
        <v>375</v>
      </c>
      <c r="L368" s="314" t="s">
        <v>2095</v>
      </c>
      <c r="M368" s="20" t="s">
        <v>1367</v>
      </c>
      <c r="N368" s="20"/>
      <c r="O368" s="13" t="s">
        <v>3</v>
      </c>
      <c r="P368" s="13" t="s">
        <v>4</v>
      </c>
      <c r="Q368" s="22" t="s">
        <v>547</v>
      </c>
      <c r="R368" s="22"/>
      <c r="S368" s="13"/>
      <c r="T368" s="13"/>
      <c r="U368" s="13"/>
      <c r="V368" s="13"/>
      <c r="W368" s="13" t="s">
        <v>570</v>
      </c>
      <c r="X368" s="13" t="s">
        <v>570</v>
      </c>
      <c r="Y368" s="13"/>
      <c r="Z368" s="13"/>
      <c r="AA368" s="29"/>
      <c r="AB368" s="29">
        <v>268840</v>
      </c>
      <c r="AC368" s="29">
        <v>0</v>
      </c>
      <c r="AD368" s="29">
        <v>61724</v>
      </c>
      <c r="AE368" s="29">
        <v>0</v>
      </c>
      <c r="AF368" s="29">
        <f t="shared" ref="AF368" si="165">AD368+AE368</f>
        <v>61724</v>
      </c>
      <c r="AG368" s="25">
        <v>0.12</v>
      </c>
      <c r="AH368" s="29">
        <f t="shared" ref="AH368" si="166">AD368*0.12</f>
        <v>7406.88</v>
      </c>
      <c r="AI368" s="29">
        <f t="shared" ref="AI368" si="167">AE368*0.12</f>
        <v>0</v>
      </c>
      <c r="AJ368" s="29">
        <f t="shared" ref="AJ368" si="168">AF368*1.12</f>
        <v>69130.880000000005</v>
      </c>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f t="shared" ref="BG368" si="169">BF368-AW368-AZ368-BC368-BE368</f>
        <v>0</v>
      </c>
      <c r="BH368" s="29"/>
      <c r="BI368" s="29" t="s">
        <v>570</v>
      </c>
      <c r="BJ368" s="23" t="s">
        <v>570</v>
      </c>
      <c r="BK368" s="29" t="s">
        <v>570</v>
      </c>
      <c r="BL368" s="29" t="s">
        <v>570</v>
      </c>
      <c r="BM368" s="29" t="s">
        <v>570</v>
      </c>
      <c r="BN368" s="13"/>
      <c r="BO368" s="13"/>
      <c r="BP368" s="13"/>
      <c r="BQ368" s="13"/>
      <c r="BR368" s="13"/>
      <c r="BS368" s="13"/>
      <c r="BT368" s="13"/>
      <c r="BU368" s="13"/>
      <c r="BV368" s="13"/>
      <c r="BW368" s="224"/>
      <c r="BX368" s="13"/>
      <c r="BY368" s="13"/>
      <c r="BZ368" s="13"/>
      <c r="CA368" s="13"/>
      <c r="CB368" s="224"/>
      <c r="CC368" s="224"/>
      <c r="CD368" s="224"/>
      <c r="CE368" s="13"/>
      <c r="CF368" s="13"/>
      <c r="CG368" s="13"/>
      <c r="CH368" s="13"/>
      <c r="CI368" s="13"/>
      <c r="CJ368" s="13"/>
      <c r="CK368" s="13"/>
      <c r="CL368" s="13"/>
      <c r="CM368" s="13"/>
      <c r="CN368" s="13"/>
      <c r="CO368" s="13"/>
      <c r="CP368" s="13"/>
      <c r="CQ368" s="13"/>
      <c r="CR368" s="13"/>
      <c r="CS368" s="29"/>
      <c r="CT368" s="29"/>
      <c r="CU368" s="29"/>
      <c r="CV368" s="2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92"/>
      <c r="DZ368" s="13"/>
      <c r="EA368" s="13"/>
      <c r="EB368" s="13"/>
      <c r="EC368" s="13"/>
      <c r="ED368" s="13"/>
      <c r="EE368" s="13"/>
      <c r="EF368" s="13"/>
      <c r="EG368" s="13"/>
      <c r="EH368" s="13"/>
      <c r="EI368" s="13"/>
      <c r="EJ368" s="13"/>
      <c r="EK368" s="13"/>
      <c r="EL368" s="13"/>
      <c r="EM368" s="13"/>
      <c r="EN368" s="13"/>
      <c r="EO368" s="13"/>
      <c r="EP368" s="13"/>
      <c r="EQ368" s="13"/>
      <c r="ER368" s="13"/>
      <c r="ES368" s="13"/>
      <c r="ET368" s="13"/>
      <c r="EU368" s="13"/>
      <c r="EV368" s="13"/>
      <c r="EW368" s="13"/>
      <c r="EX368" s="13"/>
      <c r="EY368" s="13"/>
      <c r="EZ368" s="13"/>
      <c r="FA368" s="13"/>
      <c r="FB368" s="13"/>
      <c r="FC368" s="13"/>
      <c r="FD368" s="13"/>
      <c r="FE368" s="307"/>
      <c r="FF368" s="307"/>
      <c r="FG368" s="307"/>
      <c r="FH368" s="307"/>
      <c r="FI368" s="307"/>
      <c r="FJ368" s="307"/>
      <c r="FK368" s="307"/>
      <c r="FL368" s="307"/>
      <c r="FM368" s="307"/>
      <c r="FN368" s="307"/>
      <c r="FO368" s="307"/>
      <c r="FP368" s="307"/>
      <c r="FQ368" s="307"/>
      <c r="FR368" s="307"/>
      <c r="FS368" s="307"/>
      <c r="FT368" s="307"/>
      <c r="FU368" s="307"/>
      <c r="FV368" s="308"/>
      <c r="FW368" s="308"/>
      <c r="FX368" s="308"/>
      <c r="FY368" s="308"/>
      <c r="FZ368" s="308"/>
      <c r="GA368" s="308"/>
      <c r="GB368" s="308"/>
      <c r="GC368" s="308"/>
      <c r="GD368" s="308"/>
      <c r="GE368" s="308"/>
      <c r="GF368" s="308"/>
      <c r="GG368" s="308"/>
      <c r="GH368" s="308"/>
      <c r="GI368" s="308"/>
      <c r="GJ368" s="308"/>
      <c r="GK368" s="308"/>
      <c r="GL368" s="308"/>
      <c r="GM368" s="308"/>
      <c r="GN368" s="308"/>
      <c r="GO368" s="308"/>
      <c r="GP368" s="308"/>
      <c r="GQ368" s="308"/>
      <c r="GR368" s="308"/>
      <c r="GS368" s="308"/>
      <c r="GT368" s="308"/>
      <c r="GU368" s="308"/>
      <c r="GV368" s="25"/>
      <c r="GW368" s="25"/>
      <c r="GX368" s="25"/>
      <c r="GY368" s="25"/>
      <c r="GZ368" s="25"/>
      <c r="HA368" s="25"/>
      <c r="HB368" s="25"/>
      <c r="HC368" s="25"/>
      <c r="HD368" s="25"/>
      <c r="HE368" s="25"/>
      <c r="HF368" s="308"/>
      <c r="HG368" s="308"/>
      <c r="HH368" s="308"/>
      <c r="HI368" s="25"/>
      <c r="HJ368" s="25"/>
      <c r="HK368" s="25"/>
      <c r="HL368" s="25"/>
      <c r="HM368" s="25"/>
      <c r="HN368" s="25"/>
      <c r="HO368" s="25"/>
      <c r="HP368" s="25"/>
      <c r="HQ368" s="25"/>
      <c r="HR368" s="308"/>
      <c r="HS368" s="308"/>
      <c r="HT368" s="308"/>
      <c r="HU368" s="307"/>
      <c r="HV368" s="307"/>
      <c r="HW368" s="309"/>
      <c r="HX368" s="310"/>
      <c r="HY368" s="310"/>
      <c r="HZ368" s="310"/>
      <c r="IA368" s="310"/>
      <c r="IB368" s="310"/>
      <c r="IC368" s="310"/>
      <c r="ID368" s="310"/>
      <c r="IE368" s="310"/>
      <c r="IF368" s="311"/>
      <c r="IG368" s="311"/>
      <c r="IH368" s="312"/>
      <c r="II368" s="310"/>
      <c r="IJ368" s="310"/>
      <c r="IK368" s="310"/>
      <c r="IL368" s="310"/>
      <c r="IM368" s="310"/>
      <c r="IN368" s="310"/>
      <c r="IO368" s="310"/>
      <c r="IP368" s="310"/>
      <c r="IQ368" s="310"/>
      <c r="IR368" s="310"/>
      <c r="IS368" s="310"/>
      <c r="IT368" s="310"/>
      <c r="IU368" s="310"/>
      <c r="IV368" s="310"/>
      <c r="IW368" s="310"/>
      <c r="IX368" s="310"/>
      <c r="IY368" s="310"/>
      <c r="IZ368" s="310"/>
      <c r="JA368" s="310"/>
      <c r="JB368" s="310"/>
      <c r="JC368" s="310"/>
      <c r="JD368" s="310"/>
    </row>
    <row r="369" spans="1:264" s="17" customFormat="1" ht="42.75" hidden="1" customHeight="1">
      <c r="A369" s="26" t="s">
        <v>175</v>
      </c>
      <c r="B369" s="26" t="s">
        <v>313</v>
      </c>
      <c r="C369" s="13" t="s">
        <v>358</v>
      </c>
      <c r="D369" s="13" t="s">
        <v>379</v>
      </c>
      <c r="E369" s="16" t="s">
        <v>359</v>
      </c>
      <c r="F369" s="13" t="s">
        <v>359</v>
      </c>
      <c r="G369" s="39" t="s">
        <v>354</v>
      </c>
      <c r="H369" s="13" t="s">
        <v>1552</v>
      </c>
      <c r="I369" s="313" t="s">
        <v>1754</v>
      </c>
      <c r="J369" s="40">
        <v>23</v>
      </c>
      <c r="K369" s="49" t="s">
        <v>375</v>
      </c>
      <c r="L369" s="314" t="s">
        <v>1755</v>
      </c>
      <c r="M369" s="313" t="s">
        <v>1754</v>
      </c>
      <c r="N369" s="20"/>
      <c r="O369" s="13" t="s">
        <v>1666</v>
      </c>
      <c r="P369" s="13" t="s">
        <v>4</v>
      </c>
      <c r="Q369" s="22" t="s">
        <v>1118</v>
      </c>
      <c r="R369" s="22" t="s">
        <v>1764</v>
      </c>
      <c r="S369" s="13" t="s">
        <v>1758</v>
      </c>
      <c r="T369" s="13" t="s">
        <v>1756</v>
      </c>
      <c r="U369" s="13" t="s">
        <v>1757</v>
      </c>
      <c r="V369" s="13">
        <v>30663530905</v>
      </c>
      <c r="W369" s="13"/>
      <c r="X369" s="13"/>
      <c r="Y369" s="13"/>
      <c r="Z369" s="13"/>
      <c r="AA369" s="29"/>
      <c r="AB369" s="29">
        <v>1650</v>
      </c>
      <c r="AC369" s="29">
        <v>0</v>
      </c>
      <c r="AD369" s="29">
        <v>1650</v>
      </c>
      <c r="AE369" s="29">
        <v>0</v>
      </c>
      <c r="AF369" s="29">
        <f t="shared" si="158"/>
        <v>1650</v>
      </c>
      <c r="AG369" s="25">
        <v>0.12</v>
      </c>
      <c r="AH369" s="29">
        <f t="shared" si="153"/>
        <v>198</v>
      </c>
      <c r="AI369" s="29">
        <f t="shared" si="154"/>
        <v>0</v>
      </c>
      <c r="AJ369" s="29">
        <f t="shared" si="155"/>
        <v>1848.0000000000002</v>
      </c>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3"/>
      <c r="BK369" s="29"/>
      <c r="BL369" s="29"/>
      <c r="BM369" s="29"/>
      <c r="BN369" s="13"/>
      <c r="BO369" s="13"/>
      <c r="BP369" s="13"/>
      <c r="BQ369" s="13"/>
      <c r="BR369" s="13"/>
      <c r="BS369" s="13"/>
      <c r="BT369" s="13"/>
      <c r="BU369" s="13"/>
      <c r="BV369" s="13"/>
      <c r="BW369" s="224"/>
      <c r="BX369" s="13"/>
      <c r="BY369" s="13"/>
      <c r="BZ369" s="13"/>
      <c r="CA369" s="13"/>
      <c r="CB369" s="224"/>
      <c r="CC369" s="224"/>
      <c r="CD369" s="224"/>
      <c r="CE369" s="13"/>
      <c r="CF369" s="13"/>
      <c r="CG369" s="13"/>
      <c r="CH369" s="13"/>
      <c r="CI369" s="13"/>
      <c r="CJ369" s="13"/>
      <c r="CK369" s="13"/>
      <c r="CL369" s="13"/>
      <c r="CM369" s="13"/>
      <c r="CN369" s="13"/>
      <c r="CO369" s="13"/>
      <c r="CP369" s="13"/>
      <c r="CQ369" s="13"/>
      <c r="CR369" s="13"/>
      <c r="CS369" s="29"/>
      <c r="CT369" s="29"/>
      <c r="CU369" s="29"/>
      <c r="CV369" s="2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92"/>
      <c r="DZ369" s="13"/>
      <c r="EA369" s="13"/>
      <c r="EB369" s="13"/>
      <c r="EC369" s="13"/>
      <c r="ED369" s="13"/>
      <c r="EE369" s="13"/>
      <c r="EF369" s="13"/>
      <c r="EG369" s="13"/>
      <c r="EH369" s="13"/>
      <c r="EI369" s="13"/>
      <c r="EJ369" s="13"/>
      <c r="EK369" s="13"/>
      <c r="EL369" s="13"/>
      <c r="EM369" s="13"/>
      <c r="EN369" s="13"/>
      <c r="EO369" s="13"/>
      <c r="EP369" s="13"/>
      <c r="EQ369" s="13"/>
      <c r="ER369" s="13"/>
      <c r="ES369" s="13"/>
      <c r="ET369" s="13"/>
      <c r="EU369" s="13"/>
      <c r="EV369" s="13"/>
      <c r="EW369" s="13"/>
      <c r="EX369" s="13"/>
      <c r="EY369" s="13"/>
      <c r="EZ369" s="13"/>
      <c r="FA369" s="13"/>
      <c r="FB369" s="13"/>
      <c r="FC369" s="13"/>
      <c r="FD369" s="13"/>
      <c r="FE369" s="13"/>
      <c r="FF369" s="13"/>
      <c r="FG369" s="13"/>
      <c r="FH369" s="13"/>
      <c r="FI369" s="13"/>
      <c r="FJ369" s="13"/>
      <c r="FK369" s="13"/>
      <c r="FL369" s="13"/>
      <c r="FM369" s="13"/>
      <c r="FN369" s="13"/>
      <c r="FO369" s="13"/>
      <c r="FP369" s="13"/>
      <c r="FQ369" s="13"/>
      <c r="FR369" s="13"/>
      <c r="FS369" s="13"/>
      <c r="FT369" s="13"/>
      <c r="FU369" s="13"/>
      <c r="FV369" s="25"/>
      <c r="FW369" s="25"/>
      <c r="FX369" s="25"/>
      <c r="FY369" s="25"/>
      <c r="FZ369" s="25"/>
      <c r="GA369" s="25"/>
      <c r="GB369" s="25"/>
      <c r="GC369" s="25"/>
      <c r="GD369" s="25"/>
      <c r="GE369" s="25"/>
      <c r="GF369" s="25"/>
      <c r="GG369" s="25"/>
      <c r="GH369" s="25"/>
      <c r="GI369" s="25"/>
      <c r="GJ369" s="25"/>
      <c r="GK369" s="25"/>
      <c r="GL369" s="25"/>
      <c r="GM369" s="25"/>
      <c r="GN369" s="25"/>
      <c r="GO369" s="25">
        <v>1</v>
      </c>
      <c r="GP369" s="25">
        <v>1</v>
      </c>
      <c r="GQ369" s="25">
        <v>1</v>
      </c>
      <c r="GR369" s="25">
        <v>1</v>
      </c>
      <c r="GS369" s="25">
        <v>1</v>
      </c>
      <c r="GT369" s="25">
        <v>1</v>
      </c>
      <c r="GU369" s="25">
        <v>1</v>
      </c>
      <c r="GV369" s="25"/>
      <c r="GW369" s="25"/>
      <c r="GX369" s="25"/>
      <c r="GY369" s="25"/>
      <c r="GZ369" s="25"/>
      <c r="HA369" s="25"/>
      <c r="HB369" s="25" t="s">
        <v>1588</v>
      </c>
      <c r="HC369" s="25" t="s">
        <v>1588</v>
      </c>
      <c r="HD369" s="25" t="s">
        <v>1588</v>
      </c>
      <c r="HE369" s="25" t="s">
        <v>1588</v>
      </c>
      <c r="HF369" s="25" t="s">
        <v>1588</v>
      </c>
      <c r="HG369" s="25" t="s">
        <v>1588</v>
      </c>
      <c r="HH369" s="25" t="s">
        <v>1588</v>
      </c>
      <c r="HI369" s="25"/>
      <c r="HJ369" s="25"/>
      <c r="HK369" s="25"/>
      <c r="HL369" s="25"/>
      <c r="HM369" s="25"/>
      <c r="HN369" s="25"/>
      <c r="HO369" s="25" t="s">
        <v>1904</v>
      </c>
      <c r="HP369" s="25"/>
      <c r="HQ369" s="25"/>
      <c r="HR369" s="25"/>
      <c r="HS369" s="25"/>
      <c r="HT369" s="25"/>
      <c r="HU369" s="13" t="s">
        <v>1759</v>
      </c>
      <c r="HV369" s="13"/>
      <c r="HW369" s="32"/>
      <c r="HX369" s="55"/>
      <c r="HY369" s="55"/>
      <c r="HZ369" s="55"/>
      <c r="IA369" s="55"/>
      <c r="IB369" s="55"/>
      <c r="IC369" s="55"/>
      <c r="ID369" s="55"/>
      <c r="IE369" s="55"/>
      <c r="IF369" s="107">
        <v>1650</v>
      </c>
      <c r="IG369" s="107"/>
      <c r="IH369" s="250">
        <f t="shared" si="156"/>
        <v>0</v>
      </c>
      <c r="II369" s="55"/>
      <c r="IJ369" s="55"/>
      <c r="IK369" s="55"/>
      <c r="IL369" s="55"/>
      <c r="IM369" s="55"/>
      <c r="IN369" s="55"/>
      <c r="IO369" s="55"/>
      <c r="IP369" s="55"/>
      <c r="IQ369" s="55"/>
      <c r="IR369" s="55"/>
      <c r="IS369" s="55"/>
      <c r="IT369" s="55"/>
      <c r="IU369" s="55"/>
      <c r="IV369" s="55"/>
      <c r="IW369" s="55"/>
      <c r="IX369" s="55"/>
      <c r="IY369" s="55"/>
      <c r="IZ369" s="55"/>
      <c r="JA369" s="55"/>
      <c r="JB369" s="55"/>
      <c r="JC369" s="55"/>
      <c r="JD369" s="55"/>
    </row>
    <row r="370" spans="1:264" s="5" customFormat="1" ht="24.95" hidden="1" customHeight="1" thickBot="1">
      <c r="A370" s="26" t="s">
        <v>183</v>
      </c>
      <c r="B370" s="26" t="s">
        <v>313</v>
      </c>
      <c r="C370" s="13" t="s">
        <v>358</v>
      </c>
      <c r="D370" s="13" t="s">
        <v>379</v>
      </c>
      <c r="E370" s="13" t="s">
        <v>361</v>
      </c>
      <c r="F370" s="13" t="s">
        <v>361</v>
      </c>
      <c r="G370" s="39" t="s">
        <v>354</v>
      </c>
      <c r="H370" s="13" t="s">
        <v>1553</v>
      </c>
      <c r="I370" s="313" t="s">
        <v>331</v>
      </c>
      <c r="J370" s="40">
        <v>3</v>
      </c>
      <c r="K370" s="49" t="s">
        <v>375</v>
      </c>
      <c r="L370" s="314" t="s">
        <v>330</v>
      </c>
      <c r="M370" s="20" t="s">
        <v>331</v>
      </c>
      <c r="N370" s="20"/>
      <c r="O370" s="13" t="s">
        <v>3</v>
      </c>
      <c r="P370" s="13" t="s">
        <v>4</v>
      </c>
      <c r="Q370" s="22" t="s">
        <v>1118</v>
      </c>
      <c r="R370" s="314" t="s">
        <v>330</v>
      </c>
      <c r="S370" s="13" t="s">
        <v>865</v>
      </c>
      <c r="T370" s="13" t="s">
        <v>1387</v>
      </c>
      <c r="U370" s="13" t="s">
        <v>479</v>
      </c>
      <c r="V370" s="24">
        <v>1791707222001</v>
      </c>
      <c r="W370" s="13" t="s">
        <v>570</v>
      </c>
      <c r="X370" s="13" t="s">
        <v>570</v>
      </c>
      <c r="Y370" s="13"/>
      <c r="Z370" s="13"/>
      <c r="AA370" s="29"/>
      <c r="AB370" s="304">
        <v>30000</v>
      </c>
      <c r="AC370" s="29">
        <v>0</v>
      </c>
      <c r="AD370" s="29">
        <v>54000</v>
      </c>
      <c r="AE370" s="29">
        <v>0</v>
      </c>
      <c r="AF370" s="29">
        <f t="shared" si="158"/>
        <v>54000</v>
      </c>
      <c r="AG370" s="25">
        <v>0.12</v>
      </c>
      <c r="AH370" s="29">
        <f t="shared" si="153"/>
        <v>6480</v>
      </c>
      <c r="AI370" s="29">
        <f t="shared" si="154"/>
        <v>0</v>
      </c>
      <c r="AJ370" s="29">
        <f t="shared" si="155"/>
        <v>60480.000000000007</v>
      </c>
      <c r="AK370" s="126">
        <v>30000</v>
      </c>
      <c r="AL370" s="126">
        <f>AB370-AK370</f>
        <v>0</v>
      </c>
      <c r="AM370" s="126"/>
      <c r="AN370" s="29"/>
      <c r="AO370" s="29">
        <v>54000</v>
      </c>
      <c r="AP370" s="29"/>
      <c r="AQ370" s="29">
        <v>30000</v>
      </c>
      <c r="AR370" s="35">
        <v>0.14000000000000001</v>
      </c>
      <c r="AS370" s="29">
        <f>AQ370*0.14</f>
        <v>4200</v>
      </c>
      <c r="AT370" s="29">
        <f>AQ370*1.14</f>
        <v>34200</v>
      </c>
      <c r="AU370" s="29"/>
      <c r="AV370" s="29"/>
      <c r="AW370" s="29"/>
      <c r="AX370" s="29"/>
      <c r="AY370" s="29"/>
      <c r="AZ370" s="29"/>
      <c r="BA370" s="29"/>
      <c r="BB370" s="29"/>
      <c r="BC370" s="29"/>
      <c r="BD370" s="29"/>
      <c r="BE370" s="29"/>
      <c r="BF370" s="29">
        <f>AB370-AQ370</f>
        <v>0</v>
      </c>
      <c r="BG370" s="29">
        <f>BF370-AW370-AZ370-BC370-BE370</f>
        <v>0</v>
      </c>
      <c r="BH370" s="29" t="s">
        <v>764</v>
      </c>
      <c r="BI370" s="29" t="s">
        <v>570</v>
      </c>
      <c r="BJ370" s="23" t="s">
        <v>570</v>
      </c>
      <c r="BK370" s="29" t="s">
        <v>570</v>
      </c>
      <c r="BL370" s="29" t="s">
        <v>570</v>
      </c>
      <c r="BM370" s="29" t="s">
        <v>570</v>
      </c>
      <c r="BN370" s="23">
        <v>42713</v>
      </c>
      <c r="BO370" s="23">
        <v>42730</v>
      </c>
      <c r="BP370" s="23">
        <v>42741</v>
      </c>
      <c r="BQ370" s="23">
        <v>42385</v>
      </c>
      <c r="BR370" s="13" t="s">
        <v>570</v>
      </c>
      <c r="BS370" s="23">
        <v>42758</v>
      </c>
      <c r="BT370" s="23">
        <v>42762</v>
      </c>
      <c r="BU370" s="13" t="s">
        <v>570</v>
      </c>
      <c r="BV370" s="13" t="s">
        <v>570</v>
      </c>
      <c r="BW370" s="224" t="s">
        <v>570</v>
      </c>
      <c r="BX370" s="23">
        <v>42761</v>
      </c>
      <c r="BY370" s="13" t="s">
        <v>570</v>
      </c>
      <c r="BZ370" s="23">
        <v>42762</v>
      </c>
      <c r="CA370" s="23">
        <v>42810</v>
      </c>
      <c r="CB370" s="224" t="s">
        <v>570</v>
      </c>
      <c r="CC370" s="224" t="s">
        <v>570</v>
      </c>
      <c r="CD370" s="224" t="s">
        <v>570</v>
      </c>
      <c r="CE370" s="23"/>
      <c r="CF370" s="23"/>
      <c r="CG370" s="23"/>
      <c r="CH370" s="23"/>
      <c r="CI370" s="23"/>
      <c r="CJ370" s="23"/>
      <c r="CK370" s="23"/>
      <c r="CL370" s="23"/>
      <c r="CM370" s="23"/>
      <c r="CN370" s="23"/>
      <c r="CO370" s="23"/>
      <c r="CP370" s="23"/>
      <c r="CQ370" s="23"/>
      <c r="CR370" s="23"/>
      <c r="CS370" s="29" t="s">
        <v>570</v>
      </c>
      <c r="CT370" s="29" t="s">
        <v>570</v>
      </c>
      <c r="CU370" s="29" t="s">
        <v>570</v>
      </c>
      <c r="CV370" s="2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92">
        <f t="shared" si="152"/>
        <v>0</v>
      </c>
      <c r="DZ370" s="13"/>
      <c r="EA370" s="13"/>
      <c r="EB370" s="13"/>
      <c r="EC370" s="13"/>
      <c r="ED370" s="13"/>
      <c r="EE370" s="13"/>
      <c r="EF370" s="13"/>
      <c r="EG370" s="13" t="s">
        <v>766</v>
      </c>
      <c r="EH370" s="13" t="s">
        <v>765</v>
      </c>
      <c r="EI370" s="13" t="s">
        <v>766</v>
      </c>
      <c r="EJ370" s="13" t="s">
        <v>767</v>
      </c>
      <c r="EK370" s="13"/>
      <c r="EL370" s="13"/>
      <c r="EM370" s="13"/>
      <c r="EN370" s="13"/>
      <c r="EO370" s="13"/>
      <c r="EP370" s="13"/>
      <c r="EQ370" s="13"/>
      <c r="ER370" s="13"/>
      <c r="ES370" s="13"/>
      <c r="ET370" s="13"/>
      <c r="EU370" s="13"/>
      <c r="EV370" s="13"/>
      <c r="EW370" s="13"/>
      <c r="EX370" s="13"/>
      <c r="EY370" s="13"/>
      <c r="EZ370" s="13"/>
      <c r="FA370" s="13"/>
      <c r="FB370" s="13"/>
      <c r="FC370" s="13"/>
      <c r="FD370" s="13"/>
      <c r="FE370" s="13"/>
      <c r="FF370" s="13"/>
      <c r="FG370" s="13"/>
      <c r="FH370" s="25"/>
      <c r="FI370" s="25"/>
      <c r="FJ370" s="25"/>
      <c r="FK370" s="25"/>
      <c r="FL370" s="25"/>
      <c r="FM370" s="25"/>
      <c r="FN370" s="25"/>
      <c r="FO370" s="25"/>
      <c r="FP370" s="25"/>
      <c r="FQ370" s="25"/>
      <c r="FR370" s="25"/>
      <c r="FS370" s="25"/>
      <c r="FT370" s="25"/>
      <c r="FU370" s="25"/>
      <c r="FV370" s="25"/>
      <c r="FW370" s="25"/>
      <c r="FX370" s="25">
        <v>0.5</v>
      </c>
      <c r="FY370" s="25">
        <v>0.5</v>
      </c>
      <c r="FZ370" s="25">
        <v>0.5</v>
      </c>
      <c r="GA370" s="25">
        <v>0.5</v>
      </c>
      <c r="GB370" s="25">
        <v>1</v>
      </c>
      <c r="GC370" s="25">
        <v>1</v>
      </c>
      <c r="GD370" s="25">
        <v>1</v>
      </c>
      <c r="GE370" s="25">
        <v>1</v>
      </c>
      <c r="GF370" s="25">
        <v>1</v>
      </c>
      <c r="GG370" s="25">
        <v>1</v>
      </c>
      <c r="GH370" s="25">
        <v>1</v>
      </c>
      <c r="GI370" s="25">
        <v>1</v>
      </c>
      <c r="GJ370" s="25">
        <v>1</v>
      </c>
      <c r="GK370" s="25">
        <v>1</v>
      </c>
      <c r="GL370" s="25">
        <v>1</v>
      </c>
      <c r="GM370" s="25">
        <v>1</v>
      </c>
      <c r="GN370" s="25">
        <v>1</v>
      </c>
      <c r="GO370" s="25">
        <v>1</v>
      </c>
      <c r="GP370" s="25">
        <v>1</v>
      </c>
      <c r="GQ370" s="25">
        <v>1</v>
      </c>
      <c r="GR370" s="25">
        <v>1</v>
      </c>
      <c r="GS370" s="25">
        <v>1</v>
      </c>
      <c r="GT370" s="25">
        <v>1</v>
      </c>
      <c r="GU370" s="25">
        <v>1</v>
      </c>
      <c r="GV370" s="25" t="s">
        <v>452</v>
      </c>
      <c r="GW370" s="25" t="s">
        <v>452</v>
      </c>
      <c r="GX370" s="25" t="s">
        <v>452</v>
      </c>
      <c r="GY370" s="25" t="s">
        <v>452</v>
      </c>
      <c r="GZ370" s="25" t="s">
        <v>452</v>
      </c>
      <c r="HA370" s="25" t="s">
        <v>452</v>
      </c>
      <c r="HB370" s="25" t="s">
        <v>452</v>
      </c>
      <c r="HC370" s="25" t="s">
        <v>452</v>
      </c>
      <c r="HD370" s="25" t="s">
        <v>452</v>
      </c>
      <c r="HE370" s="25" t="s">
        <v>452</v>
      </c>
      <c r="HF370" s="25" t="s">
        <v>452</v>
      </c>
      <c r="HG370" s="25" t="s">
        <v>452</v>
      </c>
      <c r="HH370" s="25" t="s">
        <v>452</v>
      </c>
      <c r="HI370" s="25"/>
      <c r="HJ370" s="25"/>
      <c r="HK370" s="25"/>
      <c r="HL370" s="25"/>
      <c r="HM370" s="25"/>
      <c r="HN370" s="25"/>
      <c r="HO370" s="25"/>
      <c r="HP370" s="25"/>
      <c r="HQ370" s="25"/>
      <c r="HR370" s="25"/>
      <c r="HS370" s="25"/>
      <c r="HT370" s="25"/>
      <c r="HU370" s="13" t="s">
        <v>882</v>
      </c>
      <c r="HV370" s="13"/>
      <c r="HW370" s="32"/>
      <c r="HX370" s="23">
        <v>42564</v>
      </c>
      <c r="HY370" s="55"/>
      <c r="HZ370" s="55"/>
      <c r="IA370" s="55"/>
      <c r="IB370" s="55"/>
      <c r="IC370" s="55"/>
      <c r="ID370" s="55"/>
      <c r="IE370" s="55"/>
      <c r="IF370" s="107">
        <v>30000</v>
      </c>
      <c r="IG370" s="107">
        <v>30000</v>
      </c>
      <c r="IH370" s="250">
        <f t="shared" si="156"/>
        <v>0</v>
      </c>
      <c r="II370" s="55"/>
      <c r="IJ370" s="55"/>
      <c r="IK370" s="55"/>
      <c r="IL370" s="55"/>
      <c r="IM370" s="55"/>
      <c r="IN370" s="55"/>
      <c r="IO370" s="55"/>
      <c r="IP370" s="55"/>
      <c r="IQ370" s="55"/>
      <c r="IR370" s="55"/>
      <c r="IS370" s="55"/>
      <c r="IT370" s="55"/>
      <c r="IU370" s="55"/>
      <c r="IV370" s="55"/>
      <c r="IW370" s="55"/>
      <c r="IX370" s="55"/>
      <c r="IY370" s="55"/>
      <c r="IZ370" s="55"/>
      <c r="JA370" s="55"/>
      <c r="JB370" s="55"/>
      <c r="JC370" s="55"/>
      <c r="JD370" s="55">
        <v>2017</v>
      </c>
    </row>
    <row r="371" spans="1:264" s="5" customFormat="1" ht="24.95" hidden="1" customHeight="1" thickBot="1">
      <c r="A371" s="115"/>
      <c r="B371" s="115"/>
      <c r="C371" s="115"/>
      <c r="D371" s="115"/>
      <c r="E371" s="115"/>
      <c r="F371" s="115"/>
      <c r="G371" s="115"/>
      <c r="H371" s="115"/>
      <c r="I371" s="115"/>
      <c r="J371" s="115"/>
      <c r="K371" s="115"/>
      <c r="L371" s="115"/>
      <c r="M371" s="211"/>
      <c r="N371" s="211"/>
      <c r="O371" s="115"/>
      <c r="P371" s="115"/>
      <c r="Q371" s="115"/>
      <c r="R371" s="115"/>
      <c r="S371" s="115"/>
      <c r="T371" s="115"/>
      <c r="U371" s="115"/>
      <c r="V371" s="115"/>
      <c r="W371" s="115"/>
      <c r="X371" s="115"/>
      <c r="Y371" s="115"/>
      <c r="Z371" s="115"/>
      <c r="AA371" s="115"/>
      <c r="AB371" s="306">
        <f>SUM(AB2:AB370)</f>
        <v>79999999.999999896</v>
      </c>
      <c r="AC371" s="305"/>
      <c r="AD371" s="212">
        <f>SUM(AD2:AD369)</f>
        <v>80005736.196308315</v>
      </c>
      <c r="AE371" s="212">
        <f>SUBTOTAL(9,AE2:AE370)</f>
        <v>0</v>
      </c>
      <c r="AF371" s="212">
        <f>SUM(AF2:AF370)</f>
        <v>81722079.276308358</v>
      </c>
      <c r="AG371" s="214"/>
      <c r="AH371" s="214"/>
      <c r="AI371" s="214"/>
      <c r="AJ371" s="214"/>
      <c r="AK371" s="212">
        <f>SUM(AK2:AK370)</f>
        <v>47479297.960000016</v>
      </c>
      <c r="AL371" s="212"/>
      <c r="AM371" s="212"/>
      <c r="AN371" s="213"/>
      <c r="AO371" s="212" t="e">
        <f>SUM(AO2:AO370)</f>
        <v>#REF!</v>
      </c>
      <c r="AP371" s="213"/>
      <c r="AQ371" s="212">
        <f>SUM(AQ2:AQ370)</f>
        <v>61332079.300852269</v>
      </c>
      <c r="AR371" s="213"/>
      <c r="AS371" s="213"/>
      <c r="AT371" s="213"/>
      <c r="AU371" s="213"/>
      <c r="AV371" s="213"/>
      <c r="AW371" s="213"/>
      <c r="AX371" s="213"/>
      <c r="AY371" s="213"/>
      <c r="AZ371" s="213"/>
      <c r="BA371" s="213"/>
      <c r="BB371" s="213"/>
      <c r="BC371" s="213"/>
      <c r="BD371" s="213"/>
      <c r="BE371" s="213"/>
      <c r="BF371" s="213"/>
      <c r="BG371" s="215">
        <f>BF371-AW371-AZ371-BC371-BE371</f>
        <v>0</v>
      </c>
      <c r="BH371" s="213"/>
      <c r="BI371" s="213"/>
      <c r="BJ371" s="213"/>
      <c r="BK371" s="213"/>
      <c r="BL371" s="213"/>
      <c r="BM371" s="213"/>
      <c r="BN371" s="216"/>
      <c r="BO371" s="216"/>
      <c r="BP371" s="216"/>
      <c r="BQ371" s="216"/>
      <c r="BR371" s="216"/>
      <c r="BS371" s="216"/>
      <c r="BT371" s="216"/>
      <c r="BU371" s="216"/>
      <c r="BV371" s="216"/>
      <c r="BW371" s="216"/>
      <c r="BX371" s="216"/>
      <c r="BY371" s="216"/>
      <c r="BZ371" s="216"/>
      <c r="CA371" s="216"/>
      <c r="CB371" s="216"/>
      <c r="CC371" s="216"/>
      <c r="CD371" s="216"/>
      <c r="CE371" s="216"/>
      <c r="CF371" s="216"/>
      <c r="CG371" s="216"/>
      <c r="CH371" s="216"/>
      <c r="CI371" s="216"/>
      <c r="CJ371" s="216"/>
      <c r="CK371" s="216"/>
      <c r="CL371" s="216"/>
      <c r="CM371" s="216"/>
      <c r="CN371" s="216"/>
      <c r="CO371" s="216"/>
      <c r="CP371" s="216"/>
      <c r="CQ371" s="216"/>
      <c r="CR371" s="216"/>
      <c r="CS371" s="216"/>
      <c r="CT371" s="213"/>
      <c r="CU371" s="213"/>
      <c r="CV371" s="216"/>
      <c r="CW371" s="216"/>
      <c r="CX371" s="216"/>
      <c r="CY371" s="216"/>
      <c r="CZ371" s="216"/>
      <c r="DA371" s="216"/>
      <c r="DB371" s="216"/>
      <c r="DC371" s="216"/>
      <c r="DD371" s="216"/>
      <c r="DE371" s="216"/>
      <c r="DF371" s="216"/>
      <c r="DG371" s="216"/>
      <c r="DH371" s="216"/>
      <c r="DI371" s="216"/>
      <c r="DJ371" s="216"/>
      <c r="DK371" s="216"/>
      <c r="DL371" s="216"/>
      <c r="DM371" s="216"/>
      <c r="DN371" s="216"/>
      <c r="DO371" s="216"/>
      <c r="DP371" s="216"/>
      <c r="DQ371" s="216"/>
      <c r="DR371" s="216"/>
      <c r="DS371" s="216"/>
      <c r="DT371" s="216"/>
      <c r="DU371" s="216"/>
      <c r="DV371" s="216"/>
      <c r="DW371" s="216"/>
      <c r="DX371" s="216"/>
      <c r="DY371" s="212">
        <f>SUM(DY2:DY370)</f>
        <v>40739307.999000005</v>
      </c>
      <c r="DZ371" s="216"/>
      <c r="EA371" s="216"/>
      <c r="EB371" s="216"/>
      <c r="EC371" s="216"/>
      <c r="ED371" s="216"/>
      <c r="EE371" s="216"/>
      <c r="EF371" s="216"/>
      <c r="EG371" s="216"/>
      <c r="EH371" s="216"/>
      <c r="EI371" s="216"/>
      <c r="EJ371" s="216"/>
      <c r="EK371" s="216"/>
      <c r="EL371" s="216"/>
      <c r="EM371" s="216"/>
      <c r="EN371" s="216"/>
      <c r="EO371" s="216"/>
      <c r="EP371" s="216"/>
      <c r="EQ371" s="216"/>
      <c r="ER371" s="216"/>
      <c r="ES371" s="216"/>
      <c r="ET371" s="216"/>
      <c r="EU371" s="216"/>
      <c r="EV371" s="216"/>
      <c r="EW371" s="216"/>
      <c r="EX371" s="216"/>
      <c r="EY371" s="216"/>
      <c r="EZ371" s="216"/>
      <c r="FA371" s="216"/>
      <c r="FB371" s="216"/>
      <c r="FC371" s="216"/>
      <c r="FD371" s="216"/>
      <c r="FE371" s="216"/>
      <c r="FF371" s="216"/>
      <c r="FG371" s="216"/>
      <c r="FH371" s="216"/>
      <c r="FI371" s="216"/>
      <c r="FJ371" s="216"/>
      <c r="FK371" s="216"/>
      <c r="FL371" s="216"/>
      <c r="FM371" s="216"/>
      <c r="FN371" s="216"/>
      <c r="FO371" s="216"/>
      <c r="FP371" s="216"/>
      <c r="FQ371" s="216"/>
      <c r="FR371" s="216"/>
      <c r="FS371" s="216"/>
      <c r="FT371" s="216"/>
      <c r="FU371" s="216"/>
      <c r="FV371" s="216"/>
      <c r="FW371" s="216"/>
      <c r="FX371" s="216"/>
      <c r="FY371" s="216"/>
      <c r="FZ371" s="216"/>
      <c r="GA371" s="216"/>
      <c r="GB371" s="216"/>
      <c r="GC371" s="216"/>
      <c r="GD371" s="216"/>
      <c r="GE371" s="216"/>
      <c r="GF371" s="216"/>
      <c r="GG371" s="216"/>
      <c r="GH371" s="216"/>
      <c r="GI371" s="216"/>
      <c r="GJ371" s="216"/>
      <c r="GK371" s="216"/>
      <c r="GL371" s="216"/>
      <c r="GM371" s="216"/>
      <c r="GN371" s="216"/>
      <c r="GO371" s="216"/>
      <c r="GP371" s="216"/>
      <c r="GQ371" s="216"/>
      <c r="GR371" s="216"/>
      <c r="GS371" s="216"/>
      <c r="GT371" s="216"/>
      <c r="GU371" s="216"/>
      <c r="GV371" s="216"/>
      <c r="GW371" s="216"/>
      <c r="GX371" s="216"/>
      <c r="GY371" s="216"/>
      <c r="GZ371" s="216"/>
      <c r="HA371" s="216"/>
      <c r="HB371" s="216"/>
      <c r="HC371" s="216"/>
      <c r="HD371" s="216"/>
      <c r="HE371" s="216"/>
      <c r="HF371" s="216"/>
      <c r="HG371" s="216"/>
      <c r="HH371" s="216"/>
      <c r="HI371" s="216"/>
      <c r="HJ371" s="216"/>
      <c r="HK371" s="216"/>
      <c r="HL371" s="216"/>
      <c r="HM371" s="216"/>
      <c r="HN371" s="216"/>
      <c r="HO371" s="216"/>
      <c r="HP371" s="216"/>
      <c r="HQ371" s="216"/>
      <c r="HR371" s="216"/>
      <c r="HS371" s="216"/>
      <c r="HT371" s="216"/>
      <c r="HU371" s="216"/>
      <c r="HV371" s="216"/>
      <c r="HW371" s="217"/>
      <c r="HX371" s="218"/>
      <c r="HY371" s="72"/>
      <c r="HZ371" s="72"/>
      <c r="IG371" s="212">
        <f>SUM(IG2:IG370)</f>
        <v>35260353.529999986</v>
      </c>
      <c r="IH371" s="108">
        <f t="shared" si="156"/>
        <v>12218944.43000003</v>
      </c>
    </row>
    <row r="372" spans="1:264">
      <c r="A372" s="111"/>
      <c r="B372" s="112"/>
      <c r="C372" s="109"/>
      <c r="D372" s="109"/>
      <c r="E372" s="200"/>
      <c r="F372" s="109"/>
      <c r="G372" s="201"/>
      <c r="H372" s="109"/>
      <c r="I372" s="113"/>
      <c r="J372" s="111"/>
      <c r="K372" s="109"/>
      <c r="L372" s="111"/>
      <c r="M372" s="113"/>
      <c r="N372" s="114"/>
      <c r="O372" s="111"/>
      <c r="P372" s="111"/>
      <c r="Q372" s="110"/>
      <c r="R372" s="115"/>
      <c r="S372" s="115"/>
      <c r="T372" s="115"/>
      <c r="U372" s="115"/>
      <c r="V372" s="115"/>
      <c r="W372" s="115"/>
      <c r="X372" s="115"/>
      <c r="Y372" s="115"/>
      <c r="Z372" s="115"/>
      <c r="AA372" s="139"/>
      <c r="AB372" s="140"/>
      <c r="AC372" s="139"/>
      <c r="AD372" s="141"/>
      <c r="AE372" s="139"/>
      <c r="AF372" s="141"/>
      <c r="AG372" s="139"/>
      <c r="AH372" s="139"/>
      <c r="AI372" s="139"/>
      <c r="AJ372" s="139"/>
      <c r="AK372" s="139">
        <f>SUBTOTAL(9,AK2:AK370)</f>
        <v>39056.400000000001</v>
      </c>
      <c r="AL372" s="139"/>
      <c r="AM372" s="139"/>
      <c r="AN372" s="139"/>
      <c r="AO372" s="139"/>
      <c r="AP372" s="139"/>
      <c r="AQ372" s="141"/>
      <c r="AR372" s="139"/>
      <c r="AS372" s="139"/>
      <c r="AT372" s="139"/>
      <c r="AU372" s="139"/>
      <c r="AV372" s="139"/>
      <c r="AW372" s="139"/>
      <c r="AX372" s="139"/>
      <c r="AY372" s="139"/>
      <c r="AZ372" s="139"/>
      <c r="BA372" s="139"/>
      <c r="BB372" s="139"/>
      <c r="BC372" s="139"/>
      <c r="BD372" s="139"/>
      <c r="BE372" s="139"/>
      <c r="BF372" s="29">
        <f>SUBTOTAL(9,BF212:BF213)</f>
        <v>0</v>
      </c>
      <c r="BG372" s="29">
        <f>SUBTOTAL(9,BG212:BG213)</f>
        <v>0</v>
      </c>
      <c r="BH372" s="139"/>
      <c r="BI372" s="139"/>
      <c r="BJ372" s="139"/>
      <c r="BK372" s="139"/>
      <c r="BL372" s="139"/>
      <c r="BM372" s="139"/>
      <c r="BN372" s="111"/>
      <c r="BO372" s="111"/>
      <c r="BP372" s="111"/>
      <c r="BQ372" s="111"/>
      <c r="BR372" s="111"/>
      <c r="BS372" s="111"/>
      <c r="BT372" s="111"/>
      <c r="BU372" s="111"/>
      <c r="BV372" s="111"/>
      <c r="BW372" s="111"/>
      <c r="BX372" s="111"/>
      <c r="BY372" s="111"/>
      <c r="BZ372" s="111"/>
      <c r="CA372" s="111"/>
      <c r="CB372" s="111"/>
      <c r="CC372" s="111"/>
      <c r="CD372" s="111"/>
      <c r="CE372" s="111"/>
      <c r="CF372" s="111"/>
      <c r="CG372" s="111"/>
      <c r="CH372" s="111"/>
      <c r="CI372" s="111"/>
      <c r="CJ372" s="111"/>
      <c r="CK372" s="111"/>
      <c r="CL372" s="111"/>
      <c r="CM372" s="111"/>
      <c r="CN372" s="111"/>
      <c r="CO372" s="111"/>
      <c r="CP372" s="111"/>
      <c r="CQ372" s="111"/>
      <c r="CR372" s="111"/>
      <c r="CS372" s="111"/>
      <c r="CT372" s="139"/>
      <c r="CU372" s="142"/>
      <c r="CV372" s="111"/>
      <c r="CW372" s="111"/>
      <c r="CX372" s="111"/>
      <c r="CY372" s="111"/>
      <c r="CZ372" s="111"/>
      <c r="DA372" s="111"/>
      <c r="DB372" s="111"/>
      <c r="DC372" s="111"/>
      <c r="DD372" s="111"/>
      <c r="DE372" s="111"/>
      <c r="DF372" s="111"/>
      <c r="DG372" s="111"/>
      <c r="DH372" s="111"/>
      <c r="DI372" s="111"/>
      <c r="DJ372" s="111"/>
      <c r="DK372" s="111"/>
      <c r="DL372" s="111"/>
      <c r="DM372" s="111"/>
      <c r="DN372" s="111"/>
      <c r="DO372" s="111"/>
      <c r="DP372" s="111"/>
      <c r="DQ372" s="111"/>
      <c r="DR372" s="111"/>
      <c r="DS372" s="111"/>
      <c r="DT372" s="111"/>
      <c r="DU372" s="111"/>
      <c r="DV372" s="111"/>
      <c r="DW372" s="111"/>
      <c r="DX372" s="111"/>
      <c r="DY372" s="143"/>
      <c r="DZ372" s="111"/>
      <c r="EA372" s="111"/>
      <c r="EB372" s="111"/>
      <c r="EC372" s="111"/>
      <c r="ED372" s="111"/>
      <c r="EE372" s="111"/>
      <c r="EF372" s="111"/>
      <c r="EG372" s="111"/>
      <c r="EH372" s="111"/>
      <c r="EI372" s="111"/>
      <c r="EJ372" s="111"/>
      <c r="EK372" s="111"/>
      <c r="EL372" s="111"/>
      <c r="EM372" s="111"/>
      <c r="EN372" s="111"/>
      <c r="EO372" s="111"/>
      <c r="EP372" s="111"/>
      <c r="EQ372" s="111"/>
      <c r="ER372" s="111"/>
      <c r="ES372" s="111"/>
      <c r="ET372" s="111"/>
      <c r="EU372" s="111"/>
      <c r="EV372" s="111"/>
      <c r="EW372" s="111"/>
      <c r="EX372" s="111"/>
      <c r="EY372" s="111"/>
      <c r="EZ372" s="111"/>
      <c r="FA372" s="111"/>
      <c r="FB372" s="111"/>
      <c r="FC372" s="111"/>
      <c r="FD372" s="111"/>
      <c r="FE372" s="111"/>
      <c r="FF372" s="111"/>
      <c r="FG372" s="111"/>
      <c r="FH372" s="144"/>
      <c r="FI372" s="144"/>
      <c r="FJ372" s="144"/>
      <c r="FK372" s="144"/>
      <c r="FL372" s="144"/>
      <c r="FM372" s="144"/>
      <c r="FN372" s="144"/>
      <c r="FO372" s="144"/>
      <c r="FP372" s="144"/>
      <c r="FQ372" s="144"/>
      <c r="FR372" s="144"/>
      <c r="FS372" s="144"/>
      <c r="FT372" s="144"/>
      <c r="FU372" s="144"/>
      <c r="FV372" s="144"/>
      <c r="FW372" s="144"/>
      <c r="FX372" s="144"/>
      <c r="FY372" s="144"/>
      <c r="FZ372" s="144"/>
      <c r="GA372" s="144"/>
      <c r="GB372" s="144"/>
      <c r="GC372" s="144"/>
      <c r="GD372" s="144"/>
      <c r="GE372" s="144"/>
      <c r="GF372" s="144"/>
      <c r="GG372" s="144"/>
      <c r="GH372" s="144"/>
      <c r="GI372" s="144"/>
      <c r="GJ372" s="144"/>
      <c r="GK372" s="144"/>
      <c r="GL372" s="144"/>
      <c r="GM372" s="144"/>
      <c r="GN372" s="144"/>
      <c r="GO372" s="144"/>
      <c r="GP372" s="144"/>
      <c r="GQ372" s="144"/>
      <c r="GR372" s="144"/>
      <c r="GS372" s="144"/>
      <c r="GT372" s="144"/>
      <c r="GU372" s="144"/>
      <c r="GV372" s="144"/>
      <c r="GW372" s="144"/>
      <c r="GX372" s="144"/>
      <c r="GY372" s="144"/>
      <c r="GZ372" s="144"/>
      <c r="HA372" s="144"/>
      <c r="HB372" s="144"/>
      <c r="HC372" s="144"/>
      <c r="HD372" s="144"/>
      <c r="HE372" s="144"/>
      <c r="HF372" s="144"/>
      <c r="HG372" s="144"/>
      <c r="HH372" s="144"/>
      <c r="HI372" s="144"/>
      <c r="HJ372" s="144"/>
      <c r="HK372" s="144"/>
      <c r="HL372" s="144"/>
      <c r="HM372" s="144"/>
      <c r="HN372" s="144"/>
      <c r="HO372" s="144"/>
      <c r="HP372" s="144"/>
      <c r="HQ372" s="144"/>
      <c r="HR372" s="144"/>
      <c r="HS372" s="144"/>
      <c r="HT372" s="144"/>
      <c r="HU372" s="72"/>
      <c r="HV372" s="72"/>
      <c r="HW372" s="145"/>
      <c r="HX372" s="72"/>
      <c r="HY372" s="72"/>
      <c r="HZ372" s="72"/>
    </row>
    <row r="373" spans="1:264" s="11" customFormat="1">
      <c r="A373" s="145"/>
      <c r="B373" s="145"/>
      <c r="C373" s="145"/>
      <c r="D373" s="145"/>
      <c r="E373" s="146"/>
      <c r="F373" s="145"/>
      <c r="G373" s="145"/>
      <c r="H373" s="145"/>
      <c r="I373" s="147"/>
      <c r="J373" s="145"/>
      <c r="K373" s="148"/>
      <c r="L373" s="149"/>
      <c r="M373" s="146"/>
      <c r="N373" s="146"/>
      <c r="O373" s="72"/>
      <c r="P373" s="72"/>
      <c r="Q373" s="145"/>
      <c r="R373" s="145"/>
      <c r="S373" s="145"/>
      <c r="T373" s="145"/>
      <c r="U373" s="145"/>
      <c r="V373" s="145"/>
      <c r="W373" s="145"/>
      <c r="X373" s="145"/>
      <c r="Y373" s="145"/>
      <c r="Z373" s="145"/>
      <c r="AA373" s="150"/>
      <c r="AB373" s="151"/>
      <c r="AC373" s="150"/>
      <c r="AD373" s="150"/>
      <c r="AE373" s="150"/>
      <c r="AF373" s="150"/>
      <c r="AG373" s="150"/>
      <c r="AH373" s="150"/>
      <c r="AI373" s="150"/>
      <c r="AJ373" s="150"/>
      <c r="AK373" s="150"/>
      <c r="AL373" s="150"/>
      <c r="AM373" s="150"/>
      <c r="AN373" s="150"/>
      <c r="AO373" s="150"/>
      <c r="AP373" s="150"/>
      <c r="AQ373" s="151"/>
      <c r="AR373" s="150"/>
      <c r="AS373" s="150"/>
      <c r="AT373" s="150"/>
      <c r="AU373" s="150"/>
      <c r="AV373" s="150"/>
      <c r="AW373" s="150"/>
      <c r="AX373" s="150"/>
      <c r="AY373" s="150"/>
      <c r="AZ373" s="150"/>
      <c r="BA373" s="150"/>
      <c r="BB373" s="150"/>
      <c r="BC373" s="150"/>
      <c r="BD373" s="150"/>
      <c r="BE373" s="150"/>
      <c r="BF373" s="150"/>
      <c r="BG373" s="150"/>
      <c r="BH373" s="150"/>
      <c r="BI373" s="150"/>
      <c r="BJ373" s="150"/>
      <c r="BK373" s="150"/>
      <c r="BL373" s="150"/>
      <c r="BM373" s="150"/>
      <c r="BN373" s="72"/>
      <c r="BO373" s="72"/>
      <c r="BP373" s="72"/>
      <c r="BQ373" s="72"/>
      <c r="BR373" s="72"/>
      <c r="BS373" s="72"/>
      <c r="BT373" s="72"/>
      <c r="BU373" s="72"/>
      <c r="BV373" s="72"/>
      <c r="BW373" s="72"/>
      <c r="BX373" s="72"/>
      <c r="BY373" s="72"/>
      <c r="BZ373" s="72"/>
      <c r="CA373" s="72"/>
      <c r="CB373" s="72"/>
      <c r="CC373" s="72"/>
      <c r="CD373" s="72"/>
      <c r="CE373" s="72"/>
      <c r="CF373" s="72"/>
      <c r="CG373" s="72"/>
      <c r="CH373" s="72"/>
      <c r="CI373" s="72"/>
      <c r="CJ373" s="72"/>
      <c r="CK373" s="72"/>
      <c r="CL373" s="72"/>
      <c r="CM373" s="72"/>
      <c r="CN373" s="72"/>
      <c r="CO373" s="72"/>
      <c r="CP373" s="72"/>
      <c r="CQ373" s="72"/>
      <c r="CR373" s="72"/>
      <c r="CS373" s="72"/>
      <c r="CT373" s="150"/>
      <c r="CU373" s="152"/>
      <c r="CV373" s="72"/>
      <c r="CW373" s="72"/>
      <c r="CX373" s="72"/>
      <c r="CY373" s="72"/>
      <c r="CZ373" s="72"/>
      <c r="DA373" s="72"/>
      <c r="DB373" s="72"/>
      <c r="DC373" s="72"/>
      <c r="DD373" s="72"/>
      <c r="DE373" s="72"/>
      <c r="DF373" s="72"/>
      <c r="DG373" s="72"/>
      <c r="DH373" s="72"/>
      <c r="DI373" s="72"/>
      <c r="DJ373" s="72"/>
      <c r="DK373" s="72"/>
      <c r="DL373" s="72"/>
      <c r="DM373" s="72"/>
      <c r="DN373" s="72"/>
      <c r="DO373" s="72"/>
      <c r="DP373" s="72"/>
      <c r="DQ373" s="72"/>
      <c r="DR373" s="72"/>
      <c r="DS373" s="72"/>
      <c r="DT373" s="72"/>
      <c r="DU373" s="72"/>
      <c r="DV373" s="72"/>
      <c r="DW373" s="72"/>
      <c r="DX373" s="72"/>
      <c r="DY373" s="72"/>
      <c r="DZ373" s="72"/>
      <c r="EA373" s="72"/>
      <c r="EB373" s="72"/>
      <c r="EC373" s="72"/>
      <c r="ED373" s="72"/>
      <c r="EE373" s="72"/>
      <c r="EF373" s="72"/>
      <c r="EG373" s="72"/>
      <c r="EH373" s="72"/>
      <c r="EI373" s="72"/>
      <c r="EJ373" s="72"/>
      <c r="EK373" s="72"/>
      <c r="EL373" s="72"/>
      <c r="EM373" s="72"/>
      <c r="EN373" s="72"/>
      <c r="EO373" s="72"/>
      <c r="EP373" s="72"/>
      <c r="EQ373" s="72"/>
      <c r="ER373" s="72"/>
      <c r="ES373" s="72"/>
      <c r="ET373" s="72"/>
      <c r="EU373" s="72"/>
      <c r="EV373" s="72"/>
      <c r="EW373" s="72"/>
      <c r="EX373" s="72"/>
      <c r="EY373" s="72"/>
      <c r="EZ373" s="72"/>
      <c r="FA373" s="72"/>
      <c r="FB373" s="72"/>
      <c r="FC373" s="72"/>
      <c r="FD373" s="72"/>
      <c r="FE373" s="72"/>
      <c r="FF373" s="72"/>
      <c r="FG373" s="72"/>
      <c r="FH373" s="152"/>
      <c r="FI373" s="152"/>
      <c r="FJ373" s="152"/>
      <c r="FK373" s="152"/>
      <c r="FL373" s="152"/>
      <c r="FM373" s="152"/>
      <c r="FN373" s="152"/>
      <c r="FO373" s="152"/>
      <c r="FP373" s="152"/>
      <c r="FQ373" s="152"/>
      <c r="FR373" s="152"/>
      <c r="FS373" s="152"/>
      <c r="FT373" s="152"/>
      <c r="FU373" s="152"/>
      <c r="FV373" s="152"/>
      <c r="FW373" s="152"/>
      <c r="FX373" s="152"/>
      <c r="FY373" s="152"/>
      <c r="FZ373" s="152"/>
      <c r="GA373" s="152"/>
      <c r="GB373" s="152"/>
      <c r="GC373" s="152"/>
      <c r="GD373" s="152"/>
      <c r="GE373" s="152"/>
      <c r="GF373" s="152"/>
      <c r="GG373" s="152"/>
      <c r="GH373" s="152"/>
      <c r="GI373" s="152"/>
      <c r="GJ373" s="152"/>
      <c r="GK373" s="152"/>
      <c r="GL373" s="152"/>
      <c r="GM373" s="152"/>
      <c r="GN373" s="152"/>
      <c r="GO373" s="152"/>
      <c r="GP373" s="152"/>
      <c r="GQ373" s="152"/>
      <c r="GR373" s="152"/>
      <c r="GS373" s="152"/>
      <c r="GT373" s="152"/>
      <c r="GU373" s="152"/>
      <c r="GV373" s="152"/>
      <c r="GW373" s="152"/>
      <c r="GX373" s="152"/>
      <c r="GY373" s="152"/>
      <c r="GZ373" s="152"/>
      <c r="HA373" s="152"/>
      <c r="HB373" s="152"/>
      <c r="HC373" s="152"/>
      <c r="HD373" s="152"/>
      <c r="HE373" s="152"/>
      <c r="HF373" s="152"/>
      <c r="HG373" s="152"/>
      <c r="HH373" s="152"/>
      <c r="HI373" s="152"/>
      <c r="HJ373" s="152"/>
      <c r="HK373" s="152"/>
      <c r="HL373" s="152"/>
      <c r="HM373" s="152"/>
      <c r="HN373" s="152"/>
      <c r="HO373" s="152"/>
      <c r="HP373" s="152"/>
      <c r="HQ373" s="152"/>
      <c r="HR373" s="152"/>
      <c r="HS373" s="152"/>
      <c r="HT373" s="152"/>
      <c r="HU373" s="72"/>
      <c r="HV373" s="72"/>
      <c r="HW373" s="145"/>
      <c r="HX373" s="72"/>
      <c r="HY373" s="72"/>
      <c r="HZ373" s="72"/>
    </row>
    <row r="374" spans="1:264" s="11" customFormat="1">
      <c r="A374" s="145"/>
      <c r="B374" s="145"/>
      <c r="C374" s="145"/>
      <c r="D374" s="145"/>
      <c r="E374" s="146"/>
      <c r="F374" s="145"/>
      <c r="G374" s="145"/>
      <c r="H374" s="145"/>
      <c r="I374" s="147"/>
      <c r="J374" s="145"/>
      <c r="K374" s="148"/>
      <c r="L374" s="149"/>
      <c r="M374" s="146"/>
      <c r="N374" s="146"/>
      <c r="O374" s="72"/>
      <c r="P374" s="72"/>
      <c r="Q374" s="145"/>
      <c r="R374" s="145"/>
      <c r="S374" s="145"/>
      <c r="T374" s="145"/>
      <c r="U374" s="145"/>
      <c r="V374" s="145"/>
      <c r="W374" s="145"/>
      <c r="X374" s="145"/>
      <c r="Y374" s="145"/>
      <c r="Z374" s="145"/>
      <c r="AA374" s="150"/>
      <c r="AB374" s="151"/>
      <c r="AC374" s="150"/>
      <c r="AD374" s="150"/>
      <c r="AE374" s="150"/>
      <c r="AF374" s="150"/>
      <c r="AG374" s="150"/>
      <c r="AH374" s="150"/>
      <c r="AI374" s="150">
        <f>AI70+AD70</f>
        <v>2862839.29</v>
      </c>
      <c r="AJ374" s="150"/>
      <c r="AK374" s="150"/>
      <c r="AL374" s="150"/>
      <c r="AM374" s="150"/>
      <c r="AN374" s="150"/>
      <c r="AO374" s="150"/>
      <c r="AP374" s="150"/>
      <c r="AQ374" s="123"/>
      <c r="AR374" s="150"/>
      <c r="AS374" s="150"/>
      <c r="AT374" s="150"/>
      <c r="AU374" s="150"/>
      <c r="AV374" s="150"/>
      <c r="AW374" s="150"/>
      <c r="AX374" s="150"/>
      <c r="AY374" s="150"/>
      <c r="AZ374" s="150"/>
      <c r="BA374" s="150"/>
      <c r="BB374" s="150"/>
      <c r="BC374" s="150"/>
      <c r="BD374" s="150"/>
      <c r="BE374" s="150"/>
      <c r="BF374" s="150"/>
      <c r="BG374" s="150"/>
      <c r="BH374" s="150"/>
      <c r="BI374" s="150"/>
      <c r="BJ374" s="150"/>
      <c r="BK374" s="150"/>
      <c r="BL374" s="150"/>
      <c r="BM374" s="150"/>
      <c r="BN374" s="72"/>
      <c r="BO374" s="72"/>
      <c r="BP374" s="72"/>
      <c r="BQ374" s="72"/>
      <c r="BR374" s="72"/>
      <c r="BS374" s="72"/>
      <c r="BT374" s="72"/>
      <c r="BU374" s="72"/>
      <c r="BV374" s="72"/>
      <c r="BW374" s="72"/>
      <c r="BX374" s="72"/>
      <c r="BY374" s="72"/>
      <c r="BZ374" s="72"/>
      <c r="CA374" s="72"/>
      <c r="CB374" s="72"/>
      <c r="CC374" s="72"/>
      <c r="CD374" s="72"/>
      <c r="CE374" s="72"/>
      <c r="CF374" s="72"/>
      <c r="CG374" s="72"/>
      <c r="CH374" s="72"/>
      <c r="CI374" s="72"/>
      <c r="CJ374" s="72"/>
      <c r="CK374" s="72"/>
      <c r="CL374" s="72"/>
      <c r="CM374" s="72"/>
      <c r="CN374" s="72"/>
      <c r="CO374" s="72"/>
      <c r="CP374" s="72"/>
      <c r="CQ374" s="72"/>
      <c r="CR374" s="72"/>
      <c r="CS374" s="72"/>
      <c r="CT374" s="150"/>
      <c r="CU374" s="152"/>
      <c r="CV374" s="72"/>
      <c r="CW374" s="72"/>
      <c r="CX374" s="72"/>
      <c r="CY374" s="72"/>
      <c r="CZ374" s="72"/>
      <c r="DA374" s="72"/>
      <c r="DB374" s="72"/>
      <c r="DC374" s="72"/>
      <c r="DD374" s="72"/>
      <c r="DE374" s="72"/>
      <c r="DF374" s="72"/>
      <c r="DG374" s="72"/>
      <c r="DH374" s="72"/>
      <c r="DI374" s="72"/>
      <c r="DJ374" s="72"/>
      <c r="DK374" s="72"/>
      <c r="DL374" s="72"/>
      <c r="DM374" s="72"/>
      <c r="DN374" s="72"/>
      <c r="DO374" s="72"/>
      <c r="DP374" s="72"/>
      <c r="DQ374" s="72"/>
      <c r="DR374" s="72"/>
      <c r="DS374" s="72"/>
      <c r="DT374" s="72"/>
      <c r="DU374" s="72"/>
      <c r="DV374" s="72"/>
      <c r="DW374" s="72"/>
      <c r="DX374" s="72"/>
      <c r="DY374" s="72"/>
      <c r="DZ374" s="72"/>
      <c r="EA374" s="72"/>
      <c r="EB374" s="72"/>
      <c r="EC374" s="72"/>
      <c r="ED374" s="72"/>
      <c r="EE374" s="72"/>
      <c r="EF374" s="72"/>
      <c r="EG374" s="72"/>
      <c r="EH374" s="72"/>
      <c r="EI374" s="72"/>
      <c r="EJ374" s="72"/>
      <c r="EK374" s="72"/>
      <c r="EL374" s="72"/>
      <c r="EM374" s="72"/>
      <c r="EN374" s="72"/>
      <c r="EO374" s="72"/>
      <c r="EP374" s="72"/>
      <c r="EQ374" s="72"/>
      <c r="ER374" s="72"/>
      <c r="ES374" s="72"/>
      <c r="ET374" s="72"/>
      <c r="EU374" s="72"/>
      <c r="EV374" s="72"/>
      <c r="EW374" s="72"/>
      <c r="EX374" s="72"/>
      <c r="EY374" s="72"/>
      <c r="EZ374" s="72"/>
      <c r="FA374" s="72"/>
      <c r="FB374" s="72"/>
      <c r="FC374" s="72"/>
      <c r="FD374" s="72"/>
      <c r="FE374" s="72"/>
      <c r="FF374" s="72"/>
      <c r="FG374" s="72"/>
      <c r="FH374" s="152"/>
      <c r="FI374" s="152"/>
      <c r="FJ374" s="152"/>
      <c r="FK374" s="152"/>
      <c r="FL374" s="152"/>
      <c r="FM374" s="152"/>
      <c r="FN374" s="152"/>
      <c r="FO374" s="152"/>
      <c r="FP374" s="152"/>
      <c r="FQ374" s="152"/>
      <c r="FR374" s="152"/>
      <c r="FS374" s="152"/>
      <c r="FT374" s="152"/>
      <c r="FU374" s="152"/>
      <c r="FV374" s="152"/>
      <c r="FW374" s="152"/>
      <c r="FX374" s="152"/>
      <c r="FY374" s="152"/>
      <c r="FZ374" s="152"/>
      <c r="GA374" s="152"/>
      <c r="GB374" s="152"/>
      <c r="GC374" s="152"/>
      <c r="GD374" s="152"/>
      <c r="GE374" s="152"/>
      <c r="GF374" s="152"/>
      <c r="GG374" s="152"/>
      <c r="GH374" s="152"/>
      <c r="GI374" s="152"/>
      <c r="GJ374" s="152"/>
      <c r="GK374" s="152"/>
      <c r="GL374" s="152"/>
      <c r="GM374" s="152"/>
      <c r="GN374" s="152"/>
      <c r="GO374" s="152"/>
      <c r="GP374" s="152"/>
      <c r="GQ374" s="152"/>
      <c r="GR374" s="152"/>
      <c r="GS374" s="152"/>
      <c r="GT374" s="152"/>
      <c r="GU374" s="152"/>
      <c r="GV374" s="152"/>
      <c r="GW374" s="152"/>
      <c r="GX374" s="152"/>
      <c r="GY374" s="153"/>
      <c r="GZ374" s="152"/>
      <c r="HA374" s="152"/>
      <c r="HB374" s="152"/>
      <c r="HC374" s="152"/>
      <c r="HD374" s="152"/>
      <c r="HE374" s="152"/>
      <c r="HF374" s="152"/>
      <c r="HG374" s="152"/>
      <c r="HH374" s="152"/>
      <c r="HI374" s="152"/>
      <c r="HJ374" s="152"/>
      <c r="HK374" s="152"/>
      <c r="HL374" s="152"/>
      <c r="HM374" s="152"/>
      <c r="HN374" s="152"/>
      <c r="HO374" s="152"/>
      <c r="HP374" s="152"/>
      <c r="HQ374" s="152"/>
      <c r="HR374" s="152"/>
      <c r="HS374" s="152"/>
      <c r="HT374" s="152"/>
      <c r="HU374" s="72"/>
      <c r="HV374" s="72"/>
      <c r="HW374" s="145"/>
      <c r="HX374" s="72"/>
      <c r="HY374" s="72"/>
      <c r="HZ374" s="72"/>
    </row>
    <row r="375" spans="1:264" s="11" customFormat="1">
      <c r="A375" s="145"/>
      <c r="B375" s="145"/>
      <c r="C375" s="145"/>
      <c r="D375" s="145"/>
      <c r="E375" s="146"/>
      <c r="F375" s="145"/>
      <c r="G375" s="145"/>
      <c r="H375" s="145"/>
      <c r="I375" s="317"/>
      <c r="J375" s="145"/>
      <c r="K375" s="148"/>
      <c r="L375" s="149"/>
      <c r="M375" s="318"/>
      <c r="N375" s="146"/>
      <c r="O375" s="72"/>
      <c r="P375" s="72"/>
      <c r="Q375" s="145"/>
      <c r="R375" s="145"/>
      <c r="S375" s="145"/>
      <c r="T375" s="145"/>
      <c r="U375" s="145"/>
      <c r="V375" s="145"/>
      <c r="W375" s="145"/>
      <c r="X375" s="145"/>
      <c r="Y375" s="145"/>
      <c r="Z375" s="145"/>
      <c r="AA375" s="150"/>
      <c r="AB375" s="151"/>
      <c r="AC375" s="150"/>
      <c r="AD375" s="150"/>
      <c r="AE375" s="150"/>
      <c r="AF375" s="150"/>
      <c r="AG375" s="150"/>
      <c r="AH375" s="150"/>
      <c r="AI375" s="150"/>
      <c r="AJ375" s="150"/>
      <c r="AK375" s="150"/>
      <c r="AL375" s="150"/>
      <c r="AM375" s="150"/>
      <c r="AN375" s="150"/>
      <c r="AO375" s="150"/>
      <c r="AP375" s="150"/>
      <c r="AQ375" s="123"/>
      <c r="AR375" s="150"/>
      <c r="AS375" s="150"/>
      <c r="AT375" s="150"/>
      <c r="AU375" s="150"/>
      <c r="AV375" s="150"/>
      <c r="AW375" s="150"/>
      <c r="AX375" s="150"/>
      <c r="AY375" s="150"/>
      <c r="AZ375" s="150"/>
      <c r="BA375" s="150"/>
      <c r="BB375" s="150"/>
      <c r="BC375" s="150"/>
      <c r="BD375" s="150"/>
      <c r="BE375" s="150"/>
      <c r="BF375" s="150"/>
      <c r="BG375" s="150"/>
      <c r="BH375" s="150"/>
      <c r="BI375" s="150"/>
      <c r="BJ375" s="150"/>
      <c r="BK375" s="150"/>
      <c r="BL375" s="150"/>
      <c r="BM375" s="150"/>
      <c r="BN375" s="72"/>
      <c r="BO375" s="72"/>
      <c r="BP375" s="72"/>
      <c r="BQ375" s="72"/>
      <c r="BR375" s="72"/>
      <c r="BS375" s="72"/>
      <c r="BT375" s="72"/>
      <c r="BU375" s="72"/>
      <c r="BV375" s="72"/>
      <c r="BW375" s="72"/>
      <c r="BX375" s="72"/>
      <c r="BY375" s="72"/>
      <c r="BZ375" s="72"/>
      <c r="CA375" s="72"/>
      <c r="CB375" s="72"/>
      <c r="CC375" s="72"/>
      <c r="CD375" s="72"/>
      <c r="CE375" s="72"/>
      <c r="CF375" s="72"/>
      <c r="CG375" s="72"/>
      <c r="CH375" s="72"/>
      <c r="CI375" s="72"/>
      <c r="CJ375" s="72"/>
      <c r="CK375" s="72"/>
      <c r="CL375" s="72"/>
      <c r="CM375" s="72"/>
      <c r="CN375" s="72"/>
      <c r="CO375" s="72"/>
      <c r="CP375" s="72"/>
      <c r="CQ375" s="72"/>
      <c r="CR375" s="72"/>
      <c r="CS375" s="72"/>
      <c r="CT375" s="150"/>
      <c r="CU375" s="152"/>
      <c r="CV375" s="72"/>
      <c r="CW375" s="72"/>
      <c r="CX375" s="72"/>
      <c r="CY375" s="72"/>
      <c r="CZ375" s="72"/>
      <c r="DA375" s="72"/>
      <c r="DB375" s="72"/>
      <c r="DC375" s="72"/>
      <c r="DD375" s="72"/>
      <c r="DE375" s="72"/>
      <c r="DF375" s="72"/>
      <c r="DG375" s="72"/>
      <c r="DH375" s="72"/>
      <c r="DI375" s="72"/>
      <c r="DJ375" s="72"/>
      <c r="DK375" s="72"/>
      <c r="DL375" s="72"/>
      <c r="DM375" s="72"/>
      <c r="DN375" s="72"/>
      <c r="DO375" s="72"/>
      <c r="DP375" s="72"/>
      <c r="DQ375" s="72"/>
      <c r="DR375" s="72"/>
      <c r="DS375" s="72"/>
      <c r="DT375" s="72"/>
      <c r="DU375" s="72"/>
      <c r="DV375" s="72"/>
      <c r="DW375" s="72"/>
      <c r="DX375" s="72"/>
      <c r="DY375" s="72"/>
      <c r="DZ375" s="72"/>
      <c r="EA375" s="72"/>
      <c r="EB375" s="72"/>
      <c r="EC375" s="72"/>
      <c r="ED375" s="72"/>
      <c r="EE375" s="72"/>
      <c r="EF375" s="72"/>
      <c r="EG375" s="72"/>
      <c r="EH375" s="72"/>
      <c r="EI375" s="72"/>
      <c r="EJ375" s="72"/>
      <c r="EK375" s="72"/>
      <c r="EL375" s="72"/>
      <c r="EM375" s="72"/>
      <c r="EN375" s="72"/>
      <c r="EO375" s="72"/>
      <c r="EP375" s="72"/>
      <c r="EQ375" s="72"/>
      <c r="ER375" s="72"/>
      <c r="ES375" s="72"/>
      <c r="ET375" s="72"/>
      <c r="EU375" s="72"/>
      <c r="EV375" s="72"/>
      <c r="EW375" s="72"/>
      <c r="EX375" s="72"/>
      <c r="EY375" s="72"/>
      <c r="EZ375" s="72"/>
      <c r="FA375" s="72"/>
      <c r="FB375" s="72"/>
      <c r="FC375" s="72"/>
      <c r="FD375" s="72"/>
      <c r="FE375" s="105"/>
      <c r="FH375" s="12"/>
      <c r="FI375" s="12"/>
      <c r="FJ375" s="12"/>
      <c r="FK375" s="12"/>
      <c r="FL375" s="12"/>
      <c r="FM375" s="12"/>
      <c r="FN375" s="12"/>
      <c r="FO375" s="12"/>
      <c r="FP375" s="12"/>
      <c r="FQ375" s="12"/>
      <c r="FR375" s="12"/>
      <c r="FS375" s="12"/>
      <c r="FT375" s="12"/>
      <c r="FU375" s="12"/>
      <c r="FV375" s="12"/>
      <c r="FW375" s="12"/>
      <c r="FX375" s="12"/>
      <c r="FY375" s="12"/>
      <c r="FZ375" s="12"/>
      <c r="GA375" s="12"/>
      <c r="GB375" s="12"/>
      <c r="GC375" s="12"/>
      <c r="GD375" s="12"/>
      <c r="GE375" s="12"/>
      <c r="GF375" s="12"/>
      <c r="GG375" s="12"/>
      <c r="GH375" s="12"/>
      <c r="GI375" s="12"/>
      <c r="GJ375" s="12"/>
      <c r="GK375" s="12"/>
      <c r="GL375" s="12"/>
      <c r="GM375" s="12"/>
      <c r="GN375" s="12"/>
      <c r="GO375" s="12"/>
      <c r="GP375" s="12"/>
      <c r="GQ375" s="12"/>
      <c r="GR375" s="12"/>
      <c r="GS375" s="12"/>
      <c r="GT375" s="12"/>
      <c r="GU375" s="12"/>
      <c r="GV375" s="12"/>
      <c r="GW375" s="12"/>
      <c r="GX375" s="12"/>
      <c r="GY375" s="12"/>
      <c r="GZ375" s="12"/>
      <c r="HA375" s="12"/>
      <c r="HB375" s="12"/>
      <c r="HC375" s="12"/>
      <c r="HD375" s="12"/>
      <c r="HE375" s="12"/>
      <c r="HF375" s="12"/>
      <c r="HG375" s="12"/>
      <c r="HH375" s="12"/>
      <c r="HI375" s="12"/>
      <c r="HJ375" s="12"/>
      <c r="HK375" s="12"/>
      <c r="HL375" s="12"/>
      <c r="HM375" s="12"/>
      <c r="HN375" s="12"/>
      <c r="HO375" s="12"/>
      <c r="HP375" s="12"/>
      <c r="HQ375" s="12"/>
      <c r="HR375" s="12"/>
      <c r="HS375" s="12"/>
      <c r="HT375" s="12"/>
      <c r="HW375" s="1"/>
    </row>
    <row r="376" spans="1:264">
      <c r="A376" s="145"/>
      <c r="B376" s="145"/>
      <c r="C376" s="145"/>
      <c r="D376" s="145"/>
      <c r="E376" s="146"/>
      <c r="F376" s="145"/>
      <c r="G376" s="145"/>
      <c r="H376" s="145"/>
      <c r="I376" s="317"/>
      <c r="J376" s="145"/>
      <c r="K376" s="145"/>
      <c r="L376" s="72"/>
      <c r="M376" s="318"/>
      <c r="N376" s="146"/>
      <c r="O376" s="72"/>
      <c r="P376" s="72"/>
      <c r="Q376" s="145"/>
      <c r="R376" s="145"/>
      <c r="S376" s="145"/>
      <c r="T376" s="145"/>
      <c r="U376" s="145"/>
      <c r="V376" s="145"/>
      <c r="W376" s="145"/>
      <c r="X376" s="145"/>
      <c r="Y376" s="145"/>
      <c r="Z376" s="145"/>
      <c r="AA376" s="150"/>
      <c r="AB376" s="151"/>
      <c r="AC376" s="150"/>
      <c r="AD376" s="150"/>
      <c r="AE376" s="150"/>
      <c r="AF376" s="150"/>
      <c r="AG376" s="150"/>
      <c r="AH376" s="150"/>
      <c r="AI376" s="150"/>
      <c r="AJ376" s="150"/>
      <c r="AK376" s="151">
        <f>SUBTOTAL(9,AK2:AK355)</f>
        <v>39056.400000000001</v>
      </c>
      <c r="AL376" s="151">
        <f>SUBTOTAL(9,AL2:AL355)</f>
        <v>2055.5999999999985</v>
      </c>
      <c r="AM376" s="150"/>
      <c r="AN376" s="150"/>
      <c r="AO376" s="150"/>
      <c r="AP376" s="150"/>
      <c r="AQ376" s="150"/>
      <c r="AR376" s="150"/>
      <c r="AS376" s="150"/>
      <c r="AT376" s="150"/>
      <c r="AU376" s="150"/>
      <c r="AV376" s="150"/>
      <c r="AW376" s="150"/>
      <c r="AX376" s="150"/>
      <c r="AY376" s="150"/>
      <c r="AZ376" s="150"/>
      <c r="BA376" s="150"/>
      <c r="BB376" s="150"/>
      <c r="BC376" s="150"/>
      <c r="BD376" s="150"/>
      <c r="BE376" s="150"/>
      <c r="BF376" s="150"/>
      <c r="BG376" s="150"/>
      <c r="BH376" s="150"/>
      <c r="BI376" s="150"/>
      <c r="BJ376" s="150"/>
      <c r="BK376" s="150"/>
      <c r="BL376" s="150"/>
      <c r="BM376" s="150"/>
      <c r="BN376" s="72"/>
      <c r="BO376" s="72"/>
      <c r="BP376" s="72"/>
      <c r="BQ376" s="72"/>
      <c r="BR376" s="72"/>
      <c r="BS376" s="72"/>
      <c r="BT376" s="72"/>
      <c r="BU376" s="72"/>
      <c r="BV376" s="72"/>
      <c r="BW376" s="72"/>
      <c r="BX376" s="72"/>
      <c r="BY376" s="72"/>
      <c r="BZ376" s="72"/>
      <c r="CA376" s="72"/>
      <c r="CB376" s="72"/>
      <c r="CC376" s="72"/>
      <c r="CD376" s="72"/>
      <c r="CE376" s="72"/>
      <c r="CF376" s="72"/>
      <c r="CG376" s="72"/>
      <c r="CH376" s="72"/>
      <c r="CI376" s="72"/>
      <c r="CJ376" s="72"/>
      <c r="CK376" s="72"/>
      <c r="CL376" s="72"/>
      <c r="CM376" s="72"/>
      <c r="CN376" s="72"/>
      <c r="CO376" s="72"/>
      <c r="CP376" s="72"/>
      <c r="CQ376" s="72"/>
      <c r="CR376" s="72"/>
      <c r="CS376" s="72"/>
      <c r="CT376" s="150"/>
      <c r="CU376" s="152"/>
      <c r="CV376" s="72"/>
      <c r="CW376" s="72"/>
      <c r="CX376" s="72"/>
      <c r="CY376" s="72"/>
      <c r="CZ376" s="72"/>
      <c r="DA376" s="72"/>
      <c r="DB376" s="72"/>
      <c r="DC376" s="72"/>
      <c r="DD376" s="72"/>
      <c r="DE376" s="72"/>
      <c r="DF376" s="72"/>
      <c r="DG376" s="72"/>
      <c r="DH376" s="72"/>
      <c r="DI376" s="72"/>
      <c r="DJ376" s="72"/>
      <c r="DK376" s="72"/>
      <c r="DL376" s="72"/>
      <c r="DM376" s="72"/>
      <c r="DN376" s="72"/>
      <c r="DO376" s="72"/>
      <c r="DP376" s="72"/>
      <c r="DQ376" s="72"/>
      <c r="DR376" s="72"/>
      <c r="DS376" s="72"/>
      <c r="DT376" s="72"/>
      <c r="DU376" s="72"/>
      <c r="DV376" s="72"/>
      <c r="DW376" s="72"/>
      <c r="DX376" s="72"/>
      <c r="DY376" s="72"/>
      <c r="DZ376" s="72"/>
      <c r="EA376" s="72"/>
      <c r="EB376" s="72"/>
      <c r="EC376" s="72"/>
      <c r="ED376" s="72"/>
      <c r="EE376" s="72"/>
      <c r="EF376" s="72"/>
      <c r="EG376" s="72"/>
      <c r="EH376" s="72"/>
      <c r="EI376" s="72"/>
      <c r="EJ376" s="72"/>
      <c r="EK376" s="72"/>
      <c r="EL376" s="72"/>
      <c r="EM376" s="72"/>
      <c r="EN376" s="72"/>
      <c r="EO376" s="72"/>
      <c r="EP376" s="72"/>
      <c r="EQ376" s="72"/>
      <c r="ER376" s="72"/>
      <c r="ES376" s="72"/>
      <c r="ET376" s="72"/>
      <c r="EU376" s="72"/>
      <c r="EV376" s="72"/>
      <c r="EW376" s="72"/>
      <c r="EX376" s="72"/>
      <c r="EY376" s="72"/>
      <c r="EZ376" s="72"/>
      <c r="FA376" s="72"/>
      <c r="FB376" s="72"/>
      <c r="FC376" s="72"/>
      <c r="FD376" s="72"/>
    </row>
    <row r="377" spans="1:264">
      <c r="A377" s="145"/>
      <c r="B377" s="145"/>
      <c r="C377" s="145"/>
      <c r="D377" s="145"/>
      <c r="E377" s="146"/>
      <c r="F377" s="145"/>
      <c r="G377" s="145"/>
      <c r="H377" s="145"/>
      <c r="I377" s="317"/>
      <c r="J377" s="145"/>
      <c r="K377" s="145"/>
      <c r="L377" s="72"/>
      <c r="M377" s="318"/>
      <c r="N377" s="146"/>
      <c r="O377" s="72"/>
      <c r="P377" s="72"/>
      <c r="Q377" s="145"/>
      <c r="R377" s="145"/>
      <c r="S377" s="145"/>
      <c r="T377" s="145"/>
      <c r="U377" s="145"/>
      <c r="V377" s="145"/>
      <c r="W377" s="145"/>
      <c r="X377" s="145"/>
      <c r="Y377" s="145"/>
      <c r="Z377" s="145"/>
      <c r="AA377" s="150"/>
      <c r="AB377" s="151"/>
      <c r="AC377" s="150"/>
      <c r="AD377" s="150"/>
      <c r="AE377" s="150"/>
      <c r="AF377" s="150"/>
      <c r="AG377" s="150"/>
      <c r="AH377" s="150"/>
      <c r="AI377" s="150"/>
      <c r="AJ377" s="150"/>
      <c r="AK377" s="319">
        <f>AB376-AB377</f>
        <v>0</v>
      </c>
      <c r="AL377" s="319">
        <f>AB376-AB377</f>
        <v>0</v>
      </c>
      <c r="AM377" s="150"/>
      <c r="AN377" s="150"/>
      <c r="AO377" s="150"/>
      <c r="AP377" s="150"/>
      <c r="AQ377" s="150"/>
      <c r="AR377" s="150"/>
      <c r="AS377" s="150"/>
      <c r="AT377" s="150"/>
      <c r="AU377" s="150"/>
      <c r="AV377" s="150"/>
      <c r="AW377" s="150"/>
      <c r="AX377" s="150"/>
      <c r="AY377" s="150"/>
      <c r="AZ377" s="150"/>
      <c r="BA377" s="150"/>
      <c r="BB377" s="150"/>
      <c r="BC377" s="150"/>
      <c r="BD377" s="150"/>
      <c r="BE377" s="150"/>
      <c r="BF377" s="150"/>
      <c r="BG377" s="150"/>
      <c r="BH377" s="150"/>
      <c r="BI377" s="150"/>
      <c r="BJ377" s="150"/>
      <c r="BK377" s="150"/>
      <c r="BL377" s="150"/>
      <c r="BM377" s="150"/>
      <c r="BN377" s="72"/>
      <c r="BO377" s="72"/>
      <c r="BP377" s="72"/>
      <c r="BQ377" s="72"/>
      <c r="BR377" s="72"/>
      <c r="BS377" s="72"/>
      <c r="BT377" s="72"/>
      <c r="BU377" s="72"/>
      <c r="BV377" s="72"/>
      <c r="BW377" s="72"/>
      <c r="BX377" s="72"/>
      <c r="BY377" s="72"/>
      <c r="BZ377" s="72"/>
      <c r="CA377" s="72"/>
      <c r="CB377" s="72"/>
      <c r="CC377" s="72"/>
      <c r="CD377" s="72"/>
      <c r="CE377" s="72"/>
      <c r="CF377" s="72"/>
      <c r="CG377" s="72"/>
      <c r="CH377" s="72"/>
      <c r="CI377" s="72"/>
      <c r="CJ377" s="72"/>
      <c r="CK377" s="72"/>
      <c r="CL377" s="72"/>
      <c r="CM377" s="72"/>
      <c r="CN377" s="72"/>
      <c r="CO377" s="72"/>
      <c r="CP377" s="72"/>
      <c r="CQ377" s="72"/>
      <c r="CR377" s="72"/>
      <c r="CS377" s="72"/>
      <c r="CT377" s="150"/>
      <c r="CU377" s="152"/>
      <c r="CV377" s="72"/>
      <c r="CW377" s="72"/>
      <c r="CX377" s="72"/>
      <c r="CY377" s="72"/>
      <c r="CZ377" s="72"/>
      <c r="DA377" s="72"/>
      <c r="DB377" s="72"/>
      <c r="DC377" s="72"/>
      <c r="DD377" s="72"/>
      <c r="DE377" s="72"/>
      <c r="DF377" s="72"/>
      <c r="DG377" s="72"/>
      <c r="DH377" s="72"/>
      <c r="DI377" s="72"/>
      <c r="DJ377" s="72"/>
      <c r="DK377" s="72"/>
      <c r="DL377" s="72"/>
      <c r="DM377" s="72"/>
      <c r="DN377" s="72"/>
      <c r="DO377" s="72"/>
      <c r="DP377" s="72"/>
      <c r="DQ377" s="72"/>
      <c r="DR377" s="72"/>
      <c r="DS377" s="72"/>
      <c r="DT377" s="72"/>
      <c r="DU377" s="72"/>
      <c r="DV377" s="72"/>
      <c r="DW377" s="72"/>
      <c r="DX377" s="72"/>
      <c r="DY377" s="72"/>
      <c r="DZ377" s="72"/>
      <c r="EA377" s="72"/>
      <c r="EB377" s="72"/>
      <c r="EC377" s="72"/>
      <c r="ED377" s="72"/>
      <c r="EE377" s="72"/>
      <c r="EF377" s="72"/>
      <c r="EG377" s="72"/>
      <c r="EH377" s="72"/>
      <c r="EI377" s="72"/>
      <c r="EJ377" s="72"/>
      <c r="EK377" s="72"/>
      <c r="EL377" s="72"/>
      <c r="EM377" s="72"/>
      <c r="EN377" s="72"/>
      <c r="EO377" s="72"/>
      <c r="EP377" s="72"/>
      <c r="EQ377" s="72"/>
      <c r="ER377" s="72"/>
      <c r="ES377" s="72"/>
      <c r="ET377" s="72"/>
      <c r="EU377" s="72"/>
      <c r="EV377" s="72"/>
      <c r="EW377" s="72"/>
      <c r="EX377" s="72"/>
      <c r="EY377" s="72"/>
      <c r="EZ377" s="72"/>
      <c r="FA377" s="72"/>
      <c r="FB377" s="72"/>
      <c r="FC377" s="72"/>
      <c r="FD377" s="72"/>
    </row>
    <row r="378" spans="1:264">
      <c r="A378" s="145"/>
      <c r="B378" s="145"/>
      <c r="C378" s="145"/>
      <c r="D378" s="145"/>
      <c r="E378" s="146"/>
      <c r="F378" s="145"/>
      <c r="G378" s="145"/>
      <c r="H378" s="145"/>
      <c r="I378" s="317"/>
      <c r="J378" s="145"/>
      <c r="K378" s="145"/>
      <c r="L378" s="72"/>
      <c r="M378" s="318"/>
      <c r="N378" s="146"/>
      <c r="O378" s="72"/>
      <c r="P378" s="72"/>
      <c r="Q378" s="145"/>
      <c r="R378" s="145"/>
      <c r="S378" s="145"/>
      <c r="T378" s="145"/>
      <c r="U378" s="145"/>
      <c r="V378" s="145"/>
      <c r="W378" s="145"/>
      <c r="X378" s="145"/>
      <c r="Y378" s="145"/>
      <c r="Z378" s="145"/>
      <c r="AA378" s="150"/>
      <c r="AB378" s="151"/>
      <c r="AC378" s="150"/>
      <c r="AD378" s="150"/>
      <c r="AE378" s="150"/>
      <c r="AF378" s="150"/>
      <c r="AG378" s="150"/>
      <c r="AH378" s="150"/>
      <c r="AI378" s="150"/>
      <c r="AJ378" s="150"/>
      <c r="AK378" s="319"/>
      <c r="AL378" s="150">
        <f>AB377-AK378</f>
        <v>0</v>
      </c>
      <c r="AM378" s="150"/>
      <c r="AN378" s="150"/>
      <c r="AO378" s="150"/>
      <c r="AP378" s="150"/>
      <c r="AQ378" s="150"/>
      <c r="AR378" s="150"/>
      <c r="AS378" s="150"/>
      <c r="AT378" s="150"/>
      <c r="AU378" s="150"/>
      <c r="AV378" s="150"/>
      <c r="AW378" s="150"/>
      <c r="AX378" s="150"/>
      <c r="AY378" s="150"/>
      <c r="AZ378" s="150"/>
      <c r="BA378" s="150"/>
      <c r="BB378" s="150"/>
      <c r="BC378" s="150"/>
      <c r="BD378" s="150"/>
      <c r="BE378" s="150"/>
      <c r="BF378" s="150"/>
      <c r="BG378" s="150"/>
      <c r="BH378" s="150"/>
      <c r="BI378" s="150"/>
      <c r="BJ378" s="150"/>
      <c r="BK378" s="150"/>
      <c r="BL378" s="150"/>
      <c r="BM378" s="150"/>
      <c r="BN378" s="72"/>
      <c r="BO378" s="72"/>
      <c r="BP378" s="72"/>
      <c r="BQ378" s="72"/>
      <c r="BR378" s="72"/>
      <c r="BS378" s="72"/>
      <c r="BT378" s="72"/>
      <c r="BU378" s="72"/>
      <c r="BV378" s="72"/>
      <c r="BW378" s="72"/>
      <c r="BX378" s="72"/>
      <c r="BY378" s="72"/>
      <c r="BZ378" s="72"/>
      <c r="CA378" s="72"/>
      <c r="CB378" s="72"/>
      <c r="CC378" s="72"/>
      <c r="CD378" s="72"/>
      <c r="CE378" s="72"/>
      <c r="CF378" s="72"/>
      <c r="CG378" s="72"/>
      <c r="CH378" s="72"/>
      <c r="CI378" s="72"/>
      <c r="CJ378" s="72"/>
      <c r="CK378" s="72"/>
      <c r="CL378" s="72"/>
      <c r="CM378" s="72"/>
      <c r="CN378" s="72"/>
      <c r="CO378" s="72"/>
      <c r="CP378" s="72"/>
      <c r="CQ378" s="72"/>
      <c r="CR378" s="72"/>
      <c r="CS378" s="72"/>
      <c r="CT378" s="150"/>
      <c r="CU378" s="152"/>
      <c r="CV378" s="72"/>
      <c r="CW378" s="72"/>
      <c r="CX378" s="72"/>
      <c r="CY378" s="72"/>
      <c r="CZ378" s="72"/>
      <c r="DA378" s="72"/>
      <c r="DB378" s="72"/>
      <c r="DC378" s="72"/>
      <c r="DD378" s="72"/>
      <c r="DE378" s="72"/>
      <c r="DF378" s="72"/>
      <c r="DG378" s="72"/>
      <c r="DH378" s="72"/>
      <c r="DI378" s="72"/>
      <c r="DJ378" s="72"/>
      <c r="DK378" s="72"/>
      <c r="DL378" s="72"/>
      <c r="DM378" s="72"/>
      <c r="DN378" s="72"/>
      <c r="DO378" s="72"/>
      <c r="DP378" s="72"/>
      <c r="DQ378" s="72"/>
      <c r="DR378" s="72"/>
      <c r="DS378" s="72"/>
      <c r="DT378" s="72"/>
      <c r="DU378" s="72"/>
      <c r="DV378" s="72"/>
      <c r="DW378" s="72"/>
      <c r="DX378" s="72"/>
      <c r="DY378" s="72"/>
      <c r="DZ378" s="72"/>
      <c r="EA378" s="72"/>
      <c r="EB378" s="72"/>
      <c r="EC378" s="72"/>
      <c r="ED378" s="72"/>
      <c r="EE378" s="72"/>
      <c r="EF378" s="72"/>
      <c r="EG378" s="72"/>
      <c r="EH378" s="72"/>
      <c r="EI378" s="72"/>
      <c r="EJ378" s="72"/>
      <c r="EK378" s="72"/>
      <c r="EL378" s="72"/>
      <c r="EM378" s="72"/>
      <c r="EN378" s="72"/>
      <c r="EO378" s="72"/>
      <c r="EP378" s="72"/>
      <c r="EQ378" s="72"/>
      <c r="ER378" s="72"/>
      <c r="ES378" s="72"/>
      <c r="ET378" s="72"/>
      <c r="EU378" s="72"/>
      <c r="EV378" s="72"/>
      <c r="EW378" s="72"/>
      <c r="EX378" s="72"/>
      <c r="EY378" s="72"/>
      <c r="EZ378" s="72"/>
      <c r="FA378" s="72"/>
      <c r="FB378" s="72"/>
      <c r="FC378" s="72"/>
      <c r="FD378" s="72"/>
    </row>
    <row r="379" spans="1:264">
      <c r="A379" s="145"/>
      <c r="B379" s="145"/>
      <c r="C379" s="145"/>
      <c r="D379" s="145"/>
      <c r="E379" s="146"/>
      <c r="F379" s="145"/>
      <c r="G379" s="145"/>
      <c r="H379" s="145"/>
      <c r="I379" s="317"/>
      <c r="J379" s="145"/>
      <c r="K379" s="145"/>
      <c r="L379" s="72"/>
      <c r="M379" s="318"/>
      <c r="N379" s="146"/>
      <c r="O379" s="72"/>
      <c r="P379" s="72"/>
      <c r="Q379" s="145"/>
      <c r="R379" s="145"/>
      <c r="S379" s="145"/>
      <c r="T379" s="145"/>
      <c r="U379" s="145"/>
      <c r="V379" s="145"/>
      <c r="W379" s="145"/>
      <c r="X379" s="145"/>
      <c r="Y379" s="145"/>
      <c r="Z379" s="145"/>
      <c r="AA379" s="150"/>
      <c r="AB379" s="151"/>
      <c r="AC379" s="150"/>
      <c r="AD379" s="150"/>
      <c r="AE379" s="150"/>
      <c r="AF379" s="150"/>
      <c r="AG379" s="150"/>
      <c r="AH379" s="150"/>
      <c r="AI379" s="150"/>
      <c r="AJ379" s="150"/>
      <c r="AK379" s="150"/>
      <c r="AL379" s="150"/>
      <c r="AM379" s="150"/>
      <c r="AN379" s="150"/>
      <c r="AO379" s="150"/>
      <c r="AP379" s="150"/>
      <c r="AQ379" s="150"/>
      <c r="AR379" s="150"/>
      <c r="AS379" s="150"/>
      <c r="AT379" s="150"/>
      <c r="AU379" s="150"/>
      <c r="AV379" s="150"/>
      <c r="AW379" s="150"/>
      <c r="AX379" s="150"/>
      <c r="AY379" s="150"/>
      <c r="AZ379" s="150"/>
      <c r="BA379" s="150"/>
      <c r="BB379" s="150"/>
      <c r="BC379" s="150"/>
      <c r="BD379" s="150"/>
      <c r="BE379" s="150"/>
      <c r="BF379" s="150"/>
      <c r="BG379" s="150"/>
      <c r="BH379" s="150"/>
      <c r="BI379" s="150"/>
      <c r="BJ379" s="150"/>
      <c r="BK379" s="150"/>
      <c r="BL379" s="150"/>
      <c r="BM379" s="150"/>
      <c r="BN379" s="72"/>
      <c r="BO379" s="72"/>
      <c r="BP379" s="72"/>
      <c r="BQ379" s="72"/>
      <c r="BR379" s="72"/>
      <c r="BS379" s="72"/>
      <c r="BT379" s="72"/>
      <c r="BU379" s="72"/>
      <c r="BV379" s="72"/>
      <c r="BW379" s="72"/>
      <c r="BX379" s="72"/>
      <c r="BY379" s="72"/>
      <c r="BZ379" s="72"/>
      <c r="CA379" s="72"/>
      <c r="CB379" s="72"/>
      <c r="CC379" s="72"/>
      <c r="CD379" s="72"/>
      <c r="CE379" s="72"/>
      <c r="CF379" s="72"/>
      <c r="CG379" s="72"/>
      <c r="CH379" s="72"/>
      <c r="CI379" s="72"/>
      <c r="CJ379" s="72"/>
      <c r="CK379" s="72"/>
      <c r="CL379" s="72"/>
      <c r="CM379" s="72"/>
      <c r="CN379" s="72"/>
      <c r="CO379" s="72"/>
      <c r="CP379" s="72"/>
      <c r="CQ379" s="72"/>
      <c r="CR379" s="72"/>
      <c r="CS379" s="72"/>
      <c r="CT379" s="150"/>
      <c r="CU379" s="152"/>
      <c r="CV379" s="72"/>
      <c r="CW379" s="72"/>
      <c r="CX379" s="72"/>
      <c r="CY379" s="72"/>
      <c r="CZ379" s="72"/>
      <c r="DA379" s="72"/>
      <c r="DB379" s="72"/>
      <c r="DC379" s="72"/>
      <c r="DD379" s="72"/>
      <c r="DE379" s="72"/>
      <c r="DF379" s="72"/>
      <c r="DG379" s="72"/>
      <c r="DH379" s="72"/>
      <c r="DI379" s="72"/>
      <c r="DJ379" s="72"/>
      <c r="DK379" s="72"/>
      <c r="DL379" s="72"/>
      <c r="DM379" s="72"/>
      <c r="DN379" s="72"/>
      <c r="DO379" s="72"/>
      <c r="DP379" s="72"/>
      <c r="DQ379" s="72"/>
      <c r="DR379" s="72"/>
      <c r="DS379" s="72"/>
      <c r="DT379" s="72"/>
      <c r="DU379" s="72"/>
      <c r="DV379" s="72"/>
      <c r="DW379" s="72"/>
      <c r="DX379" s="72"/>
      <c r="DY379" s="72"/>
      <c r="DZ379" s="72"/>
      <c r="EA379" s="72"/>
      <c r="EB379" s="72"/>
      <c r="EC379" s="72"/>
      <c r="ED379" s="72"/>
      <c r="EE379" s="72"/>
      <c r="EF379" s="72"/>
      <c r="EG379" s="72"/>
      <c r="EH379" s="72"/>
      <c r="EI379" s="72"/>
      <c r="EJ379" s="72"/>
      <c r="EK379" s="72"/>
      <c r="EL379" s="72"/>
      <c r="EM379" s="72"/>
      <c r="EN379" s="72"/>
      <c r="EO379" s="72"/>
      <c r="EP379" s="72"/>
      <c r="EQ379" s="72"/>
      <c r="ER379" s="72"/>
      <c r="ES379" s="72"/>
      <c r="ET379" s="72"/>
      <c r="EU379" s="72"/>
      <c r="EV379" s="72"/>
      <c r="EW379" s="72"/>
      <c r="EX379" s="72"/>
      <c r="EY379" s="72"/>
      <c r="EZ379" s="72"/>
      <c r="FA379" s="72"/>
      <c r="FB379" s="72"/>
      <c r="FC379" s="72"/>
      <c r="FD379" s="72"/>
    </row>
    <row r="380" spans="1:264">
      <c r="A380" s="145"/>
      <c r="B380" s="145"/>
      <c r="C380" s="145"/>
      <c r="D380" s="145"/>
      <c r="E380" s="146"/>
      <c r="F380" s="145"/>
      <c r="G380" s="145"/>
      <c r="H380" s="145"/>
      <c r="I380" s="317"/>
      <c r="J380" s="145"/>
      <c r="K380" s="145"/>
      <c r="L380" s="72"/>
      <c r="M380" s="318"/>
      <c r="N380" s="146"/>
      <c r="O380" s="72"/>
      <c r="P380" s="72"/>
      <c r="Q380" s="145"/>
      <c r="R380" s="145"/>
      <c r="S380" s="145"/>
      <c r="T380" s="145"/>
      <c r="U380" s="145"/>
      <c r="V380" s="145"/>
      <c r="W380" s="145"/>
      <c r="X380" s="145"/>
      <c r="Y380" s="145"/>
      <c r="Z380" s="145"/>
      <c r="AA380" s="150"/>
      <c r="AB380" s="151"/>
      <c r="AC380" s="150"/>
      <c r="AD380" s="150"/>
      <c r="AE380" s="150"/>
      <c r="AF380" s="150"/>
      <c r="AG380" s="150"/>
      <c r="AH380" s="150"/>
      <c r="AI380" s="150"/>
      <c r="AJ380" s="150"/>
      <c r="AK380" s="150"/>
      <c r="AL380" s="150"/>
      <c r="AM380" s="150"/>
      <c r="AN380" s="150"/>
      <c r="AO380" s="150"/>
      <c r="AP380" s="150"/>
      <c r="AQ380" s="150"/>
      <c r="AR380" s="150"/>
      <c r="AS380" s="150"/>
      <c r="AT380" s="150"/>
      <c r="AU380" s="150"/>
      <c r="AV380" s="150"/>
      <c r="AW380" s="150"/>
      <c r="AX380" s="150"/>
      <c r="AY380" s="150"/>
      <c r="AZ380" s="150"/>
      <c r="BA380" s="150"/>
      <c r="BB380" s="150"/>
      <c r="BC380" s="150"/>
      <c r="BD380" s="150"/>
      <c r="BE380" s="150"/>
      <c r="BF380" s="150"/>
      <c r="BG380" s="150"/>
      <c r="BH380" s="150"/>
      <c r="BI380" s="150"/>
      <c r="BJ380" s="150"/>
      <c r="BK380" s="150"/>
      <c r="BL380" s="150"/>
      <c r="BM380" s="150"/>
      <c r="BN380" s="72"/>
      <c r="BO380" s="72"/>
      <c r="BP380" s="72"/>
      <c r="BQ380" s="72"/>
      <c r="BR380" s="72"/>
      <c r="BS380" s="72"/>
      <c r="BT380" s="72"/>
      <c r="BU380" s="72"/>
      <c r="BV380" s="72"/>
      <c r="BW380" s="72"/>
      <c r="BX380" s="72"/>
      <c r="BY380" s="72"/>
      <c r="BZ380" s="72"/>
      <c r="CA380" s="72"/>
      <c r="CB380" s="72"/>
      <c r="CC380" s="72"/>
      <c r="CD380" s="72"/>
      <c r="CE380" s="72"/>
      <c r="CF380" s="72"/>
      <c r="CG380" s="72"/>
      <c r="CH380" s="72"/>
      <c r="CI380" s="72"/>
      <c r="CJ380" s="72"/>
      <c r="CK380" s="72"/>
      <c r="CL380" s="72"/>
      <c r="CM380" s="72"/>
      <c r="CN380" s="72"/>
      <c r="CO380" s="72"/>
      <c r="CP380" s="72"/>
      <c r="CQ380" s="72"/>
      <c r="CR380" s="72"/>
      <c r="CS380" s="72"/>
      <c r="CT380" s="150"/>
      <c r="CU380" s="152"/>
      <c r="CV380" s="72"/>
      <c r="CW380" s="72"/>
      <c r="CX380" s="72"/>
      <c r="CY380" s="72"/>
      <c r="CZ380" s="72"/>
      <c r="DA380" s="72"/>
      <c r="DB380" s="72"/>
      <c r="DC380" s="72"/>
      <c r="DD380" s="72"/>
      <c r="DE380" s="72"/>
      <c r="DF380" s="72"/>
      <c r="DG380" s="72"/>
      <c r="DH380" s="72"/>
      <c r="DI380" s="72"/>
      <c r="DJ380" s="72"/>
      <c r="DK380" s="72"/>
      <c r="DL380" s="72"/>
      <c r="DM380" s="72"/>
      <c r="DN380" s="72"/>
      <c r="DO380" s="72"/>
      <c r="DP380" s="72"/>
      <c r="DQ380" s="72"/>
      <c r="DR380" s="72"/>
      <c r="DS380" s="72"/>
      <c r="DT380" s="72"/>
      <c r="DU380" s="72"/>
      <c r="DV380" s="72"/>
      <c r="DW380" s="72"/>
      <c r="DX380" s="72"/>
      <c r="DY380" s="72"/>
      <c r="DZ380" s="72"/>
      <c r="EA380" s="72"/>
      <c r="EB380" s="72"/>
      <c r="EC380" s="72"/>
      <c r="ED380" s="72"/>
      <c r="EE380" s="72"/>
      <c r="EF380" s="72"/>
      <c r="EG380" s="72"/>
      <c r="EH380" s="72"/>
      <c r="EI380" s="72"/>
      <c r="EJ380" s="72"/>
      <c r="EK380" s="72"/>
      <c r="EL380" s="72"/>
      <c r="EM380" s="72"/>
      <c r="EN380" s="72"/>
      <c r="EO380" s="72"/>
      <c r="EP380" s="72"/>
      <c r="EQ380" s="72"/>
      <c r="ER380" s="72"/>
      <c r="ES380" s="72"/>
      <c r="ET380" s="72"/>
      <c r="EU380" s="72"/>
      <c r="EV380" s="72"/>
      <c r="EW380" s="72"/>
      <c r="EX380" s="72"/>
      <c r="EY380" s="72"/>
      <c r="EZ380" s="72"/>
      <c r="FA380" s="72"/>
      <c r="FB380" s="72"/>
      <c r="FC380" s="72"/>
      <c r="FD380" s="72"/>
    </row>
    <row r="381" spans="1:264">
      <c r="A381" s="145"/>
      <c r="B381" s="145"/>
      <c r="C381" s="145"/>
      <c r="D381" s="145"/>
      <c r="E381" s="146"/>
      <c r="F381" s="145"/>
      <c r="G381" s="145"/>
      <c r="H381" s="145"/>
      <c r="I381" s="317"/>
      <c r="J381" s="145"/>
      <c r="K381" s="145"/>
      <c r="L381" s="72"/>
      <c r="M381" s="318"/>
      <c r="N381" s="146"/>
      <c r="O381" s="72"/>
      <c r="P381" s="72"/>
      <c r="Q381" s="145"/>
      <c r="R381" s="145"/>
      <c r="S381" s="145"/>
      <c r="T381" s="145"/>
      <c r="U381" s="145"/>
      <c r="V381" s="145"/>
      <c r="W381" s="145"/>
      <c r="X381" s="145"/>
      <c r="Y381" s="145"/>
      <c r="Z381" s="145"/>
      <c r="AA381" s="150"/>
      <c r="AB381" s="151"/>
      <c r="AC381" s="150"/>
      <c r="AD381" s="150"/>
      <c r="AE381" s="150"/>
      <c r="AF381" s="150"/>
      <c r="AG381" s="150"/>
      <c r="AH381" s="150"/>
      <c r="AI381" s="150"/>
      <c r="AJ381" s="150"/>
      <c r="AK381" s="150"/>
      <c r="AL381" s="150"/>
      <c r="AM381" s="150"/>
      <c r="AN381" s="150"/>
      <c r="AO381" s="150"/>
      <c r="AP381" s="150"/>
      <c r="AQ381" s="150"/>
      <c r="AR381" s="150"/>
      <c r="AS381" s="150"/>
      <c r="AT381" s="150"/>
      <c r="AU381" s="150"/>
      <c r="AV381" s="150"/>
      <c r="AW381" s="150"/>
      <c r="AX381" s="150"/>
      <c r="AY381" s="150"/>
      <c r="AZ381" s="150"/>
      <c r="BA381" s="150"/>
      <c r="BB381" s="150"/>
      <c r="BC381" s="150"/>
      <c r="BD381" s="150"/>
      <c r="BE381" s="150"/>
      <c r="BF381" s="150"/>
      <c r="BG381" s="150"/>
      <c r="BH381" s="150"/>
      <c r="BI381" s="150"/>
      <c r="BJ381" s="150"/>
      <c r="BK381" s="150"/>
      <c r="BL381" s="150"/>
      <c r="BM381" s="150"/>
      <c r="BN381" s="72"/>
      <c r="BO381" s="72"/>
      <c r="BP381" s="72"/>
      <c r="BQ381" s="72"/>
      <c r="BR381" s="72"/>
      <c r="BS381" s="72"/>
      <c r="BT381" s="72"/>
      <c r="BU381" s="72"/>
      <c r="BV381" s="72"/>
      <c r="BW381" s="72"/>
      <c r="BX381" s="72"/>
      <c r="BY381" s="72"/>
      <c r="BZ381" s="72"/>
      <c r="CA381" s="72"/>
      <c r="CB381" s="72"/>
      <c r="CC381" s="72"/>
      <c r="CD381" s="72"/>
      <c r="CE381" s="72"/>
      <c r="CF381" s="72"/>
      <c r="CG381" s="72"/>
      <c r="CH381" s="72"/>
      <c r="CI381" s="72"/>
      <c r="CJ381" s="72"/>
      <c r="CK381" s="72"/>
      <c r="CL381" s="72"/>
      <c r="CM381" s="72"/>
      <c r="CN381" s="72"/>
      <c r="CO381" s="72"/>
      <c r="CP381" s="72"/>
      <c r="CQ381" s="72"/>
      <c r="CR381" s="72"/>
      <c r="CS381" s="72"/>
      <c r="CT381" s="150"/>
      <c r="CU381" s="152"/>
      <c r="CV381" s="72"/>
      <c r="CW381" s="72"/>
      <c r="CX381" s="72"/>
      <c r="CY381" s="72"/>
      <c r="CZ381" s="72"/>
      <c r="DA381" s="72"/>
      <c r="DB381" s="72"/>
      <c r="DC381" s="72"/>
      <c r="DD381" s="72"/>
      <c r="DE381" s="72"/>
      <c r="DF381" s="72"/>
      <c r="DG381" s="72"/>
      <c r="DH381" s="72"/>
      <c r="DI381" s="72"/>
      <c r="DJ381" s="72"/>
      <c r="DK381" s="72"/>
      <c r="DL381" s="72"/>
      <c r="DM381" s="72"/>
      <c r="DN381" s="72"/>
      <c r="DO381" s="72"/>
      <c r="DP381" s="72"/>
      <c r="DQ381" s="72"/>
      <c r="DR381" s="72"/>
      <c r="DS381" s="72"/>
      <c r="DT381" s="72"/>
      <c r="DU381" s="72"/>
      <c r="DV381" s="72"/>
      <c r="DW381" s="72"/>
      <c r="DX381" s="72"/>
      <c r="DY381" s="72"/>
      <c r="DZ381" s="72"/>
      <c r="EA381" s="72"/>
      <c r="EB381" s="72"/>
      <c r="EC381" s="72"/>
      <c r="ED381" s="72"/>
      <c r="EE381" s="72"/>
      <c r="EF381" s="72"/>
      <c r="EG381" s="72"/>
      <c r="EH381" s="72"/>
      <c r="EI381" s="72"/>
      <c r="EJ381" s="72"/>
      <c r="EK381" s="72"/>
      <c r="EL381" s="72"/>
      <c r="EM381" s="72"/>
      <c r="EN381" s="72"/>
      <c r="EO381" s="72"/>
      <c r="EP381" s="72"/>
      <c r="EQ381" s="72"/>
      <c r="ER381" s="72"/>
      <c r="ES381" s="72"/>
      <c r="ET381" s="72"/>
      <c r="EU381" s="72"/>
      <c r="EV381" s="72"/>
      <c r="EW381" s="72"/>
      <c r="EX381" s="72"/>
      <c r="EY381" s="72"/>
      <c r="EZ381" s="72"/>
      <c r="FA381" s="72"/>
      <c r="FB381" s="72"/>
      <c r="FC381" s="72"/>
      <c r="FD381" s="72"/>
    </row>
    <row r="382" spans="1:264">
      <c r="A382" s="145"/>
      <c r="B382" s="145"/>
      <c r="C382" s="145"/>
      <c r="D382" s="145"/>
      <c r="E382" s="146"/>
      <c r="F382" s="145"/>
      <c r="G382" s="145"/>
      <c r="H382" s="145"/>
      <c r="I382" s="317"/>
      <c r="J382" s="145"/>
      <c r="K382" s="145"/>
      <c r="L382" s="72"/>
      <c r="M382" s="318"/>
      <c r="N382" s="146"/>
      <c r="O382" s="72"/>
      <c r="P382" s="72"/>
      <c r="Q382" s="145"/>
      <c r="R382" s="145"/>
      <c r="S382" s="145"/>
      <c r="T382" s="145"/>
      <c r="U382" s="145"/>
      <c r="V382" s="145"/>
      <c r="W382" s="145"/>
      <c r="X382" s="145"/>
      <c r="Y382" s="145"/>
      <c r="Z382" s="145"/>
      <c r="AA382" s="150"/>
      <c r="AB382" s="151"/>
      <c r="AC382" s="150"/>
      <c r="AD382" s="150"/>
      <c r="AE382" s="150"/>
      <c r="AF382" s="150"/>
      <c r="AG382" s="150"/>
      <c r="AH382" s="150"/>
      <c r="AI382" s="150"/>
      <c r="AJ382" s="150"/>
      <c r="AK382" s="150"/>
      <c r="AL382" s="150"/>
      <c r="AM382" s="150"/>
      <c r="AN382" s="150"/>
      <c r="AO382" s="150"/>
      <c r="AP382" s="150"/>
      <c r="AQ382" s="150"/>
      <c r="AR382" s="150"/>
      <c r="AS382" s="150"/>
      <c r="AT382" s="150"/>
      <c r="AU382" s="150"/>
      <c r="AV382" s="150"/>
      <c r="AW382" s="150"/>
      <c r="AX382" s="150"/>
      <c r="AY382" s="150"/>
      <c r="AZ382" s="150"/>
      <c r="BA382" s="150"/>
      <c r="BB382" s="150"/>
      <c r="BC382" s="150"/>
      <c r="BD382" s="150"/>
      <c r="BE382" s="150"/>
      <c r="BF382" s="150"/>
      <c r="BG382" s="150"/>
      <c r="BH382" s="150"/>
      <c r="BI382" s="150"/>
      <c r="BJ382" s="150"/>
      <c r="BK382" s="150"/>
      <c r="BL382" s="150"/>
      <c r="BM382" s="150"/>
      <c r="BN382" s="72"/>
      <c r="BO382" s="72"/>
      <c r="BP382" s="72"/>
      <c r="BQ382" s="72"/>
      <c r="BR382" s="72"/>
      <c r="BS382" s="72"/>
      <c r="BT382" s="72"/>
      <c r="BU382" s="72"/>
      <c r="BV382" s="72"/>
      <c r="BW382" s="72"/>
      <c r="BX382" s="72"/>
      <c r="BY382" s="72"/>
      <c r="BZ382" s="72"/>
      <c r="CA382" s="72"/>
      <c r="CB382" s="72"/>
      <c r="CC382" s="72"/>
      <c r="CD382" s="72"/>
      <c r="CE382" s="72"/>
      <c r="CF382" s="72"/>
      <c r="CG382" s="72"/>
      <c r="CH382" s="72"/>
      <c r="CI382" s="72"/>
      <c r="CJ382" s="72"/>
      <c r="CK382" s="72"/>
      <c r="CL382" s="72"/>
      <c r="CM382" s="72"/>
      <c r="CN382" s="72"/>
      <c r="CO382" s="72"/>
      <c r="CP382" s="72"/>
      <c r="CQ382" s="72"/>
      <c r="CR382" s="72"/>
      <c r="CS382" s="72"/>
      <c r="CT382" s="150"/>
      <c r="CU382" s="152"/>
      <c r="CV382" s="72"/>
      <c r="CW382" s="72"/>
      <c r="CX382" s="72"/>
      <c r="CY382" s="72"/>
      <c r="CZ382" s="72"/>
      <c r="DA382" s="72"/>
      <c r="DB382" s="72"/>
      <c r="DC382" s="72"/>
      <c r="DD382" s="72"/>
      <c r="DE382" s="72"/>
      <c r="DF382" s="72"/>
      <c r="DG382" s="72"/>
      <c r="DH382" s="72"/>
      <c r="DI382" s="72"/>
      <c r="DJ382" s="72"/>
      <c r="DK382" s="72"/>
      <c r="DL382" s="72"/>
      <c r="DM382" s="72"/>
      <c r="DN382" s="72"/>
      <c r="DO382" s="72"/>
      <c r="DP382" s="72"/>
      <c r="DQ382" s="72"/>
      <c r="DR382" s="72"/>
      <c r="DS382" s="72"/>
      <c r="DT382" s="72"/>
      <c r="DU382" s="72"/>
      <c r="DV382" s="72"/>
      <c r="DW382" s="72"/>
      <c r="DX382" s="72"/>
      <c r="DY382" s="72"/>
      <c r="DZ382" s="72"/>
      <c r="EA382" s="72"/>
      <c r="EB382" s="72"/>
      <c r="EC382" s="72"/>
      <c r="ED382" s="72"/>
      <c r="EE382" s="72"/>
      <c r="EF382" s="72"/>
      <c r="EG382" s="72"/>
      <c r="EH382" s="72"/>
      <c r="EI382" s="72"/>
      <c r="EJ382" s="72"/>
      <c r="EK382" s="72"/>
      <c r="EL382" s="72"/>
      <c r="EM382" s="72"/>
      <c r="EN382" s="72"/>
      <c r="EO382" s="72"/>
      <c r="EP382" s="72"/>
      <c r="EQ382" s="72"/>
      <c r="ER382" s="72"/>
      <c r="ES382" s="72"/>
      <c r="ET382" s="72"/>
      <c r="EU382" s="72"/>
      <c r="EV382" s="72"/>
      <c r="EW382" s="72"/>
      <c r="EX382" s="72"/>
      <c r="EY382" s="72"/>
      <c r="EZ382" s="72"/>
      <c r="FA382" s="72"/>
      <c r="FB382" s="72"/>
      <c r="FC382" s="72"/>
      <c r="FD382" s="72"/>
    </row>
    <row r="383" spans="1:264">
      <c r="A383" s="145"/>
      <c r="B383" s="145"/>
      <c r="C383" s="145"/>
      <c r="D383" s="145"/>
      <c r="E383" s="146"/>
      <c r="F383" s="145"/>
      <c r="G383" s="145"/>
      <c r="H383" s="145"/>
      <c r="I383" s="317"/>
      <c r="J383" s="145"/>
      <c r="K383" s="145"/>
      <c r="L383" s="72"/>
      <c r="M383" s="318"/>
      <c r="N383" s="146"/>
      <c r="O383" s="72"/>
      <c r="P383" s="72"/>
      <c r="Q383" s="145"/>
      <c r="R383" s="145"/>
      <c r="S383" s="145"/>
      <c r="T383" s="145"/>
      <c r="U383" s="145"/>
      <c r="V383" s="145"/>
      <c r="W383" s="145"/>
      <c r="X383" s="145"/>
      <c r="Y383" s="145"/>
      <c r="Z383" s="145"/>
      <c r="AA383" s="150"/>
      <c r="AB383" s="151"/>
      <c r="AC383" s="150"/>
      <c r="AD383" s="150"/>
      <c r="AE383" s="150"/>
      <c r="AF383" s="150"/>
      <c r="AG383" s="150"/>
      <c r="AH383" s="150"/>
      <c r="AI383" s="150"/>
      <c r="AJ383" s="150"/>
      <c r="AK383" s="150"/>
      <c r="AL383" s="150"/>
      <c r="AM383" s="150"/>
      <c r="AN383" s="150"/>
      <c r="AO383" s="150"/>
      <c r="AP383" s="150"/>
      <c r="AQ383" s="150"/>
      <c r="AR383" s="150"/>
      <c r="AS383" s="150"/>
      <c r="AT383" s="150"/>
      <c r="AU383" s="150"/>
      <c r="AV383" s="150"/>
      <c r="AW383" s="150"/>
      <c r="AX383" s="150"/>
      <c r="AY383" s="150"/>
      <c r="AZ383" s="150"/>
      <c r="BA383" s="150"/>
      <c r="BB383" s="150"/>
      <c r="BC383" s="150"/>
      <c r="BD383" s="150"/>
      <c r="BE383" s="150"/>
      <c r="BF383" s="150"/>
      <c r="BG383" s="150"/>
      <c r="BH383" s="150"/>
      <c r="BI383" s="150"/>
      <c r="BJ383" s="150"/>
      <c r="BK383" s="150"/>
      <c r="BL383" s="150"/>
      <c r="BM383" s="150"/>
      <c r="BN383" s="72"/>
      <c r="BO383" s="72"/>
      <c r="BP383" s="72"/>
      <c r="BQ383" s="72"/>
      <c r="BR383" s="72"/>
      <c r="BS383" s="72"/>
      <c r="BT383" s="72"/>
      <c r="BU383" s="72"/>
      <c r="BV383" s="72"/>
      <c r="BW383" s="72"/>
      <c r="BX383" s="72"/>
      <c r="BY383" s="72"/>
      <c r="BZ383" s="72"/>
      <c r="CA383" s="72"/>
      <c r="CB383" s="72"/>
      <c r="CC383" s="72"/>
      <c r="CD383" s="72"/>
      <c r="CE383" s="72"/>
      <c r="CF383" s="72"/>
      <c r="CG383" s="72"/>
      <c r="CH383" s="72"/>
      <c r="CI383" s="72"/>
      <c r="CJ383" s="72"/>
      <c r="CK383" s="72"/>
      <c r="CL383" s="72"/>
      <c r="CM383" s="72"/>
      <c r="CN383" s="72"/>
      <c r="CO383" s="72"/>
      <c r="CP383" s="72"/>
      <c r="CQ383" s="72"/>
      <c r="CR383" s="72"/>
      <c r="CS383" s="72"/>
      <c r="CT383" s="150"/>
      <c r="CU383" s="152"/>
      <c r="CV383" s="72"/>
      <c r="CW383" s="72"/>
      <c r="CX383" s="72"/>
      <c r="CY383" s="72"/>
      <c r="CZ383" s="72"/>
      <c r="DA383" s="72"/>
      <c r="DB383" s="72"/>
      <c r="DC383" s="72"/>
      <c r="DD383" s="72"/>
      <c r="DE383" s="72"/>
      <c r="DF383" s="72"/>
      <c r="DG383" s="72"/>
      <c r="DH383" s="72"/>
      <c r="DI383" s="72"/>
      <c r="DJ383" s="72"/>
      <c r="DK383" s="72"/>
      <c r="DL383" s="72"/>
      <c r="DM383" s="72"/>
      <c r="DN383" s="72"/>
      <c r="DO383" s="72"/>
      <c r="DP383" s="72"/>
      <c r="DQ383" s="72"/>
      <c r="DR383" s="72"/>
      <c r="DS383" s="72"/>
      <c r="DT383" s="72"/>
      <c r="DU383" s="72"/>
      <c r="DV383" s="72"/>
      <c r="DW383" s="72"/>
      <c r="DX383" s="72"/>
      <c r="DY383" s="72"/>
      <c r="DZ383" s="72"/>
      <c r="EA383" s="72"/>
      <c r="EB383" s="72"/>
      <c r="EC383" s="72"/>
      <c r="ED383" s="72"/>
      <c r="EE383" s="72"/>
      <c r="EF383" s="72"/>
      <c r="EG383" s="72"/>
      <c r="EH383" s="72"/>
      <c r="EI383" s="72"/>
      <c r="EJ383" s="72"/>
      <c r="EK383" s="72"/>
      <c r="EL383" s="72"/>
      <c r="EM383" s="72"/>
      <c r="EN383" s="72"/>
      <c r="EO383" s="72"/>
      <c r="EP383" s="72"/>
      <c r="EQ383" s="72"/>
      <c r="ER383" s="72"/>
      <c r="ES383" s="72"/>
      <c r="ET383" s="72"/>
      <c r="EU383" s="72"/>
      <c r="EV383" s="72"/>
      <c r="EW383" s="72"/>
      <c r="EX383" s="72"/>
      <c r="EY383" s="72"/>
      <c r="EZ383" s="72"/>
      <c r="FA383" s="72"/>
      <c r="FB383" s="72"/>
      <c r="FC383" s="72"/>
      <c r="FD383" s="72"/>
    </row>
    <row r="384" spans="1:264">
      <c r="A384" s="145"/>
      <c r="B384" s="145"/>
      <c r="C384" s="145"/>
      <c r="D384" s="145"/>
      <c r="E384" s="146"/>
      <c r="F384" s="145"/>
      <c r="G384" s="145"/>
      <c r="H384" s="145"/>
      <c r="I384" s="317"/>
      <c r="J384" s="145"/>
      <c r="K384" s="145"/>
      <c r="L384" s="72"/>
      <c r="M384" s="318"/>
      <c r="N384" s="146"/>
      <c r="O384" s="72"/>
      <c r="P384" s="72"/>
      <c r="Q384" s="145"/>
      <c r="R384" s="145"/>
      <c r="S384" s="145"/>
      <c r="T384" s="145"/>
      <c r="U384" s="145"/>
      <c r="V384" s="145"/>
      <c r="W384" s="145"/>
      <c r="X384" s="145"/>
      <c r="Y384" s="145"/>
      <c r="Z384" s="145"/>
      <c r="AA384" s="150"/>
      <c r="AB384" s="151"/>
      <c r="AC384" s="150"/>
      <c r="AD384" s="150"/>
      <c r="AE384" s="150"/>
      <c r="AF384" s="150"/>
      <c r="AG384" s="150"/>
      <c r="AH384" s="150"/>
      <c r="AI384" s="150"/>
      <c r="AJ384" s="150"/>
      <c r="AK384" s="150"/>
      <c r="AL384" s="150"/>
      <c r="AM384" s="150"/>
      <c r="AN384" s="150"/>
      <c r="AO384" s="150"/>
      <c r="AP384" s="150"/>
      <c r="AQ384" s="150"/>
      <c r="AR384" s="150"/>
      <c r="AS384" s="150"/>
      <c r="AT384" s="150"/>
      <c r="AU384" s="150"/>
      <c r="AV384" s="150"/>
      <c r="AW384" s="150"/>
      <c r="AX384" s="150"/>
      <c r="AY384" s="150"/>
      <c r="AZ384" s="150"/>
      <c r="BA384" s="150"/>
      <c r="BB384" s="150"/>
      <c r="BC384" s="150"/>
      <c r="BD384" s="150"/>
      <c r="BE384" s="150"/>
      <c r="BF384" s="150"/>
      <c r="BG384" s="150"/>
      <c r="BH384" s="150"/>
      <c r="BI384" s="150"/>
      <c r="BJ384" s="150"/>
      <c r="BK384" s="150"/>
      <c r="BL384" s="150"/>
      <c r="BM384" s="150"/>
      <c r="BN384" s="72"/>
      <c r="BO384" s="72"/>
      <c r="BP384" s="72"/>
      <c r="BQ384" s="72"/>
      <c r="BR384" s="72"/>
      <c r="BS384" s="72"/>
      <c r="BT384" s="72"/>
      <c r="BU384" s="72"/>
      <c r="BV384" s="72"/>
      <c r="BW384" s="72"/>
      <c r="BX384" s="72"/>
      <c r="BY384" s="72"/>
      <c r="BZ384" s="72"/>
      <c r="CA384" s="72"/>
      <c r="CB384" s="72"/>
      <c r="CC384" s="72"/>
      <c r="CD384" s="72"/>
      <c r="CE384" s="72"/>
      <c r="CF384" s="72"/>
      <c r="CG384" s="72"/>
      <c r="CH384" s="72"/>
      <c r="CI384" s="72"/>
      <c r="CJ384" s="72"/>
      <c r="CK384" s="72"/>
      <c r="CL384" s="72"/>
      <c r="CM384" s="72"/>
      <c r="CN384" s="72"/>
      <c r="CO384" s="72"/>
      <c r="CP384" s="72"/>
      <c r="CQ384" s="72"/>
      <c r="CR384" s="72"/>
      <c r="CS384" s="72"/>
      <c r="CT384" s="150"/>
      <c r="CU384" s="152"/>
      <c r="CV384" s="72"/>
      <c r="CW384" s="72"/>
      <c r="CX384" s="72"/>
      <c r="CY384" s="72"/>
      <c r="CZ384" s="72"/>
      <c r="DA384" s="72"/>
      <c r="DB384" s="72"/>
      <c r="DC384" s="72"/>
      <c r="DD384" s="72"/>
      <c r="DE384" s="72"/>
      <c r="DF384" s="72"/>
      <c r="DG384" s="72"/>
      <c r="DH384" s="72"/>
      <c r="DI384" s="72"/>
      <c r="DJ384" s="72"/>
      <c r="DK384" s="72"/>
      <c r="DL384" s="72"/>
      <c r="DM384" s="72"/>
      <c r="DN384" s="72"/>
      <c r="DO384" s="72"/>
      <c r="DP384" s="72"/>
      <c r="DQ384" s="72"/>
      <c r="DR384" s="72"/>
      <c r="DS384" s="72"/>
      <c r="DT384" s="72"/>
      <c r="DU384" s="72"/>
      <c r="DV384" s="72"/>
      <c r="DW384" s="72"/>
      <c r="DX384" s="72"/>
      <c r="DY384" s="72"/>
      <c r="DZ384" s="72"/>
      <c r="EA384" s="72"/>
      <c r="EB384" s="72"/>
      <c r="EC384" s="72"/>
      <c r="ED384" s="72"/>
      <c r="EE384" s="72"/>
      <c r="EF384" s="72"/>
      <c r="EG384" s="72"/>
      <c r="EH384" s="72"/>
      <c r="EI384" s="72"/>
      <c r="EJ384" s="72"/>
      <c r="EK384" s="72"/>
      <c r="EL384" s="72"/>
      <c r="EM384" s="72"/>
      <c r="EN384" s="72"/>
      <c r="EO384" s="72"/>
      <c r="EP384" s="72"/>
      <c r="EQ384" s="72"/>
      <c r="ER384" s="72"/>
      <c r="ES384" s="72"/>
      <c r="ET384" s="72"/>
      <c r="EU384" s="72"/>
      <c r="EV384" s="72"/>
      <c r="EW384" s="72"/>
      <c r="EX384" s="72"/>
      <c r="EY384" s="72"/>
      <c r="EZ384" s="72"/>
      <c r="FA384" s="72"/>
      <c r="FB384" s="72"/>
      <c r="FC384" s="72"/>
      <c r="FD384" s="72"/>
    </row>
    <row r="385" spans="1:160">
      <c r="A385" s="145"/>
      <c r="B385" s="145"/>
      <c r="C385" s="145"/>
      <c r="D385" s="145"/>
      <c r="E385" s="146"/>
      <c r="F385" s="145"/>
      <c r="G385" s="145"/>
      <c r="H385" s="145"/>
      <c r="I385" s="317"/>
      <c r="J385" s="145"/>
      <c r="K385" s="145"/>
      <c r="L385" s="72"/>
      <c r="M385" s="318"/>
      <c r="N385" s="146"/>
      <c r="O385" s="72"/>
      <c r="P385" s="72"/>
      <c r="Q385" s="145"/>
      <c r="R385" s="145"/>
      <c r="S385" s="145"/>
      <c r="T385" s="145"/>
      <c r="U385" s="145"/>
      <c r="V385" s="145"/>
      <c r="W385" s="145"/>
      <c r="X385" s="145"/>
      <c r="Y385" s="145"/>
      <c r="Z385" s="145"/>
      <c r="AA385" s="150"/>
      <c r="AB385" s="320"/>
      <c r="AC385" s="150"/>
      <c r="AD385" s="150"/>
      <c r="AE385" s="150"/>
      <c r="AF385" s="150"/>
      <c r="AG385" s="150"/>
      <c r="AH385" s="150"/>
      <c r="AI385" s="150"/>
      <c r="AJ385" s="150"/>
      <c r="AK385" s="150"/>
      <c r="AL385" s="150"/>
      <c r="AM385" s="150"/>
      <c r="AN385" s="150"/>
      <c r="AO385" s="150"/>
      <c r="AP385" s="150"/>
      <c r="AQ385" s="150"/>
      <c r="AR385" s="150"/>
      <c r="AS385" s="150"/>
      <c r="AT385" s="150"/>
      <c r="AU385" s="150"/>
      <c r="AV385" s="150"/>
      <c r="AW385" s="150"/>
      <c r="AX385" s="150"/>
      <c r="AY385" s="150"/>
      <c r="AZ385" s="150"/>
      <c r="BA385" s="150"/>
      <c r="BB385" s="150"/>
      <c r="BC385" s="150"/>
      <c r="BD385" s="150"/>
      <c r="BE385" s="150"/>
      <c r="BF385" s="150"/>
      <c r="BG385" s="150"/>
      <c r="BH385" s="150"/>
      <c r="BI385" s="150"/>
      <c r="BJ385" s="150"/>
      <c r="BK385" s="150"/>
      <c r="BL385" s="150"/>
      <c r="BM385" s="150"/>
      <c r="BN385" s="72"/>
      <c r="BO385" s="72"/>
      <c r="BP385" s="72"/>
      <c r="BQ385" s="72"/>
      <c r="BR385" s="72"/>
      <c r="BS385" s="72"/>
      <c r="BT385" s="72"/>
      <c r="BU385" s="72"/>
      <c r="BV385" s="72"/>
      <c r="BW385" s="72"/>
      <c r="BX385" s="72"/>
      <c r="BY385" s="72"/>
      <c r="BZ385" s="72"/>
      <c r="CA385" s="72"/>
      <c r="CB385" s="72"/>
      <c r="CC385" s="72"/>
      <c r="CD385" s="72"/>
      <c r="CE385" s="72"/>
      <c r="CF385" s="72"/>
      <c r="CG385" s="72"/>
      <c r="CH385" s="72"/>
      <c r="CI385" s="72"/>
      <c r="CJ385" s="72"/>
      <c r="CK385" s="72"/>
      <c r="CL385" s="72"/>
      <c r="CM385" s="72"/>
      <c r="CN385" s="72"/>
      <c r="CO385" s="72"/>
      <c r="CP385" s="72"/>
      <c r="CQ385" s="72"/>
      <c r="CR385" s="72"/>
      <c r="CS385" s="72"/>
      <c r="CT385" s="150"/>
      <c r="CU385" s="152"/>
      <c r="CV385" s="72"/>
      <c r="CW385" s="72"/>
      <c r="CX385" s="72"/>
      <c r="CY385" s="72"/>
      <c r="CZ385" s="72"/>
      <c r="DA385" s="72"/>
      <c r="DB385" s="72"/>
      <c r="DC385" s="72"/>
      <c r="DD385" s="72"/>
      <c r="DE385" s="72"/>
      <c r="DF385" s="72"/>
      <c r="DG385" s="72"/>
      <c r="DH385" s="72"/>
      <c r="DI385" s="72"/>
      <c r="DJ385" s="72"/>
      <c r="DK385" s="72"/>
      <c r="DL385" s="72"/>
      <c r="DM385" s="72"/>
      <c r="DN385" s="72"/>
      <c r="DO385" s="72"/>
      <c r="DP385" s="72"/>
      <c r="DQ385" s="72"/>
      <c r="DR385" s="72"/>
      <c r="DS385" s="72"/>
      <c r="DT385" s="72"/>
      <c r="DU385" s="72"/>
      <c r="DV385" s="72"/>
      <c r="DW385" s="72"/>
      <c r="DX385" s="72"/>
      <c r="DY385" s="72"/>
      <c r="DZ385" s="72"/>
      <c r="EA385" s="72"/>
      <c r="EB385" s="72"/>
      <c r="EC385" s="72"/>
      <c r="ED385" s="72"/>
      <c r="EE385" s="72"/>
      <c r="EF385" s="72"/>
      <c r="EG385" s="72"/>
      <c r="EH385" s="72"/>
      <c r="EI385" s="72"/>
      <c r="EJ385" s="72"/>
      <c r="EK385" s="72"/>
      <c r="EL385" s="72"/>
      <c r="EM385" s="72"/>
      <c r="EN385" s="72"/>
      <c r="EO385" s="72"/>
      <c r="EP385" s="72"/>
      <c r="EQ385" s="72"/>
      <c r="ER385" s="72"/>
      <c r="ES385" s="72"/>
      <c r="ET385" s="72"/>
      <c r="EU385" s="72"/>
      <c r="EV385" s="72"/>
      <c r="EW385" s="72"/>
      <c r="EX385" s="72"/>
      <c r="EY385" s="72"/>
      <c r="EZ385" s="72"/>
      <c r="FA385" s="72"/>
      <c r="FB385" s="72"/>
      <c r="FC385" s="72"/>
      <c r="FD385" s="72"/>
    </row>
    <row r="386" spans="1:160">
      <c r="A386" s="145"/>
      <c r="B386" s="145"/>
      <c r="C386" s="145"/>
      <c r="D386" s="145"/>
      <c r="E386" s="146"/>
      <c r="F386" s="145"/>
      <c r="G386" s="145"/>
      <c r="H386" s="145"/>
      <c r="I386" s="317"/>
      <c r="J386" s="145"/>
      <c r="K386" s="145"/>
      <c r="L386" s="72"/>
      <c r="M386" s="318"/>
      <c r="N386" s="146"/>
      <c r="O386" s="72"/>
      <c r="P386" s="72"/>
      <c r="Q386" s="145"/>
      <c r="R386" s="145"/>
      <c r="S386" s="145"/>
      <c r="T386" s="145"/>
      <c r="U386" s="145"/>
      <c r="V386" s="145"/>
      <c r="W386" s="145"/>
      <c r="X386" s="145"/>
      <c r="Y386" s="145"/>
      <c r="Z386" s="145"/>
      <c r="AA386" s="150"/>
      <c r="AB386" s="151"/>
      <c r="AC386" s="150"/>
      <c r="AD386" s="150"/>
      <c r="AE386" s="150"/>
      <c r="AF386" s="150"/>
      <c r="AG386" s="150"/>
      <c r="AH386" s="150"/>
      <c r="AI386" s="150"/>
      <c r="AJ386" s="150"/>
      <c r="AK386" s="150"/>
      <c r="AL386" s="150"/>
      <c r="AM386" s="150"/>
      <c r="AN386" s="150"/>
      <c r="AO386" s="150"/>
      <c r="AP386" s="150"/>
      <c r="AQ386" s="150"/>
      <c r="AR386" s="150"/>
      <c r="AS386" s="150"/>
      <c r="AT386" s="150"/>
      <c r="AU386" s="150"/>
      <c r="AV386" s="150"/>
      <c r="AW386" s="150"/>
      <c r="AX386" s="150"/>
      <c r="AY386" s="150"/>
      <c r="AZ386" s="150"/>
      <c r="BA386" s="150"/>
      <c r="BB386" s="150"/>
      <c r="BC386" s="150"/>
      <c r="BD386" s="150"/>
      <c r="BE386" s="150"/>
      <c r="BF386" s="150"/>
      <c r="BG386" s="150"/>
      <c r="BH386" s="150"/>
      <c r="BI386" s="150"/>
      <c r="BJ386" s="150"/>
      <c r="BK386" s="150"/>
      <c r="BL386" s="150"/>
      <c r="BM386" s="150"/>
      <c r="BN386" s="72"/>
      <c r="BO386" s="72"/>
      <c r="BP386" s="72"/>
      <c r="BQ386" s="72"/>
      <c r="BR386" s="72"/>
      <c r="BS386" s="72"/>
      <c r="BT386" s="72"/>
      <c r="BU386" s="72"/>
      <c r="BV386" s="72"/>
      <c r="BW386" s="72"/>
      <c r="BX386" s="72"/>
      <c r="BY386" s="72"/>
      <c r="BZ386" s="72"/>
      <c r="CA386" s="72"/>
      <c r="CB386" s="72"/>
      <c r="CC386" s="72"/>
      <c r="CD386" s="72"/>
      <c r="CE386" s="72"/>
      <c r="CF386" s="72"/>
      <c r="CG386" s="72"/>
      <c r="CH386" s="72"/>
      <c r="CI386" s="72"/>
      <c r="CJ386" s="72"/>
      <c r="CK386" s="72"/>
      <c r="CL386" s="72"/>
      <c r="CM386" s="72"/>
      <c r="CN386" s="72"/>
      <c r="CO386" s="72"/>
      <c r="CP386" s="72"/>
      <c r="CQ386" s="72"/>
      <c r="CR386" s="72"/>
      <c r="CS386" s="72"/>
      <c r="CT386" s="150"/>
      <c r="CU386" s="152"/>
      <c r="CV386" s="72"/>
      <c r="CW386" s="72"/>
      <c r="CX386" s="72"/>
      <c r="CY386" s="72"/>
      <c r="CZ386" s="72"/>
      <c r="DA386" s="72"/>
      <c r="DB386" s="72"/>
      <c r="DC386" s="72"/>
      <c r="DD386" s="72"/>
      <c r="DE386" s="72"/>
      <c r="DF386" s="72"/>
      <c r="DG386" s="72"/>
      <c r="DH386" s="72"/>
      <c r="DI386" s="72"/>
      <c r="DJ386" s="72"/>
      <c r="DK386" s="72"/>
      <c r="DL386" s="72"/>
      <c r="DM386" s="72"/>
      <c r="DN386" s="72"/>
      <c r="DO386" s="72"/>
      <c r="DP386" s="72"/>
      <c r="DQ386" s="72"/>
      <c r="DR386" s="72"/>
      <c r="DS386" s="72"/>
      <c r="DT386" s="72"/>
      <c r="DU386" s="72"/>
      <c r="DV386" s="72"/>
      <c r="DW386" s="72"/>
      <c r="DX386" s="72"/>
      <c r="DY386" s="72"/>
      <c r="DZ386" s="72"/>
      <c r="EA386" s="72"/>
      <c r="EB386" s="72"/>
      <c r="EC386" s="72"/>
      <c r="ED386" s="72"/>
      <c r="EE386" s="72"/>
      <c r="EF386" s="72"/>
      <c r="EG386" s="72"/>
      <c r="EH386" s="72"/>
      <c r="EI386" s="72"/>
      <c r="EJ386" s="72"/>
      <c r="EK386" s="72"/>
      <c r="EL386" s="72"/>
      <c r="EM386" s="72"/>
      <c r="EN386" s="72"/>
      <c r="EO386" s="72"/>
      <c r="EP386" s="72"/>
      <c r="EQ386" s="72"/>
      <c r="ER386" s="72"/>
      <c r="ES386" s="72"/>
      <c r="ET386" s="72"/>
      <c r="EU386" s="72"/>
      <c r="EV386" s="72"/>
      <c r="EW386" s="72"/>
      <c r="EX386" s="72"/>
      <c r="EY386" s="72"/>
      <c r="EZ386" s="72"/>
      <c r="FA386" s="72"/>
      <c r="FB386" s="72"/>
      <c r="FC386" s="72"/>
      <c r="FD386" s="72"/>
    </row>
    <row r="387" spans="1:160">
      <c r="A387" s="145"/>
      <c r="B387" s="145"/>
      <c r="C387" s="145"/>
      <c r="D387" s="145"/>
      <c r="E387" s="146"/>
      <c r="F387" s="145"/>
      <c r="G387" s="145"/>
      <c r="H387" s="145"/>
      <c r="I387" s="317"/>
      <c r="J387" s="145"/>
      <c r="K387" s="145"/>
      <c r="L387" s="72"/>
      <c r="M387" s="318"/>
      <c r="N387" s="146"/>
      <c r="O387" s="72"/>
      <c r="P387" s="72"/>
      <c r="Q387" s="145"/>
      <c r="R387" s="145"/>
      <c r="S387" s="145"/>
      <c r="T387" s="145"/>
      <c r="U387" s="145"/>
      <c r="V387" s="145"/>
      <c r="W387" s="145"/>
      <c r="X387" s="145"/>
      <c r="Y387" s="145"/>
      <c r="Z387" s="145"/>
      <c r="AA387" s="150"/>
      <c r="AB387" s="151"/>
      <c r="AC387" s="150"/>
      <c r="AD387" s="150"/>
      <c r="AE387" s="150"/>
      <c r="AF387" s="150"/>
      <c r="AG387" s="150"/>
      <c r="AH387" s="150"/>
      <c r="AI387" s="150"/>
      <c r="AJ387" s="150"/>
      <c r="AK387" s="150"/>
      <c r="AL387" s="150"/>
      <c r="AM387" s="150"/>
      <c r="AN387" s="150"/>
      <c r="AO387" s="150"/>
      <c r="AP387" s="150"/>
      <c r="AQ387" s="150"/>
      <c r="AR387" s="150"/>
      <c r="AS387" s="150"/>
      <c r="AT387" s="150"/>
      <c r="AU387" s="150"/>
      <c r="AV387" s="150"/>
      <c r="AW387" s="150"/>
      <c r="AX387" s="150"/>
      <c r="AY387" s="150"/>
      <c r="AZ387" s="150"/>
      <c r="BA387" s="150"/>
      <c r="BB387" s="150"/>
      <c r="BC387" s="150"/>
      <c r="BD387" s="150"/>
      <c r="BE387" s="150"/>
      <c r="BF387" s="150"/>
      <c r="BG387" s="150"/>
      <c r="BH387" s="150"/>
      <c r="BI387" s="150"/>
      <c r="BJ387" s="150"/>
      <c r="BK387" s="150"/>
      <c r="BL387" s="150"/>
      <c r="BM387" s="150"/>
      <c r="BN387" s="72"/>
      <c r="BO387" s="72"/>
      <c r="BP387" s="72"/>
      <c r="BQ387" s="72"/>
      <c r="BR387" s="72"/>
      <c r="BS387" s="72"/>
      <c r="BT387" s="72"/>
      <c r="BU387" s="72"/>
      <c r="BV387" s="72"/>
      <c r="BW387" s="72"/>
      <c r="BX387" s="72"/>
      <c r="BY387" s="72"/>
      <c r="BZ387" s="72"/>
      <c r="CA387" s="72"/>
      <c r="CB387" s="72"/>
      <c r="CC387" s="72"/>
      <c r="CD387" s="72"/>
      <c r="CE387" s="72"/>
      <c r="CF387" s="72"/>
      <c r="CG387" s="72"/>
      <c r="CH387" s="72"/>
      <c r="CI387" s="72"/>
      <c r="CJ387" s="72"/>
      <c r="CK387" s="72"/>
      <c r="CL387" s="72"/>
      <c r="CM387" s="72"/>
      <c r="CN387" s="72"/>
      <c r="CO387" s="72"/>
      <c r="CP387" s="72"/>
      <c r="CQ387" s="72"/>
      <c r="CR387" s="72"/>
      <c r="CS387" s="72"/>
      <c r="CT387" s="150"/>
      <c r="CU387" s="152"/>
      <c r="CV387" s="72"/>
      <c r="CW387" s="72"/>
      <c r="CX387" s="72"/>
      <c r="CY387" s="72"/>
      <c r="CZ387" s="72"/>
      <c r="DA387" s="72"/>
      <c r="DB387" s="72"/>
      <c r="DC387" s="72"/>
      <c r="DD387" s="72"/>
      <c r="DE387" s="72"/>
      <c r="DF387" s="72"/>
      <c r="DG387" s="72"/>
      <c r="DH387" s="72"/>
      <c r="DI387" s="72"/>
      <c r="DJ387" s="72"/>
      <c r="DK387" s="72"/>
      <c r="DL387" s="72"/>
      <c r="DM387" s="72"/>
      <c r="DN387" s="72"/>
      <c r="DO387" s="72"/>
      <c r="DP387" s="72"/>
      <c r="DQ387" s="72"/>
      <c r="DR387" s="72"/>
      <c r="DS387" s="72"/>
      <c r="DT387" s="72"/>
      <c r="DU387" s="72"/>
      <c r="DV387" s="72"/>
      <c r="DW387" s="72"/>
      <c r="DX387" s="72"/>
      <c r="DY387" s="72"/>
      <c r="DZ387" s="72"/>
      <c r="EA387" s="72"/>
      <c r="EB387" s="72"/>
      <c r="EC387" s="72"/>
      <c r="ED387" s="72"/>
      <c r="EE387" s="72"/>
      <c r="EF387" s="72"/>
      <c r="EG387" s="72"/>
      <c r="EH387" s="72"/>
      <c r="EI387" s="72"/>
      <c r="EJ387" s="72"/>
      <c r="EK387" s="72"/>
      <c r="EL387" s="72"/>
      <c r="EM387" s="72"/>
      <c r="EN387" s="72"/>
      <c r="EO387" s="72"/>
      <c r="EP387" s="72"/>
      <c r="EQ387" s="72"/>
      <c r="ER387" s="72"/>
      <c r="ES387" s="72"/>
      <c r="ET387" s="72"/>
      <c r="EU387" s="72"/>
      <c r="EV387" s="72"/>
      <c r="EW387" s="72"/>
      <c r="EX387" s="72"/>
      <c r="EY387" s="72"/>
      <c r="EZ387" s="72"/>
      <c r="FA387" s="72"/>
      <c r="FB387" s="72"/>
      <c r="FC387" s="72"/>
      <c r="FD387" s="72"/>
    </row>
    <row r="388" spans="1:160">
      <c r="A388" s="145"/>
      <c r="B388" s="145"/>
      <c r="C388" s="145"/>
      <c r="D388" s="145"/>
      <c r="E388" s="146"/>
      <c r="F388" s="145"/>
      <c r="G388" s="145"/>
      <c r="H388" s="145"/>
      <c r="I388" s="317"/>
      <c r="J388" s="145"/>
      <c r="K388" s="145"/>
      <c r="L388" s="72"/>
      <c r="M388" s="318"/>
      <c r="N388" s="146"/>
      <c r="O388" s="72"/>
      <c r="P388" s="72"/>
      <c r="Q388" s="145"/>
      <c r="R388" s="145"/>
      <c r="S388" s="145"/>
      <c r="T388" s="145"/>
      <c r="U388" s="145"/>
      <c r="V388" s="145"/>
      <c r="W388" s="145"/>
      <c r="X388" s="145"/>
      <c r="Y388" s="145"/>
      <c r="Z388" s="145"/>
      <c r="AA388" s="150"/>
      <c r="AB388" s="151"/>
      <c r="AC388" s="150"/>
      <c r="AD388" s="150"/>
      <c r="AE388" s="150"/>
      <c r="AF388" s="150"/>
      <c r="AG388" s="150"/>
      <c r="AH388" s="150"/>
      <c r="AI388" s="150"/>
      <c r="AJ388" s="150"/>
      <c r="AK388" s="150"/>
      <c r="AL388" s="150"/>
      <c r="AM388" s="150"/>
      <c r="AN388" s="150"/>
      <c r="AO388" s="150"/>
      <c r="AP388" s="150"/>
      <c r="AQ388" s="150"/>
      <c r="AR388" s="150"/>
      <c r="AS388" s="150"/>
      <c r="AT388" s="150"/>
      <c r="AU388" s="150"/>
      <c r="AV388" s="150"/>
      <c r="AW388" s="150"/>
      <c r="AX388" s="150"/>
      <c r="AY388" s="150"/>
      <c r="AZ388" s="150"/>
      <c r="BA388" s="150"/>
      <c r="BB388" s="150"/>
      <c r="BC388" s="150"/>
      <c r="BD388" s="150"/>
      <c r="BE388" s="150"/>
      <c r="BF388" s="150"/>
      <c r="BG388" s="150"/>
      <c r="BH388" s="150"/>
      <c r="BI388" s="150"/>
      <c r="BJ388" s="150"/>
      <c r="BK388" s="150"/>
      <c r="BL388" s="150"/>
      <c r="BM388" s="150"/>
      <c r="BN388" s="72"/>
      <c r="BO388" s="72"/>
      <c r="BP388" s="72"/>
      <c r="BQ388" s="72"/>
      <c r="BR388" s="72"/>
      <c r="BS388" s="72"/>
      <c r="BT388" s="72"/>
      <c r="BU388" s="72"/>
      <c r="BV388" s="72"/>
      <c r="BW388" s="72"/>
      <c r="BX388" s="72"/>
      <c r="BY388" s="72"/>
      <c r="BZ388" s="72"/>
      <c r="CA388" s="72"/>
      <c r="CB388" s="72"/>
      <c r="CC388" s="72"/>
      <c r="CD388" s="72"/>
      <c r="CE388" s="72"/>
      <c r="CF388" s="72"/>
      <c r="CG388" s="72"/>
      <c r="CH388" s="72"/>
      <c r="CI388" s="72"/>
      <c r="CJ388" s="72"/>
      <c r="CK388" s="72"/>
      <c r="CL388" s="72"/>
      <c r="CM388" s="72"/>
      <c r="CN388" s="72"/>
      <c r="CO388" s="72"/>
      <c r="CP388" s="72"/>
      <c r="CQ388" s="72"/>
      <c r="CR388" s="72"/>
      <c r="CS388" s="72"/>
      <c r="CT388" s="150"/>
      <c r="CU388" s="152"/>
      <c r="CV388" s="72"/>
      <c r="CW388" s="72"/>
      <c r="CX388" s="72"/>
      <c r="CY388" s="72"/>
      <c r="CZ388" s="72"/>
      <c r="DA388" s="72"/>
      <c r="DB388" s="72"/>
      <c r="DC388" s="72"/>
      <c r="DD388" s="72"/>
      <c r="DE388" s="72"/>
      <c r="DF388" s="72"/>
      <c r="DG388" s="72"/>
      <c r="DH388" s="72"/>
      <c r="DI388" s="72"/>
      <c r="DJ388" s="72"/>
      <c r="DK388" s="72"/>
      <c r="DL388" s="72"/>
      <c r="DM388" s="72"/>
      <c r="DN388" s="72"/>
      <c r="DO388" s="72"/>
      <c r="DP388" s="72"/>
      <c r="DQ388" s="72"/>
      <c r="DR388" s="72"/>
      <c r="DS388" s="72"/>
      <c r="DT388" s="72"/>
      <c r="DU388" s="72"/>
      <c r="DV388" s="72"/>
      <c r="DW388" s="72"/>
      <c r="DX388" s="72"/>
      <c r="DY388" s="72"/>
      <c r="DZ388" s="72"/>
      <c r="EA388" s="72"/>
      <c r="EB388" s="72"/>
      <c r="EC388" s="72"/>
      <c r="ED388" s="72"/>
      <c r="EE388" s="72"/>
      <c r="EF388" s="72"/>
      <c r="EG388" s="72"/>
      <c r="EH388" s="72"/>
      <c r="EI388" s="72"/>
      <c r="EJ388" s="72"/>
      <c r="EK388" s="72"/>
      <c r="EL388" s="72"/>
      <c r="EM388" s="72"/>
      <c r="EN388" s="72"/>
      <c r="EO388" s="72"/>
      <c r="EP388" s="72"/>
      <c r="EQ388" s="72"/>
      <c r="ER388" s="72"/>
      <c r="ES388" s="72"/>
      <c r="ET388" s="72"/>
      <c r="EU388" s="72"/>
      <c r="EV388" s="72"/>
      <c r="EW388" s="72"/>
      <c r="EX388" s="72"/>
      <c r="EY388" s="72"/>
      <c r="EZ388" s="72"/>
      <c r="FA388" s="72"/>
      <c r="FB388" s="72"/>
      <c r="FC388" s="72"/>
      <c r="FD388" s="72"/>
    </row>
    <row r="389" spans="1:160">
      <c r="A389" s="145"/>
      <c r="B389" s="145"/>
      <c r="C389" s="145"/>
      <c r="D389" s="145"/>
      <c r="E389" s="146"/>
      <c r="F389" s="145"/>
      <c r="G389" s="145"/>
      <c r="H389" s="145"/>
      <c r="I389" s="317"/>
      <c r="J389" s="145"/>
      <c r="K389" s="145"/>
      <c r="L389" s="72"/>
      <c r="M389" s="318"/>
      <c r="N389" s="146"/>
      <c r="O389" s="72"/>
      <c r="P389" s="72"/>
      <c r="Q389" s="145"/>
      <c r="R389" s="145"/>
      <c r="S389" s="145"/>
      <c r="T389" s="145"/>
      <c r="U389" s="145"/>
      <c r="V389" s="145"/>
      <c r="W389" s="145"/>
      <c r="X389" s="145"/>
      <c r="Y389" s="145"/>
      <c r="Z389" s="145"/>
      <c r="AA389" s="150"/>
      <c r="AB389" s="151"/>
      <c r="AC389" s="150"/>
      <c r="AD389" s="150"/>
      <c r="AE389" s="150"/>
      <c r="AF389" s="150"/>
      <c r="AG389" s="150"/>
      <c r="AH389" s="150"/>
      <c r="AI389" s="150"/>
      <c r="AJ389" s="150"/>
      <c r="AK389" s="150"/>
      <c r="AL389" s="150"/>
      <c r="AM389" s="150"/>
      <c r="AN389" s="150"/>
      <c r="AO389" s="150"/>
      <c r="AP389" s="150"/>
      <c r="AQ389" s="150"/>
      <c r="AR389" s="150"/>
      <c r="AS389" s="150"/>
      <c r="AT389" s="150"/>
      <c r="AU389" s="150"/>
      <c r="AV389" s="150"/>
      <c r="AW389" s="150"/>
      <c r="AX389" s="150"/>
      <c r="AY389" s="150"/>
      <c r="AZ389" s="150"/>
      <c r="BA389" s="150"/>
      <c r="BB389" s="150"/>
      <c r="BC389" s="150"/>
      <c r="BD389" s="150"/>
      <c r="BE389" s="150"/>
      <c r="BF389" s="150"/>
      <c r="BG389" s="150"/>
      <c r="BH389" s="150"/>
      <c r="BI389" s="150"/>
      <c r="BJ389" s="150"/>
      <c r="BK389" s="150"/>
      <c r="BL389" s="150"/>
      <c r="BM389" s="150"/>
      <c r="BN389" s="72"/>
      <c r="BO389" s="72"/>
      <c r="BP389" s="72"/>
      <c r="BQ389" s="72"/>
      <c r="BR389" s="72"/>
      <c r="BS389" s="72"/>
      <c r="BT389" s="72"/>
      <c r="BU389" s="72"/>
      <c r="BV389" s="72"/>
      <c r="BW389" s="72"/>
      <c r="BX389" s="72"/>
      <c r="BY389" s="72"/>
      <c r="BZ389" s="72"/>
      <c r="CA389" s="72"/>
      <c r="CB389" s="72"/>
      <c r="CC389" s="72"/>
      <c r="CD389" s="72"/>
      <c r="CE389" s="72"/>
      <c r="CF389" s="72"/>
      <c r="CG389" s="72"/>
      <c r="CH389" s="72"/>
      <c r="CI389" s="72"/>
      <c r="CJ389" s="72"/>
      <c r="CK389" s="72"/>
      <c r="CL389" s="72"/>
      <c r="CM389" s="72"/>
      <c r="CN389" s="72"/>
      <c r="CO389" s="72"/>
      <c r="CP389" s="72"/>
      <c r="CQ389" s="72"/>
      <c r="CR389" s="72"/>
      <c r="CS389" s="72"/>
      <c r="CT389" s="150"/>
      <c r="CU389" s="152"/>
      <c r="CV389" s="72"/>
      <c r="CW389" s="72"/>
      <c r="CX389" s="72"/>
      <c r="CY389" s="72"/>
      <c r="CZ389" s="72"/>
      <c r="DA389" s="72"/>
      <c r="DB389" s="72"/>
      <c r="DC389" s="72"/>
      <c r="DD389" s="72"/>
      <c r="DE389" s="72"/>
      <c r="DF389" s="72"/>
      <c r="DG389" s="72"/>
      <c r="DH389" s="72"/>
      <c r="DI389" s="72"/>
      <c r="DJ389" s="72"/>
      <c r="DK389" s="72"/>
      <c r="DL389" s="72"/>
      <c r="DM389" s="72"/>
      <c r="DN389" s="72"/>
      <c r="DO389" s="72"/>
      <c r="DP389" s="72"/>
      <c r="DQ389" s="72"/>
      <c r="DR389" s="72"/>
      <c r="DS389" s="72"/>
      <c r="DT389" s="72"/>
      <c r="DU389" s="72"/>
      <c r="DV389" s="72"/>
      <c r="DW389" s="72"/>
      <c r="DX389" s="72"/>
      <c r="DY389" s="72"/>
      <c r="DZ389" s="72"/>
      <c r="EA389" s="72"/>
      <c r="EB389" s="72"/>
      <c r="EC389" s="72"/>
      <c r="ED389" s="72"/>
      <c r="EE389" s="72"/>
      <c r="EF389" s="72"/>
      <c r="EG389" s="72"/>
      <c r="EH389" s="72"/>
      <c r="EI389" s="72"/>
      <c r="EJ389" s="72"/>
      <c r="EK389" s="72"/>
      <c r="EL389" s="72"/>
      <c r="EM389" s="72"/>
      <c r="EN389" s="72"/>
      <c r="EO389" s="72"/>
      <c r="EP389" s="72"/>
      <c r="EQ389" s="72"/>
      <c r="ER389" s="72"/>
      <c r="ES389" s="72"/>
      <c r="ET389" s="72"/>
      <c r="EU389" s="72"/>
      <c r="EV389" s="72"/>
      <c r="EW389" s="72"/>
      <c r="EX389" s="72"/>
      <c r="EY389" s="72"/>
      <c r="EZ389" s="72"/>
      <c r="FA389" s="72"/>
      <c r="FB389" s="72"/>
      <c r="FC389" s="72"/>
      <c r="FD389" s="72"/>
    </row>
    <row r="390" spans="1:160">
      <c r="A390" s="145"/>
      <c r="B390" s="145"/>
      <c r="C390" s="145"/>
      <c r="D390" s="145"/>
      <c r="E390" s="146"/>
      <c r="F390" s="145"/>
      <c r="G390" s="145"/>
      <c r="H390" s="145"/>
      <c r="I390" s="317"/>
      <c r="J390" s="145"/>
      <c r="K390" s="321"/>
      <c r="L390" s="72"/>
      <c r="M390" s="318"/>
      <c r="N390" s="146"/>
      <c r="O390" s="72"/>
      <c r="P390" s="72"/>
      <c r="Q390" s="145"/>
      <c r="R390" s="145"/>
      <c r="S390" s="145"/>
      <c r="T390" s="145"/>
      <c r="U390" s="145"/>
      <c r="V390" s="145"/>
      <c r="W390" s="145"/>
      <c r="X390" s="145"/>
      <c r="Y390" s="145"/>
      <c r="Z390" s="145"/>
      <c r="AA390" s="150"/>
      <c r="AB390" s="320"/>
      <c r="AC390" s="150"/>
      <c r="AD390" s="150"/>
      <c r="AE390" s="150"/>
      <c r="AF390" s="150"/>
      <c r="AG390" s="150"/>
      <c r="AH390" s="150"/>
      <c r="AI390" s="150"/>
      <c r="AJ390" s="150"/>
      <c r="AK390" s="150"/>
      <c r="AL390" s="150"/>
      <c r="AM390" s="150"/>
      <c r="AN390" s="150"/>
      <c r="AO390" s="150"/>
      <c r="AP390" s="150"/>
      <c r="AQ390" s="150"/>
      <c r="AR390" s="150"/>
      <c r="AS390" s="150"/>
      <c r="AT390" s="150"/>
      <c r="AU390" s="150"/>
      <c r="AV390" s="150"/>
      <c r="AW390" s="150"/>
      <c r="AX390" s="150"/>
      <c r="AY390" s="150"/>
      <c r="AZ390" s="150"/>
      <c r="BA390" s="150"/>
      <c r="BB390" s="150"/>
      <c r="BC390" s="150"/>
      <c r="BD390" s="150"/>
      <c r="BE390" s="150"/>
      <c r="BF390" s="150"/>
      <c r="BG390" s="150"/>
      <c r="BH390" s="150"/>
      <c r="BI390" s="150"/>
      <c r="BJ390" s="150"/>
      <c r="BK390" s="150"/>
      <c r="BL390" s="150"/>
      <c r="BM390" s="150"/>
      <c r="BN390" s="72"/>
      <c r="BO390" s="72"/>
      <c r="BP390" s="72"/>
      <c r="BQ390" s="72"/>
      <c r="BR390" s="72"/>
      <c r="BS390" s="72"/>
      <c r="BT390" s="72"/>
      <c r="BU390" s="72"/>
      <c r="BV390" s="72"/>
      <c r="BW390" s="72"/>
      <c r="BX390" s="72"/>
      <c r="BY390" s="72"/>
      <c r="BZ390" s="72"/>
      <c r="CA390" s="72"/>
      <c r="CB390" s="72"/>
      <c r="CC390" s="72"/>
      <c r="CD390" s="72"/>
      <c r="CE390" s="72"/>
      <c r="CF390" s="72"/>
      <c r="CG390" s="72"/>
      <c r="CH390" s="72"/>
      <c r="CI390" s="72"/>
      <c r="CJ390" s="72"/>
      <c r="CK390" s="72"/>
      <c r="CL390" s="72"/>
      <c r="CM390" s="72"/>
      <c r="CN390" s="72"/>
      <c r="CO390" s="72"/>
      <c r="CP390" s="72"/>
      <c r="CQ390" s="72"/>
      <c r="CR390" s="72"/>
      <c r="CS390" s="72"/>
      <c r="CT390" s="150"/>
      <c r="CU390" s="152"/>
      <c r="CV390" s="72"/>
      <c r="CW390" s="72"/>
      <c r="CX390" s="72"/>
      <c r="CY390" s="72"/>
      <c r="CZ390" s="72"/>
      <c r="DA390" s="72"/>
      <c r="DB390" s="72"/>
      <c r="DC390" s="72"/>
      <c r="DD390" s="72"/>
      <c r="DE390" s="72"/>
      <c r="DF390" s="72"/>
      <c r="DG390" s="72"/>
      <c r="DH390" s="72"/>
      <c r="DI390" s="72"/>
      <c r="DJ390" s="72"/>
      <c r="DK390" s="72"/>
      <c r="DL390" s="72"/>
      <c r="DM390" s="72"/>
      <c r="DN390" s="72"/>
      <c r="DO390" s="72"/>
      <c r="DP390" s="72"/>
      <c r="DQ390" s="72"/>
      <c r="DR390" s="72"/>
      <c r="DS390" s="72"/>
      <c r="DT390" s="72"/>
      <c r="DU390" s="72"/>
      <c r="DV390" s="72"/>
      <c r="DW390" s="72"/>
      <c r="DX390" s="72"/>
      <c r="DY390" s="72"/>
      <c r="DZ390" s="72"/>
      <c r="EA390" s="72"/>
      <c r="EB390" s="72"/>
      <c r="EC390" s="72"/>
      <c r="ED390" s="72"/>
      <c r="EE390" s="72"/>
      <c r="EF390" s="72"/>
      <c r="EG390" s="72"/>
      <c r="EH390" s="72"/>
      <c r="EI390" s="72"/>
      <c r="EJ390" s="72"/>
      <c r="EK390" s="72"/>
      <c r="EL390" s="72"/>
      <c r="EM390" s="72"/>
      <c r="EN390" s="72"/>
      <c r="EO390" s="72"/>
      <c r="EP390" s="72"/>
      <c r="EQ390" s="72"/>
      <c r="ER390" s="72"/>
      <c r="ES390" s="72"/>
      <c r="ET390" s="72"/>
      <c r="EU390" s="72"/>
      <c r="EV390" s="72"/>
      <c r="EW390" s="72"/>
      <c r="EX390" s="72"/>
      <c r="EY390" s="72"/>
      <c r="EZ390" s="72"/>
      <c r="FA390" s="72"/>
      <c r="FB390" s="72"/>
      <c r="FC390" s="72"/>
      <c r="FD390" s="72"/>
    </row>
    <row r="391" spans="1:160" ht="33.75">
      <c r="A391" s="145"/>
      <c r="B391" s="145"/>
      <c r="C391" s="145"/>
      <c r="D391" s="145"/>
      <c r="E391" s="27" t="s">
        <v>377</v>
      </c>
      <c r="F391" s="145"/>
      <c r="G391" s="145"/>
      <c r="H391" s="145"/>
      <c r="I391" s="317"/>
      <c r="J391" s="145"/>
      <c r="K391" s="145"/>
      <c r="L391" s="72"/>
      <c r="M391" s="318"/>
      <c r="N391" s="146"/>
      <c r="O391" s="72"/>
      <c r="P391" s="72"/>
      <c r="Q391" s="145"/>
      <c r="R391" s="145"/>
      <c r="S391" s="145"/>
      <c r="T391" s="145"/>
      <c r="U391" s="145"/>
      <c r="V391" s="145"/>
      <c r="W391" s="145"/>
      <c r="X391" s="145"/>
      <c r="Y391" s="145"/>
      <c r="Z391" s="145"/>
      <c r="AA391" s="150"/>
      <c r="AB391" s="151"/>
      <c r="AC391" s="150"/>
      <c r="AD391" s="150"/>
      <c r="AE391" s="150"/>
      <c r="AF391" s="150"/>
      <c r="AG391" s="150"/>
      <c r="AH391" s="150"/>
      <c r="AI391" s="150"/>
      <c r="AJ391" s="150"/>
      <c r="AK391" s="150"/>
      <c r="AL391" s="150"/>
      <c r="AM391" s="150"/>
      <c r="AN391" s="150"/>
      <c r="AO391" s="150"/>
      <c r="AP391" s="150"/>
      <c r="AQ391" s="150"/>
      <c r="AR391" s="150"/>
      <c r="AS391" s="150"/>
      <c r="AT391" s="150"/>
      <c r="AU391" s="150"/>
      <c r="AV391" s="150"/>
      <c r="AW391" s="150"/>
      <c r="AX391" s="150"/>
      <c r="AY391" s="150"/>
      <c r="AZ391" s="150"/>
      <c r="BA391" s="150"/>
      <c r="BB391" s="150"/>
      <c r="BC391" s="150"/>
      <c r="BD391" s="150"/>
      <c r="BE391" s="150"/>
      <c r="BF391" s="150"/>
      <c r="BG391" s="150"/>
      <c r="BH391" s="150"/>
      <c r="BI391" s="150"/>
      <c r="BJ391" s="150"/>
      <c r="BK391" s="150"/>
      <c r="BL391" s="150"/>
      <c r="BM391" s="150"/>
      <c r="BN391" s="72"/>
      <c r="BO391" s="72"/>
      <c r="BP391" s="72"/>
      <c r="BQ391" s="72"/>
      <c r="BR391" s="72"/>
      <c r="BS391" s="72"/>
      <c r="BT391" s="72"/>
      <c r="BU391" s="72"/>
      <c r="BV391" s="72"/>
      <c r="BW391" s="72"/>
      <c r="BX391" s="72"/>
      <c r="BY391" s="72"/>
      <c r="BZ391" s="72"/>
      <c r="CA391" s="72"/>
      <c r="CB391" s="72"/>
      <c r="CC391" s="72"/>
      <c r="CD391" s="72"/>
      <c r="CE391" s="72"/>
      <c r="CF391" s="72"/>
      <c r="CG391" s="72"/>
      <c r="CH391" s="72"/>
      <c r="CI391" s="72"/>
      <c r="CJ391" s="72"/>
      <c r="CK391" s="72"/>
      <c r="CL391" s="72"/>
      <c r="CM391" s="72"/>
      <c r="CN391" s="72"/>
      <c r="CO391" s="72"/>
      <c r="CP391" s="72"/>
      <c r="CQ391" s="72"/>
      <c r="CR391" s="72"/>
      <c r="CS391" s="72"/>
      <c r="CT391" s="150"/>
      <c r="CU391" s="152"/>
      <c r="CV391" s="72"/>
      <c r="CW391" s="72"/>
      <c r="CX391" s="72"/>
      <c r="CY391" s="72"/>
      <c r="CZ391" s="72"/>
      <c r="DA391" s="72"/>
      <c r="DB391" s="72"/>
      <c r="DC391" s="72"/>
      <c r="DD391" s="72"/>
      <c r="DE391" s="72"/>
      <c r="DF391" s="72"/>
      <c r="DG391" s="72"/>
      <c r="DH391" s="72"/>
      <c r="DI391" s="72"/>
      <c r="DJ391" s="72"/>
      <c r="DK391" s="72"/>
      <c r="DL391" s="72"/>
      <c r="DM391" s="72"/>
      <c r="DN391" s="72"/>
      <c r="DO391" s="72"/>
      <c r="DP391" s="72"/>
      <c r="DQ391" s="72"/>
      <c r="DR391" s="72"/>
      <c r="DS391" s="72"/>
      <c r="DT391" s="72"/>
      <c r="DU391" s="72"/>
      <c r="DV391" s="72"/>
      <c r="DW391" s="72"/>
      <c r="DX391" s="72"/>
      <c r="DY391" s="72"/>
      <c r="DZ391" s="72"/>
      <c r="EA391" s="72"/>
      <c r="EB391" s="72"/>
      <c r="EC391" s="72"/>
      <c r="ED391" s="72"/>
      <c r="EE391" s="72"/>
      <c r="EF391" s="72"/>
      <c r="EG391" s="72"/>
      <c r="EH391" s="72"/>
      <c r="EI391" s="72"/>
      <c r="EJ391" s="72"/>
      <c r="EK391" s="72"/>
      <c r="EL391" s="72"/>
      <c r="EM391" s="72"/>
      <c r="EN391" s="72"/>
      <c r="EO391" s="72"/>
      <c r="EP391" s="72"/>
      <c r="EQ391" s="72"/>
      <c r="ER391" s="72"/>
      <c r="ES391" s="72"/>
      <c r="ET391" s="72"/>
      <c r="EU391" s="72"/>
      <c r="EV391" s="72"/>
      <c r="EW391" s="72"/>
      <c r="EX391" s="72"/>
      <c r="EY391" s="72"/>
      <c r="EZ391" s="72"/>
      <c r="FA391" s="72"/>
      <c r="FB391" s="72"/>
      <c r="FC391" s="72"/>
      <c r="FD391" s="72"/>
    </row>
    <row r="392" spans="1:160">
      <c r="A392" s="145"/>
      <c r="B392" s="145"/>
      <c r="C392" s="145"/>
      <c r="D392" s="145"/>
      <c r="E392" s="146"/>
      <c r="F392" s="145"/>
      <c r="G392" s="145"/>
      <c r="H392" s="145"/>
      <c r="I392" s="317"/>
      <c r="J392" s="145"/>
      <c r="K392" s="145"/>
      <c r="L392" s="72"/>
      <c r="M392" s="318"/>
      <c r="N392" s="146"/>
      <c r="O392" s="72"/>
      <c r="P392" s="72"/>
      <c r="Q392" s="145"/>
      <c r="R392" s="145"/>
      <c r="S392" s="145"/>
      <c r="T392" s="145"/>
      <c r="U392" s="145"/>
      <c r="V392" s="145"/>
      <c r="W392" s="145"/>
      <c r="X392" s="145"/>
      <c r="Y392" s="145"/>
      <c r="Z392" s="145"/>
      <c r="AA392" s="150"/>
      <c r="AB392" s="151"/>
      <c r="AC392" s="150"/>
      <c r="AD392" s="150"/>
      <c r="AE392" s="150"/>
      <c r="AF392" s="150"/>
      <c r="AG392" s="150"/>
      <c r="AH392" s="150"/>
      <c r="AI392" s="150"/>
      <c r="AJ392" s="150"/>
      <c r="AK392" s="150"/>
      <c r="AL392" s="150"/>
      <c r="AM392" s="150"/>
      <c r="AN392" s="150"/>
      <c r="AO392" s="150"/>
      <c r="AP392" s="150"/>
      <c r="AQ392" s="150"/>
      <c r="AR392" s="150"/>
      <c r="AS392" s="150"/>
      <c r="AT392" s="150"/>
      <c r="AU392" s="150"/>
      <c r="AV392" s="150"/>
      <c r="AW392" s="150"/>
      <c r="AX392" s="150"/>
      <c r="AY392" s="150"/>
      <c r="AZ392" s="150"/>
      <c r="BA392" s="150"/>
      <c r="BB392" s="150"/>
      <c r="BC392" s="150"/>
      <c r="BD392" s="150"/>
      <c r="BE392" s="150"/>
      <c r="BF392" s="150"/>
      <c r="BG392" s="150"/>
      <c r="BH392" s="150"/>
      <c r="BI392" s="150"/>
      <c r="BJ392" s="150"/>
      <c r="BK392" s="150"/>
      <c r="BL392" s="150"/>
      <c r="BM392" s="150"/>
      <c r="BN392" s="72"/>
      <c r="BO392" s="72"/>
      <c r="BP392" s="72"/>
      <c r="BQ392" s="72"/>
      <c r="BR392" s="72"/>
      <c r="BS392" s="72"/>
      <c r="BT392" s="72"/>
      <c r="BU392" s="72"/>
      <c r="BV392" s="72"/>
      <c r="BW392" s="72"/>
      <c r="BX392" s="72"/>
      <c r="BY392" s="72"/>
      <c r="BZ392" s="72"/>
      <c r="CA392" s="72"/>
      <c r="CB392" s="72"/>
      <c r="CC392" s="72"/>
      <c r="CD392" s="72"/>
      <c r="CE392" s="72"/>
      <c r="CF392" s="72"/>
      <c r="CG392" s="72"/>
      <c r="CH392" s="72"/>
      <c r="CI392" s="72"/>
      <c r="CJ392" s="72"/>
      <c r="CK392" s="72"/>
      <c r="CL392" s="72"/>
      <c r="CM392" s="72"/>
      <c r="CN392" s="72"/>
      <c r="CO392" s="72"/>
      <c r="CP392" s="72"/>
      <c r="CQ392" s="72"/>
      <c r="CR392" s="72"/>
      <c r="CS392" s="72"/>
      <c r="CT392" s="150"/>
      <c r="CU392" s="152"/>
      <c r="CV392" s="72"/>
      <c r="CW392" s="72"/>
      <c r="CX392" s="72"/>
      <c r="CY392" s="72"/>
      <c r="CZ392" s="72"/>
      <c r="DA392" s="72"/>
      <c r="DB392" s="72"/>
      <c r="DC392" s="72"/>
      <c r="DD392" s="72"/>
      <c r="DE392" s="72"/>
      <c r="DF392" s="72"/>
      <c r="DG392" s="72"/>
      <c r="DH392" s="72"/>
      <c r="DI392" s="72"/>
      <c r="DJ392" s="72"/>
      <c r="DK392" s="72"/>
      <c r="DL392" s="72"/>
      <c r="DM392" s="72"/>
      <c r="DN392" s="72"/>
      <c r="DO392" s="72"/>
      <c r="DP392" s="72"/>
      <c r="DQ392" s="72"/>
      <c r="DR392" s="72"/>
      <c r="DS392" s="72"/>
      <c r="DT392" s="72"/>
      <c r="DU392" s="72"/>
      <c r="DV392" s="72"/>
      <c r="DW392" s="72"/>
      <c r="DX392" s="72"/>
      <c r="DY392" s="72"/>
      <c r="DZ392" s="72"/>
      <c r="EA392" s="72"/>
      <c r="EB392" s="72"/>
      <c r="EC392" s="72"/>
      <c r="ED392" s="72"/>
      <c r="EE392" s="72"/>
      <c r="EF392" s="72"/>
      <c r="EG392" s="72"/>
      <c r="EH392" s="72"/>
      <c r="EI392" s="72"/>
      <c r="EJ392" s="72"/>
      <c r="EK392" s="72"/>
      <c r="EL392" s="72"/>
      <c r="EM392" s="72"/>
      <c r="EN392" s="72"/>
      <c r="EO392" s="72"/>
      <c r="EP392" s="72"/>
      <c r="EQ392" s="72"/>
      <c r="ER392" s="72"/>
      <c r="ES392" s="72"/>
      <c r="ET392" s="72"/>
      <c r="EU392" s="72"/>
      <c r="EV392" s="72"/>
      <c r="EW392" s="72"/>
      <c r="EX392" s="72"/>
      <c r="EY392" s="72"/>
      <c r="EZ392" s="72"/>
      <c r="FA392" s="72"/>
      <c r="FB392" s="72"/>
      <c r="FC392" s="72"/>
      <c r="FD392" s="72"/>
    </row>
    <row r="393" spans="1:160">
      <c r="A393" s="145"/>
      <c r="B393" s="145"/>
      <c r="C393" s="145"/>
      <c r="D393" s="145"/>
      <c r="E393" s="146"/>
      <c r="F393" s="145"/>
      <c r="G393" s="145"/>
      <c r="H393" s="145"/>
      <c r="I393" s="317"/>
      <c r="J393" s="145"/>
      <c r="K393" s="145"/>
      <c r="L393" s="72"/>
      <c r="M393" s="318"/>
      <c r="N393" s="146"/>
      <c r="O393" s="72"/>
      <c r="P393" s="72"/>
      <c r="Q393" s="145"/>
      <c r="R393" s="145"/>
      <c r="S393" s="145"/>
      <c r="T393" s="145"/>
      <c r="U393" s="145"/>
      <c r="V393" s="145"/>
      <c r="W393" s="145"/>
      <c r="X393" s="145"/>
      <c r="Y393" s="145"/>
      <c r="Z393" s="145"/>
      <c r="AA393" s="150"/>
      <c r="AB393" s="322"/>
      <c r="AC393" s="150"/>
      <c r="AD393" s="150"/>
      <c r="AE393" s="150"/>
      <c r="AF393" s="150"/>
      <c r="AG393" s="150"/>
      <c r="AH393" s="150"/>
      <c r="AI393" s="150"/>
      <c r="AJ393" s="150"/>
      <c r="AK393" s="150"/>
      <c r="AL393" s="150"/>
      <c r="AM393" s="150"/>
      <c r="AN393" s="150"/>
      <c r="AO393" s="150"/>
      <c r="AP393" s="150"/>
      <c r="AQ393" s="150"/>
      <c r="AR393" s="150"/>
      <c r="AS393" s="150"/>
      <c r="AT393" s="150"/>
      <c r="AU393" s="150"/>
      <c r="AV393" s="150"/>
      <c r="AW393" s="150"/>
      <c r="AX393" s="150"/>
      <c r="AY393" s="150"/>
      <c r="AZ393" s="150"/>
      <c r="BA393" s="150"/>
      <c r="BB393" s="150"/>
      <c r="BC393" s="150"/>
      <c r="BD393" s="150"/>
      <c r="BE393" s="150"/>
      <c r="BF393" s="150"/>
      <c r="BG393" s="150"/>
      <c r="BH393" s="150"/>
      <c r="BI393" s="150"/>
      <c r="BJ393" s="150"/>
      <c r="BK393" s="150"/>
      <c r="BL393" s="150"/>
      <c r="BM393" s="150"/>
      <c r="BN393" s="72"/>
      <c r="BO393" s="72"/>
      <c r="BP393" s="72"/>
      <c r="BQ393" s="72"/>
      <c r="BR393" s="72"/>
      <c r="BS393" s="72"/>
      <c r="BT393" s="72"/>
      <c r="BU393" s="72"/>
      <c r="BV393" s="72"/>
      <c r="BW393" s="72"/>
      <c r="BX393" s="72"/>
      <c r="BY393" s="72"/>
      <c r="BZ393" s="72"/>
      <c r="CA393" s="72"/>
      <c r="CB393" s="72"/>
      <c r="CC393" s="72"/>
      <c r="CD393" s="72"/>
      <c r="CE393" s="72"/>
      <c r="CF393" s="72"/>
      <c r="CG393" s="72"/>
      <c r="CH393" s="72"/>
      <c r="CI393" s="72"/>
      <c r="CJ393" s="72"/>
      <c r="CK393" s="72"/>
      <c r="CL393" s="72"/>
      <c r="CM393" s="72"/>
      <c r="CN393" s="72"/>
      <c r="CO393" s="72"/>
      <c r="CP393" s="72"/>
      <c r="CQ393" s="72"/>
      <c r="CR393" s="72"/>
      <c r="CS393" s="72"/>
      <c r="CT393" s="150"/>
      <c r="CU393" s="152"/>
      <c r="CV393" s="72"/>
      <c r="CW393" s="72"/>
      <c r="CX393" s="72"/>
      <c r="CY393" s="72"/>
      <c r="CZ393" s="72"/>
      <c r="DA393" s="72"/>
      <c r="DB393" s="72"/>
      <c r="DC393" s="72"/>
      <c r="DD393" s="72"/>
      <c r="DE393" s="72"/>
      <c r="DF393" s="72"/>
      <c r="DG393" s="72"/>
      <c r="DH393" s="72"/>
      <c r="DI393" s="72"/>
      <c r="DJ393" s="72"/>
      <c r="DK393" s="72"/>
      <c r="DL393" s="72"/>
      <c r="DM393" s="72"/>
      <c r="DN393" s="72"/>
      <c r="DO393" s="72"/>
      <c r="DP393" s="72"/>
      <c r="DQ393" s="72"/>
      <c r="DR393" s="72"/>
      <c r="DS393" s="72"/>
      <c r="DT393" s="72"/>
      <c r="DU393" s="72"/>
      <c r="DV393" s="72"/>
      <c r="DW393" s="72"/>
      <c r="DX393" s="72"/>
      <c r="DY393" s="72"/>
      <c r="DZ393" s="72"/>
      <c r="EA393" s="72"/>
      <c r="EB393" s="72"/>
      <c r="EC393" s="72"/>
      <c r="ED393" s="72"/>
      <c r="EE393" s="72"/>
      <c r="EF393" s="72"/>
      <c r="EG393" s="72"/>
      <c r="EH393" s="72"/>
      <c r="EI393" s="72"/>
      <c r="EJ393" s="72"/>
      <c r="EK393" s="72"/>
      <c r="EL393" s="72"/>
      <c r="EM393" s="72"/>
      <c r="EN393" s="72"/>
      <c r="EO393" s="72"/>
      <c r="EP393" s="72"/>
      <c r="EQ393" s="72"/>
      <c r="ER393" s="72"/>
      <c r="ES393" s="72"/>
      <c r="ET393" s="72"/>
      <c r="EU393" s="72"/>
      <c r="EV393" s="72"/>
      <c r="EW393" s="72"/>
      <c r="EX393" s="72"/>
      <c r="EY393" s="72"/>
      <c r="EZ393" s="72"/>
      <c r="FA393" s="72"/>
      <c r="FB393" s="72"/>
      <c r="FC393" s="72"/>
      <c r="FD393" s="72"/>
    </row>
    <row r="394" spans="1:160">
      <c r="A394" s="145"/>
      <c r="B394" s="145"/>
      <c r="C394" s="145"/>
      <c r="D394" s="145"/>
      <c r="E394" s="146"/>
      <c r="F394" s="145"/>
      <c r="G394" s="145"/>
      <c r="H394" s="145"/>
      <c r="I394" s="317"/>
      <c r="J394" s="145"/>
      <c r="K394" s="145"/>
      <c r="L394" s="72"/>
      <c r="M394" s="318"/>
      <c r="N394" s="146"/>
      <c r="O394" s="72"/>
      <c r="P394" s="72"/>
      <c r="Q394" s="145"/>
      <c r="R394" s="145"/>
      <c r="S394" s="145"/>
      <c r="T394" s="145"/>
      <c r="U394" s="145"/>
      <c r="V394" s="145"/>
      <c r="W394" s="145"/>
      <c r="X394" s="145"/>
      <c r="Y394" s="145"/>
      <c r="Z394" s="145"/>
      <c r="AA394" s="150"/>
      <c r="AB394" s="151"/>
      <c r="AC394" s="150"/>
      <c r="AD394" s="150"/>
      <c r="AE394" s="150"/>
      <c r="AF394" s="150"/>
      <c r="AG394" s="150"/>
      <c r="AH394" s="150"/>
      <c r="AI394" s="150"/>
      <c r="AJ394" s="150"/>
      <c r="AK394" s="150"/>
      <c r="AL394" s="150"/>
      <c r="AM394" s="150"/>
      <c r="AN394" s="150"/>
      <c r="AO394" s="150"/>
      <c r="AP394" s="150"/>
      <c r="AQ394" s="150"/>
      <c r="AR394" s="150"/>
      <c r="AS394" s="150"/>
      <c r="AT394" s="150"/>
      <c r="AU394" s="150"/>
      <c r="AV394" s="150"/>
      <c r="AW394" s="150"/>
      <c r="AX394" s="150"/>
      <c r="AY394" s="150"/>
      <c r="AZ394" s="150"/>
      <c r="BA394" s="150"/>
      <c r="BB394" s="150"/>
      <c r="BC394" s="150"/>
      <c r="BD394" s="150"/>
      <c r="BE394" s="150"/>
      <c r="BF394" s="150"/>
      <c r="BG394" s="150"/>
      <c r="BH394" s="150"/>
      <c r="BI394" s="150"/>
      <c r="BJ394" s="150"/>
      <c r="BK394" s="150"/>
      <c r="BL394" s="150"/>
      <c r="BM394" s="150"/>
      <c r="BN394" s="72"/>
      <c r="BO394" s="72"/>
      <c r="BP394" s="72"/>
      <c r="BQ394" s="72"/>
      <c r="BR394" s="72"/>
      <c r="BS394" s="72"/>
      <c r="BT394" s="72"/>
      <c r="BU394" s="72"/>
      <c r="BV394" s="72"/>
      <c r="BW394" s="72"/>
      <c r="BX394" s="72"/>
      <c r="BY394" s="72"/>
      <c r="BZ394" s="72"/>
      <c r="CA394" s="72"/>
      <c r="CB394" s="72"/>
      <c r="CC394" s="72"/>
      <c r="CD394" s="72"/>
      <c r="CE394" s="72"/>
      <c r="CF394" s="72"/>
      <c r="CG394" s="72"/>
      <c r="CH394" s="72"/>
      <c r="CI394" s="72"/>
      <c r="CJ394" s="72"/>
      <c r="CK394" s="72"/>
      <c r="CL394" s="72"/>
      <c r="CM394" s="72"/>
      <c r="CN394" s="72"/>
      <c r="CO394" s="72"/>
      <c r="CP394" s="72"/>
      <c r="CQ394" s="72"/>
      <c r="CR394" s="72"/>
      <c r="CS394" s="72"/>
      <c r="CT394" s="150"/>
      <c r="CU394" s="152"/>
      <c r="CV394" s="72"/>
      <c r="CW394" s="72"/>
      <c r="CX394" s="72"/>
      <c r="CY394" s="72"/>
      <c r="CZ394" s="72"/>
      <c r="DA394" s="72"/>
      <c r="DB394" s="72"/>
      <c r="DC394" s="72"/>
      <c r="DD394" s="72"/>
      <c r="DE394" s="72"/>
      <c r="DF394" s="72"/>
      <c r="DG394" s="72"/>
      <c r="DH394" s="72"/>
      <c r="DI394" s="72"/>
      <c r="DJ394" s="72"/>
      <c r="DK394" s="72"/>
      <c r="DL394" s="72"/>
      <c r="DM394" s="72"/>
      <c r="DN394" s="72"/>
      <c r="DO394" s="72"/>
      <c r="DP394" s="72"/>
      <c r="DQ394" s="72"/>
      <c r="DR394" s="72"/>
      <c r="DS394" s="72"/>
      <c r="DT394" s="72"/>
      <c r="DU394" s="72"/>
      <c r="DV394" s="72"/>
      <c r="DW394" s="72"/>
      <c r="DX394" s="72"/>
      <c r="DY394" s="72"/>
      <c r="DZ394" s="72"/>
      <c r="EA394" s="72"/>
      <c r="EB394" s="72"/>
      <c r="EC394" s="72"/>
      <c r="ED394" s="72"/>
      <c r="EE394" s="72"/>
      <c r="EF394" s="72"/>
      <c r="EG394" s="72"/>
      <c r="EH394" s="72"/>
      <c r="EI394" s="72"/>
      <c r="EJ394" s="72"/>
      <c r="EK394" s="72"/>
      <c r="EL394" s="72"/>
      <c r="EM394" s="72"/>
      <c r="EN394" s="72"/>
      <c r="EO394" s="72"/>
      <c r="EP394" s="72"/>
      <c r="EQ394" s="72"/>
      <c r="ER394" s="72"/>
      <c r="ES394" s="72"/>
      <c r="ET394" s="72"/>
      <c r="EU394" s="72"/>
      <c r="EV394" s="72"/>
      <c r="EW394" s="72"/>
      <c r="EX394" s="72"/>
      <c r="EY394" s="72"/>
      <c r="EZ394" s="72"/>
      <c r="FA394" s="72"/>
      <c r="FB394" s="72"/>
      <c r="FC394" s="72"/>
      <c r="FD394" s="72"/>
    </row>
    <row r="395" spans="1:160">
      <c r="A395" s="145"/>
      <c r="B395" s="145"/>
      <c r="C395" s="145"/>
      <c r="D395" s="145"/>
      <c r="E395" s="146"/>
      <c r="F395" s="145"/>
      <c r="G395" s="145"/>
      <c r="H395" s="145"/>
      <c r="I395" s="317"/>
      <c r="J395" s="145"/>
      <c r="K395" s="145"/>
      <c r="L395" s="72"/>
      <c r="M395" s="318"/>
      <c r="N395" s="146"/>
      <c r="O395" s="72"/>
      <c r="P395" s="72"/>
      <c r="Q395" s="145"/>
      <c r="R395" s="145"/>
      <c r="S395" s="145"/>
      <c r="T395" s="145"/>
      <c r="U395" s="145"/>
      <c r="V395" s="145"/>
      <c r="W395" s="145"/>
      <c r="X395" s="145"/>
      <c r="Y395" s="145"/>
      <c r="Z395" s="145"/>
      <c r="AA395" s="150"/>
      <c r="AB395" s="320"/>
      <c r="AC395" s="150"/>
      <c r="AD395" s="150"/>
      <c r="AE395" s="150"/>
      <c r="AF395" s="150"/>
      <c r="AG395" s="150"/>
      <c r="AH395" s="150"/>
      <c r="AI395" s="150"/>
      <c r="AJ395" s="150"/>
      <c r="AK395" s="150"/>
      <c r="AL395" s="150"/>
      <c r="AM395" s="150"/>
      <c r="AN395" s="150"/>
      <c r="AO395" s="150"/>
      <c r="AP395" s="150"/>
      <c r="AQ395" s="150"/>
      <c r="AR395" s="150"/>
      <c r="AS395" s="150"/>
      <c r="AT395" s="150"/>
      <c r="AU395" s="150"/>
      <c r="AV395" s="150"/>
      <c r="AW395" s="150"/>
      <c r="AX395" s="150"/>
      <c r="AY395" s="150"/>
      <c r="AZ395" s="150"/>
      <c r="BA395" s="150"/>
      <c r="BB395" s="150"/>
      <c r="BC395" s="150"/>
      <c r="BD395" s="150"/>
      <c r="BE395" s="150"/>
      <c r="BF395" s="150"/>
      <c r="BG395" s="150"/>
      <c r="BH395" s="150"/>
      <c r="BI395" s="150"/>
      <c r="BJ395" s="150"/>
      <c r="BK395" s="150"/>
      <c r="BL395" s="150"/>
      <c r="BM395" s="150"/>
      <c r="BN395" s="72"/>
      <c r="BO395" s="72"/>
      <c r="BP395" s="72"/>
      <c r="BQ395" s="72"/>
      <c r="BR395" s="72"/>
      <c r="BS395" s="72"/>
      <c r="BT395" s="72"/>
      <c r="BU395" s="72"/>
      <c r="BV395" s="72"/>
      <c r="BW395" s="72"/>
      <c r="BX395" s="72"/>
      <c r="BY395" s="72"/>
      <c r="BZ395" s="72"/>
      <c r="CA395" s="72"/>
      <c r="CB395" s="72"/>
      <c r="CC395" s="72"/>
      <c r="CD395" s="72"/>
      <c r="CE395" s="72"/>
      <c r="CF395" s="72"/>
      <c r="CG395" s="72"/>
      <c r="CH395" s="72"/>
      <c r="CI395" s="72"/>
      <c r="CJ395" s="72"/>
      <c r="CK395" s="72"/>
      <c r="CL395" s="72"/>
      <c r="CM395" s="72"/>
      <c r="CN395" s="72"/>
      <c r="CO395" s="72"/>
      <c r="CP395" s="72"/>
      <c r="CQ395" s="72"/>
      <c r="CR395" s="72"/>
      <c r="CS395" s="72"/>
      <c r="CT395" s="150"/>
      <c r="CU395" s="152"/>
      <c r="CV395" s="72"/>
      <c r="CW395" s="72"/>
      <c r="CX395" s="72"/>
      <c r="CY395" s="72"/>
      <c r="CZ395" s="72"/>
      <c r="DA395" s="72"/>
      <c r="DB395" s="72"/>
      <c r="DC395" s="72"/>
      <c r="DD395" s="72"/>
      <c r="DE395" s="72"/>
      <c r="DF395" s="72"/>
      <c r="DG395" s="72"/>
      <c r="DH395" s="72"/>
      <c r="DI395" s="72"/>
      <c r="DJ395" s="72"/>
      <c r="DK395" s="72"/>
      <c r="DL395" s="72"/>
      <c r="DM395" s="72"/>
      <c r="DN395" s="72"/>
      <c r="DO395" s="72"/>
      <c r="DP395" s="72"/>
      <c r="DQ395" s="72"/>
      <c r="DR395" s="72"/>
      <c r="DS395" s="72"/>
      <c r="DT395" s="72"/>
      <c r="DU395" s="72"/>
      <c r="DV395" s="72"/>
      <c r="DW395" s="72"/>
      <c r="DX395" s="72"/>
      <c r="DY395" s="72"/>
      <c r="DZ395" s="72"/>
      <c r="EA395" s="72"/>
      <c r="EB395" s="72"/>
      <c r="EC395" s="72"/>
      <c r="ED395" s="72"/>
      <c r="EE395" s="72"/>
      <c r="EF395" s="72"/>
      <c r="EG395" s="72"/>
      <c r="EH395" s="72"/>
      <c r="EI395" s="72"/>
      <c r="EJ395" s="72"/>
      <c r="EK395" s="72"/>
      <c r="EL395" s="72"/>
      <c r="EM395" s="72"/>
      <c r="EN395" s="72"/>
      <c r="EO395" s="72"/>
      <c r="EP395" s="72"/>
      <c r="EQ395" s="72"/>
      <c r="ER395" s="72"/>
      <c r="ES395" s="72"/>
      <c r="ET395" s="72"/>
      <c r="EU395" s="72"/>
      <c r="EV395" s="72"/>
      <c r="EW395" s="72"/>
      <c r="EX395" s="72"/>
      <c r="EY395" s="72"/>
      <c r="EZ395" s="72"/>
      <c r="FA395" s="72"/>
      <c r="FB395" s="72"/>
      <c r="FC395" s="72"/>
      <c r="FD395" s="72"/>
    </row>
    <row r="396" spans="1:160">
      <c r="A396" s="145"/>
      <c r="B396" s="145"/>
      <c r="C396" s="145"/>
      <c r="D396" s="145"/>
      <c r="E396" s="146"/>
      <c r="F396" s="145"/>
      <c r="G396" s="145"/>
      <c r="H396" s="145"/>
      <c r="I396" s="317"/>
      <c r="J396" s="145"/>
      <c r="K396" s="145"/>
      <c r="L396" s="72"/>
      <c r="M396" s="318"/>
      <c r="N396" s="146"/>
      <c r="O396" s="72"/>
      <c r="P396" s="72"/>
      <c r="Q396" s="145"/>
      <c r="R396" s="145"/>
      <c r="S396" s="145"/>
      <c r="T396" s="145"/>
      <c r="U396" s="145"/>
      <c r="V396" s="145"/>
      <c r="W396" s="145"/>
      <c r="X396" s="145"/>
      <c r="Y396" s="145"/>
      <c r="Z396" s="145"/>
      <c r="AA396" s="150"/>
      <c r="AB396" s="151"/>
      <c r="AC396" s="150"/>
      <c r="AD396" s="150"/>
      <c r="AE396" s="150"/>
      <c r="AF396" s="150"/>
      <c r="AG396" s="150"/>
      <c r="AH396" s="150"/>
      <c r="AI396" s="150"/>
      <c r="AJ396" s="150"/>
      <c r="AK396" s="150"/>
      <c r="AL396" s="150"/>
      <c r="AM396" s="150"/>
      <c r="AN396" s="150"/>
      <c r="AO396" s="150"/>
      <c r="AP396" s="150"/>
      <c r="AQ396" s="150"/>
      <c r="AR396" s="150"/>
      <c r="AS396" s="150"/>
      <c r="AT396" s="150"/>
      <c r="AU396" s="150"/>
      <c r="AV396" s="150"/>
      <c r="AW396" s="150"/>
      <c r="AX396" s="150"/>
      <c r="AY396" s="150"/>
      <c r="AZ396" s="150"/>
      <c r="BA396" s="150"/>
      <c r="BB396" s="150"/>
      <c r="BC396" s="150"/>
      <c r="BD396" s="150"/>
      <c r="BE396" s="150"/>
      <c r="BF396" s="150"/>
      <c r="BG396" s="150"/>
      <c r="BH396" s="150"/>
      <c r="BI396" s="150"/>
      <c r="BJ396" s="150"/>
      <c r="BK396" s="150"/>
      <c r="BL396" s="150"/>
      <c r="BM396" s="150"/>
      <c r="BN396" s="72"/>
      <c r="BO396" s="72"/>
      <c r="BP396" s="72"/>
      <c r="BQ396" s="72"/>
      <c r="BR396" s="72"/>
      <c r="BS396" s="72"/>
      <c r="BT396" s="72"/>
      <c r="BU396" s="72"/>
      <c r="BV396" s="72"/>
      <c r="BW396" s="72"/>
      <c r="BX396" s="72"/>
      <c r="BY396" s="72"/>
      <c r="BZ396" s="72"/>
      <c r="CA396" s="72"/>
      <c r="CB396" s="72"/>
      <c r="CC396" s="72"/>
      <c r="CD396" s="72"/>
      <c r="CE396" s="72"/>
      <c r="CF396" s="72"/>
      <c r="CG396" s="72"/>
      <c r="CH396" s="72"/>
      <c r="CI396" s="72"/>
      <c r="CJ396" s="72"/>
      <c r="CK396" s="72"/>
      <c r="CL396" s="72"/>
      <c r="CM396" s="72"/>
      <c r="CN396" s="72"/>
      <c r="CO396" s="72"/>
      <c r="CP396" s="72"/>
      <c r="CQ396" s="72"/>
      <c r="CR396" s="72"/>
      <c r="CS396" s="72"/>
      <c r="CT396" s="150"/>
      <c r="CU396" s="152"/>
      <c r="CV396" s="72"/>
      <c r="CW396" s="72"/>
      <c r="CX396" s="72"/>
      <c r="CY396" s="72"/>
      <c r="CZ396" s="72"/>
      <c r="DA396" s="72"/>
      <c r="DB396" s="72"/>
      <c r="DC396" s="72"/>
      <c r="DD396" s="72"/>
      <c r="DE396" s="72"/>
      <c r="DF396" s="72"/>
      <c r="DG396" s="72"/>
      <c r="DH396" s="72"/>
      <c r="DI396" s="72"/>
      <c r="DJ396" s="72"/>
      <c r="DK396" s="72"/>
      <c r="DL396" s="72"/>
      <c r="DM396" s="72"/>
      <c r="DN396" s="72"/>
      <c r="DO396" s="72"/>
      <c r="DP396" s="72"/>
      <c r="DQ396" s="72"/>
      <c r="DR396" s="72"/>
      <c r="DS396" s="72"/>
      <c r="DT396" s="72"/>
      <c r="DU396" s="72"/>
      <c r="DV396" s="72"/>
      <c r="DW396" s="72"/>
      <c r="DX396" s="72"/>
      <c r="DY396" s="72"/>
      <c r="DZ396" s="72"/>
      <c r="EA396" s="72"/>
      <c r="EB396" s="72"/>
      <c r="EC396" s="72"/>
      <c r="ED396" s="72"/>
      <c r="EE396" s="72"/>
      <c r="EF396" s="72"/>
      <c r="EG396" s="72"/>
      <c r="EH396" s="72"/>
      <c r="EI396" s="72"/>
      <c r="EJ396" s="72"/>
      <c r="EK396" s="72"/>
      <c r="EL396" s="72"/>
      <c r="EM396" s="72"/>
      <c r="EN396" s="72"/>
      <c r="EO396" s="72"/>
      <c r="EP396" s="72"/>
      <c r="EQ396" s="72"/>
      <c r="ER396" s="72"/>
      <c r="ES396" s="72"/>
      <c r="ET396" s="72"/>
      <c r="EU396" s="72"/>
      <c r="EV396" s="72"/>
      <c r="EW396" s="72"/>
      <c r="EX396" s="72"/>
      <c r="EY396" s="72"/>
      <c r="EZ396" s="72"/>
      <c r="FA396" s="72"/>
      <c r="FB396" s="72"/>
      <c r="FC396" s="72"/>
      <c r="FD396" s="72"/>
    </row>
    <row r="397" spans="1:160">
      <c r="A397" s="145"/>
      <c r="B397" s="145"/>
      <c r="C397" s="145"/>
      <c r="D397" s="145"/>
      <c r="E397" s="146"/>
      <c r="F397" s="145"/>
      <c r="G397" s="145"/>
      <c r="H397" s="145"/>
      <c r="I397" s="317"/>
      <c r="J397" s="145"/>
      <c r="K397" s="145"/>
      <c r="L397" s="72"/>
      <c r="M397" s="318"/>
      <c r="N397" s="146"/>
      <c r="O397" s="72"/>
      <c r="P397" s="72"/>
      <c r="Q397" s="145"/>
      <c r="R397" s="145"/>
      <c r="S397" s="145"/>
      <c r="T397" s="145"/>
      <c r="U397" s="145"/>
      <c r="V397" s="145"/>
      <c r="W397" s="145"/>
      <c r="X397" s="145"/>
      <c r="Y397" s="145"/>
      <c r="Z397" s="145"/>
      <c r="AA397" s="150"/>
      <c r="AB397" s="151"/>
      <c r="AC397" s="150"/>
      <c r="AD397" s="150"/>
      <c r="AE397" s="150"/>
      <c r="AF397" s="150"/>
      <c r="AG397" s="150"/>
      <c r="AH397" s="150"/>
      <c r="AI397" s="150"/>
      <c r="AJ397" s="150"/>
      <c r="AK397" s="150"/>
      <c r="AL397" s="150"/>
      <c r="AM397" s="150"/>
      <c r="AN397" s="150"/>
      <c r="AO397" s="150"/>
      <c r="AP397" s="150"/>
      <c r="AQ397" s="150"/>
      <c r="AR397" s="150"/>
      <c r="AS397" s="150"/>
      <c r="AT397" s="150"/>
      <c r="AU397" s="150"/>
      <c r="AV397" s="150"/>
      <c r="AW397" s="150"/>
      <c r="AX397" s="150"/>
      <c r="AY397" s="150"/>
      <c r="AZ397" s="150"/>
      <c r="BA397" s="150"/>
      <c r="BB397" s="150"/>
      <c r="BC397" s="150"/>
      <c r="BD397" s="150"/>
      <c r="BE397" s="150"/>
      <c r="BF397" s="150"/>
      <c r="BG397" s="150"/>
      <c r="BH397" s="150"/>
      <c r="BI397" s="150"/>
      <c r="BJ397" s="150"/>
      <c r="BK397" s="150"/>
      <c r="BL397" s="150"/>
      <c r="BM397" s="150"/>
      <c r="BN397" s="72"/>
      <c r="BO397" s="72"/>
      <c r="BP397" s="72"/>
      <c r="BQ397" s="72"/>
      <c r="BR397" s="72"/>
      <c r="BS397" s="72"/>
      <c r="BT397" s="72"/>
      <c r="BU397" s="72"/>
      <c r="BV397" s="72"/>
      <c r="BW397" s="72"/>
      <c r="BX397" s="72"/>
      <c r="BY397" s="72"/>
      <c r="BZ397" s="72"/>
      <c r="CA397" s="72"/>
      <c r="CB397" s="72"/>
      <c r="CC397" s="72"/>
      <c r="CD397" s="72"/>
      <c r="CE397" s="72"/>
      <c r="CF397" s="72"/>
      <c r="CG397" s="72"/>
      <c r="CH397" s="72"/>
      <c r="CI397" s="72"/>
      <c r="CJ397" s="72"/>
      <c r="CK397" s="72"/>
      <c r="CL397" s="72"/>
      <c r="CM397" s="72"/>
      <c r="CN397" s="72"/>
      <c r="CO397" s="72"/>
      <c r="CP397" s="72"/>
      <c r="CQ397" s="72"/>
      <c r="CR397" s="72"/>
      <c r="CS397" s="72"/>
      <c r="CT397" s="150"/>
      <c r="CU397" s="152"/>
      <c r="CV397" s="72"/>
      <c r="CW397" s="72"/>
      <c r="CX397" s="72"/>
      <c r="CY397" s="72"/>
      <c r="CZ397" s="72"/>
      <c r="DA397" s="72"/>
      <c r="DB397" s="72"/>
      <c r="DC397" s="72"/>
      <c r="DD397" s="72"/>
      <c r="DE397" s="72"/>
      <c r="DF397" s="72"/>
      <c r="DG397" s="72"/>
      <c r="DH397" s="72"/>
      <c r="DI397" s="72"/>
      <c r="DJ397" s="72"/>
      <c r="DK397" s="72"/>
      <c r="DL397" s="72"/>
      <c r="DM397" s="72"/>
      <c r="DN397" s="72"/>
      <c r="DO397" s="72"/>
      <c r="DP397" s="72"/>
      <c r="DQ397" s="72"/>
      <c r="DR397" s="72"/>
      <c r="DS397" s="72"/>
      <c r="DT397" s="72"/>
      <c r="DU397" s="72"/>
      <c r="DV397" s="72"/>
      <c r="DW397" s="72"/>
      <c r="DX397" s="72"/>
      <c r="DY397" s="72"/>
      <c r="DZ397" s="72"/>
      <c r="EA397" s="72"/>
      <c r="EB397" s="72"/>
      <c r="EC397" s="72"/>
      <c r="ED397" s="72"/>
      <c r="EE397" s="72"/>
      <c r="EF397" s="72"/>
      <c r="EG397" s="72"/>
      <c r="EH397" s="72"/>
      <c r="EI397" s="72"/>
      <c r="EJ397" s="72"/>
      <c r="EK397" s="72"/>
      <c r="EL397" s="72"/>
      <c r="EM397" s="72"/>
      <c r="EN397" s="72"/>
      <c r="EO397" s="72"/>
      <c r="EP397" s="72"/>
      <c r="EQ397" s="72"/>
      <c r="ER397" s="72"/>
      <c r="ES397" s="72"/>
      <c r="ET397" s="72"/>
      <c r="EU397" s="72"/>
      <c r="EV397" s="72"/>
      <c r="EW397" s="72"/>
      <c r="EX397" s="72"/>
      <c r="EY397" s="72"/>
      <c r="EZ397" s="72"/>
      <c r="FA397" s="72"/>
      <c r="FB397" s="72"/>
      <c r="FC397" s="72"/>
      <c r="FD397" s="72"/>
    </row>
    <row r="398" spans="1:160">
      <c r="A398" s="145"/>
      <c r="B398" s="145"/>
      <c r="C398" s="145"/>
      <c r="D398" s="145"/>
      <c r="E398" s="146"/>
      <c r="F398" s="145"/>
      <c r="G398" s="145"/>
      <c r="H398" s="145"/>
      <c r="I398" s="317"/>
      <c r="J398" s="145"/>
      <c r="K398" s="145"/>
      <c r="L398" s="72"/>
      <c r="M398" s="318"/>
      <c r="N398" s="146"/>
      <c r="O398" s="72"/>
      <c r="P398" s="72"/>
      <c r="Q398" s="145"/>
      <c r="R398" s="145"/>
      <c r="S398" s="145"/>
      <c r="T398" s="145"/>
      <c r="U398" s="145"/>
      <c r="V398" s="145"/>
      <c r="W398" s="145"/>
      <c r="X398" s="145"/>
      <c r="Y398" s="145"/>
      <c r="Z398" s="145"/>
      <c r="AA398" s="150"/>
      <c r="AB398" s="151"/>
      <c r="AC398" s="150"/>
      <c r="AD398" s="150"/>
      <c r="AE398" s="150"/>
      <c r="AF398" s="150"/>
      <c r="AG398" s="150"/>
      <c r="AH398" s="150"/>
      <c r="AI398" s="150"/>
      <c r="AJ398" s="150"/>
      <c r="AK398" s="150"/>
      <c r="AL398" s="150"/>
      <c r="AM398" s="150"/>
      <c r="AN398" s="150"/>
      <c r="AO398" s="150"/>
      <c r="AP398" s="150"/>
      <c r="AQ398" s="150"/>
      <c r="AR398" s="150"/>
      <c r="AS398" s="150"/>
      <c r="AT398" s="150"/>
      <c r="AU398" s="150"/>
      <c r="AV398" s="150"/>
      <c r="AW398" s="150"/>
      <c r="AX398" s="150"/>
      <c r="AY398" s="150"/>
      <c r="AZ398" s="150"/>
      <c r="BA398" s="150"/>
      <c r="BB398" s="150"/>
      <c r="BC398" s="150"/>
      <c r="BD398" s="150"/>
      <c r="BE398" s="150"/>
      <c r="BF398" s="150"/>
      <c r="BG398" s="150"/>
      <c r="BH398" s="150"/>
      <c r="BI398" s="150"/>
      <c r="BJ398" s="150"/>
      <c r="BK398" s="150"/>
      <c r="BL398" s="150"/>
      <c r="BM398" s="150"/>
      <c r="BN398" s="72"/>
      <c r="BO398" s="72"/>
      <c r="BP398" s="72"/>
      <c r="BQ398" s="72"/>
      <c r="BR398" s="72"/>
      <c r="BS398" s="72"/>
      <c r="BT398" s="72"/>
      <c r="BU398" s="72"/>
      <c r="BV398" s="72"/>
      <c r="BW398" s="72"/>
      <c r="BX398" s="72"/>
      <c r="BY398" s="72"/>
      <c r="BZ398" s="72"/>
      <c r="CA398" s="72"/>
      <c r="CB398" s="72"/>
      <c r="CC398" s="72"/>
      <c r="CD398" s="72"/>
      <c r="CE398" s="72"/>
      <c r="CF398" s="72"/>
      <c r="CG398" s="72"/>
      <c r="CH398" s="72"/>
      <c r="CI398" s="72"/>
      <c r="CJ398" s="72"/>
      <c r="CK398" s="72"/>
      <c r="CL398" s="72"/>
      <c r="CM398" s="72"/>
      <c r="CN398" s="72"/>
      <c r="CO398" s="72"/>
      <c r="CP398" s="72"/>
      <c r="CQ398" s="72"/>
      <c r="CR398" s="72"/>
      <c r="CS398" s="72"/>
      <c r="CT398" s="150"/>
      <c r="CU398" s="152"/>
      <c r="CV398" s="72"/>
      <c r="CW398" s="72"/>
      <c r="CX398" s="72"/>
      <c r="CY398" s="72"/>
      <c r="CZ398" s="72"/>
      <c r="DA398" s="72"/>
      <c r="DB398" s="72"/>
      <c r="DC398" s="72"/>
      <c r="DD398" s="72"/>
      <c r="DE398" s="72"/>
      <c r="DF398" s="72"/>
      <c r="DG398" s="72"/>
      <c r="DH398" s="72"/>
      <c r="DI398" s="72"/>
      <c r="DJ398" s="72"/>
      <c r="DK398" s="72"/>
      <c r="DL398" s="72"/>
      <c r="DM398" s="72"/>
      <c r="DN398" s="72"/>
      <c r="DO398" s="72"/>
      <c r="DP398" s="72"/>
      <c r="DQ398" s="72"/>
      <c r="DR398" s="72"/>
      <c r="DS398" s="72"/>
      <c r="DT398" s="72"/>
      <c r="DU398" s="72"/>
      <c r="DV398" s="72"/>
      <c r="DW398" s="72"/>
      <c r="DX398" s="72"/>
      <c r="DY398" s="72"/>
      <c r="DZ398" s="72"/>
      <c r="EA398" s="72"/>
      <c r="EB398" s="72"/>
      <c r="EC398" s="72"/>
      <c r="ED398" s="72"/>
      <c r="EE398" s="72"/>
      <c r="EF398" s="72"/>
      <c r="EG398" s="72"/>
      <c r="EH398" s="72"/>
      <c r="EI398" s="72"/>
      <c r="EJ398" s="72"/>
      <c r="EK398" s="72"/>
      <c r="EL398" s="72"/>
      <c r="EM398" s="72"/>
      <c r="EN398" s="72"/>
      <c r="EO398" s="72"/>
      <c r="EP398" s="72"/>
      <c r="EQ398" s="72"/>
      <c r="ER398" s="72"/>
      <c r="ES398" s="72"/>
      <c r="ET398" s="72"/>
      <c r="EU398" s="72"/>
      <c r="EV398" s="72"/>
      <c r="EW398" s="72"/>
      <c r="EX398" s="72"/>
      <c r="EY398" s="72"/>
      <c r="EZ398" s="72"/>
      <c r="FA398" s="72"/>
      <c r="FB398" s="72"/>
      <c r="FC398" s="72"/>
      <c r="FD398" s="72"/>
    </row>
    <row r="399" spans="1:160">
      <c r="A399" s="145"/>
      <c r="B399" s="145"/>
      <c r="C399" s="145"/>
      <c r="D399" s="145"/>
      <c r="E399" s="146"/>
      <c r="F399" s="145"/>
      <c r="G399" s="145"/>
      <c r="H399" s="145"/>
      <c r="I399" s="317"/>
      <c r="J399" s="145"/>
      <c r="K399" s="145"/>
      <c r="L399" s="72"/>
      <c r="M399" s="318"/>
      <c r="N399" s="146"/>
      <c r="O399" s="72"/>
      <c r="P399" s="72"/>
      <c r="Q399" s="145"/>
      <c r="R399" s="145"/>
      <c r="S399" s="145"/>
      <c r="T399" s="145"/>
      <c r="U399" s="145"/>
      <c r="V399" s="145"/>
      <c r="W399" s="145"/>
      <c r="X399" s="145"/>
      <c r="Y399" s="145"/>
      <c r="Z399" s="145"/>
      <c r="AA399" s="150"/>
      <c r="AB399" s="151"/>
      <c r="AC399" s="150"/>
      <c r="AD399" s="150"/>
      <c r="AE399" s="150"/>
      <c r="AF399" s="150"/>
      <c r="AG399" s="150"/>
      <c r="AH399" s="150"/>
      <c r="AI399" s="150"/>
      <c r="AJ399" s="150"/>
      <c r="AK399" s="150"/>
      <c r="AL399" s="150"/>
      <c r="AM399" s="150"/>
      <c r="AN399" s="150"/>
      <c r="AO399" s="150"/>
      <c r="AP399" s="150"/>
      <c r="AQ399" s="150"/>
      <c r="AR399" s="150"/>
      <c r="AS399" s="150"/>
      <c r="AT399" s="150"/>
      <c r="AU399" s="150"/>
      <c r="AV399" s="150"/>
      <c r="AW399" s="150"/>
      <c r="AX399" s="150"/>
      <c r="AY399" s="150"/>
      <c r="AZ399" s="150"/>
      <c r="BA399" s="150"/>
      <c r="BB399" s="150"/>
      <c r="BC399" s="150"/>
      <c r="BD399" s="150"/>
      <c r="BE399" s="150"/>
      <c r="BF399" s="150"/>
      <c r="BG399" s="150"/>
      <c r="BH399" s="150"/>
      <c r="BI399" s="150"/>
      <c r="BJ399" s="150"/>
      <c r="BK399" s="150"/>
      <c r="BL399" s="150"/>
      <c r="BM399" s="150"/>
      <c r="BN399" s="72"/>
      <c r="BO399" s="72"/>
      <c r="BP399" s="72"/>
      <c r="BQ399" s="72"/>
      <c r="BR399" s="72"/>
      <c r="BS399" s="72"/>
      <c r="BT399" s="72"/>
      <c r="BU399" s="72"/>
      <c r="BV399" s="72"/>
      <c r="BW399" s="72"/>
      <c r="BX399" s="72"/>
      <c r="BY399" s="72"/>
      <c r="BZ399" s="72"/>
      <c r="CA399" s="72"/>
      <c r="CB399" s="72"/>
      <c r="CC399" s="72"/>
      <c r="CD399" s="72"/>
      <c r="CE399" s="72"/>
      <c r="CF399" s="72"/>
      <c r="CG399" s="72"/>
      <c r="CH399" s="72"/>
      <c r="CI399" s="72"/>
      <c r="CJ399" s="72"/>
      <c r="CK399" s="72"/>
      <c r="CL399" s="72"/>
      <c r="CM399" s="72"/>
      <c r="CN399" s="72"/>
      <c r="CO399" s="72"/>
      <c r="CP399" s="72"/>
      <c r="CQ399" s="72"/>
      <c r="CR399" s="72"/>
      <c r="CS399" s="72"/>
      <c r="CT399" s="150"/>
      <c r="CU399" s="152"/>
      <c r="CV399" s="72"/>
      <c r="CW399" s="72"/>
      <c r="CX399" s="72"/>
      <c r="CY399" s="72"/>
      <c r="CZ399" s="72"/>
      <c r="DA399" s="72"/>
      <c r="DB399" s="72"/>
      <c r="DC399" s="72"/>
      <c r="DD399" s="72"/>
      <c r="DE399" s="72"/>
      <c r="DF399" s="72"/>
      <c r="DG399" s="72"/>
      <c r="DH399" s="72"/>
      <c r="DI399" s="72"/>
      <c r="DJ399" s="72"/>
      <c r="DK399" s="72"/>
      <c r="DL399" s="72"/>
      <c r="DM399" s="72"/>
      <c r="DN399" s="72"/>
      <c r="DO399" s="72"/>
      <c r="DP399" s="72"/>
      <c r="DQ399" s="72"/>
      <c r="DR399" s="72"/>
      <c r="DS399" s="72"/>
      <c r="DT399" s="72"/>
      <c r="DU399" s="72"/>
      <c r="DV399" s="72"/>
      <c r="DW399" s="72"/>
      <c r="DX399" s="72"/>
      <c r="DY399" s="72"/>
      <c r="DZ399" s="72"/>
      <c r="EA399" s="72"/>
      <c r="EB399" s="72"/>
      <c r="EC399" s="72"/>
      <c r="ED399" s="72"/>
      <c r="EE399" s="72"/>
      <c r="EF399" s="72"/>
      <c r="EG399" s="72"/>
      <c r="EH399" s="72"/>
      <c r="EI399" s="72"/>
      <c r="EJ399" s="72"/>
      <c r="EK399" s="72"/>
      <c r="EL399" s="72"/>
      <c r="EM399" s="72"/>
      <c r="EN399" s="72"/>
      <c r="EO399" s="72"/>
      <c r="EP399" s="72"/>
      <c r="EQ399" s="72"/>
      <c r="ER399" s="72"/>
      <c r="ES399" s="72"/>
      <c r="ET399" s="72"/>
      <c r="EU399" s="72"/>
      <c r="EV399" s="72"/>
      <c r="EW399" s="72"/>
      <c r="EX399" s="72"/>
      <c r="EY399" s="72"/>
      <c r="EZ399" s="72"/>
      <c r="FA399" s="72"/>
      <c r="FB399" s="72"/>
      <c r="FC399" s="72"/>
      <c r="FD399" s="72"/>
    </row>
    <row r="400" spans="1:160">
      <c r="A400" s="145"/>
      <c r="B400" s="145"/>
      <c r="C400" s="145"/>
      <c r="D400" s="145"/>
      <c r="E400" s="146"/>
      <c r="F400" s="145"/>
      <c r="G400" s="145"/>
      <c r="H400" s="145"/>
      <c r="I400" s="317"/>
      <c r="J400" s="145"/>
      <c r="K400" s="145"/>
      <c r="L400" s="72"/>
      <c r="M400" s="318"/>
      <c r="N400" s="146"/>
      <c r="O400" s="72"/>
      <c r="P400" s="72"/>
      <c r="Q400" s="145"/>
      <c r="R400" s="145"/>
      <c r="S400" s="145"/>
      <c r="T400" s="145"/>
      <c r="U400" s="145"/>
      <c r="V400" s="145"/>
      <c r="W400" s="145"/>
      <c r="X400" s="145"/>
      <c r="Y400" s="145"/>
      <c r="Z400" s="145"/>
      <c r="AA400" s="150"/>
      <c r="AB400" s="320"/>
      <c r="AC400" s="150"/>
      <c r="AD400" s="150"/>
      <c r="AE400" s="150"/>
      <c r="AF400" s="150"/>
      <c r="AG400" s="150"/>
      <c r="AH400" s="150"/>
      <c r="AI400" s="150"/>
      <c r="AJ400" s="150"/>
      <c r="AK400" s="150"/>
      <c r="AL400" s="150"/>
      <c r="AM400" s="150"/>
      <c r="AN400" s="150"/>
      <c r="AO400" s="150"/>
      <c r="AP400" s="150"/>
      <c r="AQ400" s="150"/>
      <c r="AR400" s="150"/>
      <c r="AS400" s="150"/>
      <c r="AT400" s="150"/>
      <c r="AU400" s="150"/>
      <c r="AV400" s="150"/>
      <c r="AW400" s="150"/>
      <c r="AX400" s="150"/>
      <c r="AY400" s="150"/>
      <c r="AZ400" s="150"/>
      <c r="BA400" s="150"/>
      <c r="BB400" s="150"/>
      <c r="BC400" s="150"/>
      <c r="BD400" s="150"/>
      <c r="BE400" s="150"/>
      <c r="BF400" s="150"/>
      <c r="BG400" s="150"/>
      <c r="BH400" s="150"/>
      <c r="BI400" s="150"/>
      <c r="BJ400" s="150"/>
      <c r="BK400" s="150"/>
      <c r="BL400" s="150"/>
      <c r="BM400" s="150"/>
      <c r="BN400" s="72"/>
      <c r="BO400" s="72"/>
      <c r="BP400" s="72"/>
      <c r="BQ400" s="72"/>
      <c r="BR400" s="72"/>
      <c r="BS400" s="72"/>
      <c r="BT400" s="72"/>
      <c r="BU400" s="72"/>
      <c r="BV400" s="72"/>
      <c r="BW400" s="72"/>
      <c r="BX400" s="72"/>
      <c r="BY400" s="72"/>
      <c r="BZ400" s="72"/>
      <c r="CA400" s="72"/>
      <c r="CB400" s="72"/>
      <c r="CC400" s="72"/>
      <c r="CD400" s="72"/>
      <c r="CE400" s="72"/>
      <c r="CF400" s="72"/>
      <c r="CG400" s="72"/>
      <c r="CH400" s="72"/>
      <c r="CI400" s="72"/>
      <c r="CJ400" s="72"/>
      <c r="CK400" s="72"/>
      <c r="CL400" s="72"/>
      <c r="CM400" s="72"/>
      <c r="CN400" s="72"/>
      <c r="CO400" s="72"/>
      <c r="CP400" s="72"/>
      <c r="CQ400" s="72"/>
      <c r="CR400" s="72"/>
      <c r="CS400" s="72"/>
      <c r="CT400" s="150"/>
      <c r="CU400" s="152"/>
      <c r="CV400" s="72"/>
      <c r="CW400" s="72"/>
      <c r="CX400" s="72"/>
      <c r="CY400" s="72"/>
      <c r="CZ400" s="72"/>
      <c r="DA400" s="72"/>
      <c r="DB400" s="72"/>
      <c r="DC400" s="72"/>
      <c r="DD400" s="72"/>
      <c r="DE400" s="72"/>
      <c r="DF400" s="72"/>
      <c r="DG400" s="72"/>
      <c r="DH400" s="72"/>
      <c r="DI400" s="72"/>
      <c r="DJ400" s="72"/>
      <c r="DK400" s="72"/>
      <c r="DL400" s="72"/>
      <c r="DM400" s="72"/>
      <c r="DN400" s="72"/>
      <c r="DO400" s="72"/>
      <c r="DP400" s="72"/>
      <c r="DQ400" s="72"/>
      <c r="DR400" s="72"/>
      <c r="DS400" s="72"/>
      <c r="DT400" s="72"/>
      <c r="DU400" s="72"/>
      <c r="DV400" s="72"/>
      <c r="DW400" s="72"/>
      <c r="DX400" s="72"/>
      <c r="DY400" s="72"/>
      <c r="DZ400" s="72"/>
      <c r="EA400" s="72"/>
      <c r="EB400" s="72"/>
      <c r="EC400" s="72"/>
      <c r="ED400" s="72"/>
      <c r="EE400" s="72"/>
      <c r="EF400" s="72"/>
      <c r="EG400" s="72"/>
      <c r="EH400" s="72"/>
      <c r="EI400" s="72"/>
      <c r="EJ400" s="72"/>
      <c r="EK400" s="72"/>
      <c r="EL400" s="72"/>
      <c r="EM400" s="72"/>
      <c r="EN400" s="72"/>
      <c r="EO400" s="72"/>
      <c r="EP400" s="72"/>
      <c r="EQ400" s="72"/>
      <c r="ER400" s="72"/>
      <c r="ES400" s="72"/>
      <c r="ET400" s="72"/>
      <c r="EU400" s="72"/>
      <c r="EV400" s="72"/>
      <c r="EW400" s="72"/>
      <c r="EX400" s="72"/>
      <c r="EY400" s="72"/>
      <c r="EZ400" s="72"/>
      <c r="FA400" s="72"/>
      <c r="FB400" s="72"/>
      <c r="FC400" s="72"/>
      <c r="FD400" s="72"/>
    </row>
    <row r="401" spans="1:160">
      <c r="A401" s="145"/>
      <c r="B401" s="145"/>
      <c r="C401" s="145"/>
      <c r="D401" s="145"/>
      <c r="E401" s="146"/>
      <c r="F401" s="145"/>
      <c r="G401" s="145"/>
      <c r="H401" s="145"/>
      <c r="I401" s="317"/>
      <c r="J401" s="145"/>
      <c r="K401" s="145"/>
      <c r="L401" s="72"/>
      <c r="M401" s="318"/>
      <c r="N401" s="146"/>
      <c r="O401" s="72"/>
      <c r="P401" s="72"/>
      <c r="Q401" s="145"/>
      <c r="R401" s="145"/>
      <c r="S401" s="145"/>
      <c r="T401" s="145"/>
      <c r="U401" s="145"/>
      <c r="V401" s="145"/>
      <c r="W401" s="145"/>
      <c r="X401" s="145"/>
      <c r="Y401" s="145"/>
      <c r="Z401" s="145"/>
      <c r="AA401" s="150"/>
      <c r="AB401" s="151"/>
      <c r="AC401" s="150"/>
      <c r="AD401" s="150"/>
      <c r="AE401" s="150"/>
      <c r="AF401" s="150"/>
      <c r="AG401" s="150"/>
      <c r="AH401" s="150"/>
      <c r="AI401" s="150"/>
      <c r="AJ401" s="150"/>
      <c r="AK401" s="150"/>
      <c r="AL401" s="150"/>
      <c r="AM401" s="150"/>
      <c r="AN401" s="150"/>
      <c r="AO401" s="150"/>
      <c r="AP401" s="150"/>
      <c r="AQ401" s="150"/>
      <c r="AR401" s="150"/>
      <c r="AS401" s="150"/>
      <c r="AT401" s="150"/>
      <c r="AU401" s="150"/>
      <c r="AV401" s="150"/>
      <c r="AW401" s="150"/>
      <c r="AX401" s="150"/>
      <c r="AY401" s="150"/>
      <c r="AZ401" s="150"/>
      <c r="BA401" s="150"/>
      <c r="BB401" s="150"/>
      <c r="BC401" s="150"/>
      <c r="BD401" s="150"/>
      <c r="BE401" s="150"/>
      <c r="BF401" s="150"/>
      <c r="BG401" s="150"/>
      <c r="BH401" s="150"/>
      <c r="BI401" s="150"/>
      <c r="BJ401" s="150"/>
      <c r="BK401" s="150"/>
      <c r="BL401" s="150"/>
      <c r="BM401" s="150"/>
      <c r="BN401" s="72"/>
      <c r="BO401" s="72"/>
      <c r="BP401" s="72"/>
      <c r="BQ401" s="72"/>
      <c r="BR401" s="72"/>
      <c r="BS401" s="72"/>
      <c r="BT401" s="72"/>
      <c r="BU401" s="72"/>
      <c r="BV401" s="72"/>
      <c r="BW401" s="72"/>
      <c r="BX401" s="72"/>
      <c r="BY401" s="72"/>
      <c r="BZ401" s="72"/>
      <c r="CA401" s="72"/>
      <c r="CB401" s="72"/>
      <c r="CC401" s="72"/>
      <c r="CD401" s="72"/>
      <c r="CE401" s="72"/>
      <c r="CF401" s="72"/>
      <c r="CG401" s="72"/>
      <c r="CH401" s="72"/>
      <c r="CI401" s="72"/>
      <c r="CJ401" s="72"/>
      <c r="CK401" s="72"/>
      <c r="CL401" s="72"/>
      <c r="CM401" s="72"/>
      <c r="CN401" s="72"/>
      <c r="CO401" s="72"/>
      <c r="CP401" s="72"/>
      <c r="CQ401" s="72"/>
      <c r="CR401" s="72"/>
      <c r="CS401" s="72"/>
      <c r="CT401" s="150"/>
      <c r="CU401" s="152"/>
      <c r="CV401" s="72"/>
      <c r="CW401" s="72"/>
      <c r="CX401" s="72"/>
      <c r="CY401" s="72"/>
      <c r="CZ401" s="72"/>
      <c r="DA401" s="72"/>
      <c r="DB401" s="72"/>
      <c r="DC401" s="72"/>
      <c r="DD401" s="72"/>
      <c r="DE401" s="72"/>
      <c r="DF401" s="72"/>
      <c r="DG401" s="72"/>
      <c r="DH401" s="72"/>
      <c r="DI401" s="72"/>
      <c r="DJ401" s="72"/>
      <c r="DK401" s="72"/>
      <c r="DL401" s="72"/>
      <c r="DM401" s="72"/>
      <c r="DN401" s="72"/>
      <c r="DO401" s="72"/>
      <c r="DP401" s="72"/>
      <c r="DQ401" s="72"/>
      <c r="DR401" s="72"/>
      <c r="DS401" s="72"/>
      <c r="DT401" s="72"/>
      <c r="DU401" s="72"/>
      <c r="DV401" s="72"/>
      <c r="DW401" s="72"/>
      <c r="DX401" s="72"/>
      <c r="DY401" s="72"/>
      <c r="DZ401" s="72"/>
      <c r="EA401" s="72"/>
      <c r="EB401" s="72"/>
      <c r="EC401" s="72"/>
      <c r="ED401" s="72"/>
      <c r="EE401" s="72"/>
      <c r="EF401" s="72"/>
      <c r="EG401" s="72"/>
      <c r="EH401" s="72"/>
      <c r="EI401" s="72"/>
      <c r="EJ401" s="72"/>
      <c r="EK401" s="72"/>
      <c r="EL401" s="72"/>
      <c r="EM401" s="72"/>
      <c r="EN401" s="72"/>
      <c r="EO401" s="72"/>
      <c r="EP401" s="72"/>
      <c r="EQ401" s="72"/>
      <c r="ER401" s="72"/>
      <c r="ES401" s="72"/>
      <c r="ET401" s="72"/>
      <c r="EU401" s="72"/>
      <c r="EV401" s="72"/>
      <c r="EW401" s="72"/>
      <c r="EX401" s="72"/>
      <c r="EY401" s="72"/>
      <c r="EZ401" s="72"/>
      <c r="FA401" s="72"/>
      <c r="FB401" s="72"/>
      <c r="FC401" s="72"/>
      <c r="FD401" s="72"/>
    </row>
    <row r="402" spans="1:160">
      <c r="A402" s="145"/>
      <c r="B402" s="145"/>
      <c r="C402" s="145"/>
      <c r="D402" s="145"/>
      <c r="E402" s="146"/>
      <c r="F402" s="145"/>
      <c r="G402" s="145"/>
      <c r="H402" s="145"/>
      <c r="I402" s="317"/>
      <c r="J402" s="145"/>
      <c r="K402" s="145"/>
      <c r="L402" s="72"/>
      <c r="M402" s="318"/>
      <c r="N402" s="146"/>
      <c r="O402" s="72"/>
      <c r="P402" s="72"/>
      <c r="Q402" s="145"/>
      <c r="R402" s="145"/>
      <c r="S402" s="145"/>
      <c r="T402" s="145"/>
      <c r="U402" s="145"/>
      <c r="V402" s="145"/>
      <c r="W402" s="145"/>
      <c r="X402" s="145"/>
      <c r="Y402" s="145"/>
      <c r="Z402" s="145"/>
      <c r="AA402" s="150"/>
      <c r="AB402" s="151"/>
      <c r="AC402" s="150"/>
      <c r="AD402" s="150"/>
      <c r="AE402" s="150"/>
      <c r="AF402" s="150"/>
      <c r="AG402" s="150"/>
      <c r="AH402" s="150"/>
      <c r="AI402" s="150"/>
      <c r="AJ402" s="150"/>
      <c r="AK402" s="150"/>
      <c r="AL402" s="150"/>
      <c r="AM402" s="150"/>
      <c r="AN402" s="150"/>
      <c r="AO402" s="150"/>
      <c r="AP402" s="150"/>
      <c r="AQ402" s="150"/>
      <c r="AR402" s="150"/>
      <c r="AS402" s="150"/>
      <c r="AT402" s="150"/>
      <c r="AU402" s="150"/>
      <c r="AV402" s="150"/>
      <c r="AW402" s="150"/>
      <c r="AX402" s="150"/>
      <c r="AY402" s="150"/>
      <c r="AZ402" s="150"/>
      <c r="BA402" s="150"/>
      <c r="BB402" s="150"/>
      <c r="BC402" s="150"/>
      <c r="BD402" s="150"/>
      <c r="BE402" s="150"/>
      <c r="BF402" s="150"/>
      <c r="BG402" s="150"/>
      <c r="BH402" s="150"/>
      <c r="BI402" s="150"/>
      <c r="BJ402" s="150"/>
      <c r="BK402" s="150"/>
      <c r="BL402" s="150"/>
      <c r="BM402" s="150"/>
      <c r="BN402" s="72"/>
      <c r="BO402" s="72"/>
      <c r="BP402" s="72"/>
      <c r="BQ402" s="72"/>
      <c r="BR402" s="72"/>
      <c r="BS402" s="72"/>
      <c r="BT402" s="72"/>
      <c r="BU402" s="72"/>
      <c r="BV402" s="72"/>
      <c r="BW402" s="72"/>
      <c r="BX402" s="72"/>
      <c r="BY402" s="72"/>
      <c r="BZ402" s="72"/>
      <c r="CA402" s="72"/>
      <c r="CB402" s="72"/>
      <c r="CC402" s="72"/>
      <c r="CD402" s="72"/>
      <c r="CE402" s="72"/>
      <c r="CF402" s="72"/>
      <c r="CG402" s="72"/>
      <c r="CH402" s="72"/>
      <c r="CI402" s="72"/>
      <c r="CJ402" s="72"/>
      <c r="CK402" s="72"/>
      <c r="CL402" s="72"/>
      <c r="CM402" s="72"/>
      <c r="CN402" s="72"/>
      <c r="CO402" s="72"/>
      <c r="CP402" s="72"/>
      <c r="CQ402" s="72"/>
      <c r="CR402" s="72"/>
      <c r="CS402" s="72"/>
      <c r="CT402" s="150"/>
      <c r="CU402" s="152"/>
      <c r="CV402" s="72"/>
      <c r="CW402" s="72"/>
      <c r="CX402" s="72"/>
      <c r="CY402" s="72"/>
      <c r="CZ402" s="72"/>
      <c r="DA402" s="72"/>
      <c r="DB402" s="72"/>
      <c r="DC402" s="72"/>
      <c r="DD402" s="72"/>
      <c r="DE402" s="72"/>
      <c r="DF402" s="72"/>
      <c r="DG402" s="72"/>
      <c r="DH402" s="72"/>
      <c r="DI402" s="72"/>
      <c r="DJ402" s="72"/>
      <c r="DK402" s="72"/>
      <c r="DL402" s="72"/>
      <c r="DM402" s="72"/>
      <c r="DN402" s="72"/>
      <c r="DO402" s="72"/>
      <c r="DP402" s="72"/>
      <c r="DQ402" s="72"/>
      <c r="DR402" s="72"/>
      <c r="DS402" s="72"/>
      <c r="DT402" s="72"/>
      <c r="DU402" s="72"/>
      <c r="DV402" s="72"/>
      <c r="DW402" s="72"/>
      <c r="DX402" s="72"/>
      <c r="DY402" s="72"/>
      <c r="DZ402" s="72"/>
      <c r="EA402" s="72"/>
      <c r="EB402" s="72"/>
      <c r="EC402" s="72"/>
      <c r="ED402" s="72"/>
      <c r="EE402" s="72"/>
      <c r="EF402" s="72"/>
      <c r="EG402" s="72"/>
      <c r="EH402" s="72"/>
      <c r="EI402" s="72"/>
      <c r="EJ402" s="72"/>
      <c r="EK402" s="72"/>
      <c r="EL402" s="72"/>
      <c r="EM402" s="72"/>
      <c r="EN402" s="72"/>
      <c r="EO402" s="72"/>
      <c r="EP402" s="72"/>
      <c r="EQ402" s="72"/>
      <c r="ER402" s="72"/>
      <c r="ES402" s="72"/>
      <c r="ET402" s="72"/>
      <c r="EU402" s="72"/>
      <c r="EV402" s="72"/>
      <c r="EW402" s="72"/>
      <c r="EX402" s="72"/>
      <c r="EY402" s="72"/>
      <c r="EZ402" s="72"/>
      <c r="FA402" s="72"/>
      <c r="FB402" s="72"/>
      <c r="FC402" s="72"/>
      <c r="FD402" s="72"/>
    </row>
    <row r="403" spans="1:160">
      <c r="A403" s="145"/>
      <c r="B403" s="145"/>
      <c r="C403" s="145"/>
      <c r="D403" s="145"/>
      <c r="E403" s="146"/>
      <c r="F403" s="145"/>
      <c r="G403" s="145"/>
      <c r="H403" s="145"/>
      <c r="I403" s="317"/>
      <c r="J403" s="145"/>
      <c r="K403" s="145"/>
      <c r="L403" s="72"/>
      <c r="M403" s="318"/>
      <c r="N403" s="146"/>
      <c r="O403" s="72"/>
      <c r="P403" s="72"/>
      <c r="Q403" s="145"/>
      <c r="R403" s="145"/>
      <c r="S403" s="145"/>
      <c r="T403" s="145"/>
      <c r="U403" s="145"/>
      <c r="V403" s="145"/>
      <c r="W403" s="145"/>
      <c r="X403" s="145"/>
      <c r="Y403" s="145"/>
      <c r="Z403" s="145"/>
      <c r="AA403" s="150"/>
      <c r="AB403" s="151"/>
      <c r="AC403" s="150"/>
      <c r="AD403" s="150"/>
      <c r="AE403" s="150"/>
      <c r="AF403" s="150"/>
      <c r="AG403" s="150"/>
      <c r="AH403" s="150"/>
      <c r="AI403" s="150"/>
      <c r="AJ403" s="150"/>
      <c r="AK403" s="150"/>
      <c r="AL403" s="150"/>
      <c r="AM403" s="150"/>
      <c r="AN403" s="150"/>
      <c r="AO403" s="150"/>
      <c r="AP403" s="150"/>
      <c r="AQ403" s="150"/>
      <c r="AR403" s="150"/>
      <c r="AS403" s="150"/>
      <c r="AT403" s="150"/>
      <c r="AU403" s="150"/>
      <c r="AV403" s="150"/>
      <c r="AW403" s="150"/>
      <c r="AX403" s="150"/>
      <c r="AY403" s="150"/>
      <c r="AZ403" s="150"/>
      <c r="BA403" s="150"/>
      <c r="BB403" s="150"/>
      <c r="BC403" s="150"/>
      <c r="BD403" s="150"/>
      <c r="BE403" s="150"/>
      <c r="BF403" s="150"/>
      <c r="BG403" s="150"/>
      <c r="BH403" s="150"/>
      <c r="BI403" s="150"/>
      <c r="BJ403" s="150"/>
      <c r="BK403" s="150"/>
      <c r="BL403" s="150"/>
      <c r="BM403" s="150"/>
      <c r="BN403" s="72"/>
      <c r="BO403" s="72"/>
      <c r="BP403" s="72"/>
      <c r="BQ403" s="72"/>
      <c r="BR403" s="72"/>
      <c r="BS403" s="72"/>
      <c r="BT403" s="72"/>
      <c r="BU403" s="72"/>
      <c r="BV403" s="72"/>
      <c r="BW403" s="72"/>
      <c r="BX403" s="72"/>
      <c r="BY403" s="72"/>
      <c r="BZ403" s="72"/>
      <c r="CA403" s="72"/>
      <c r="CB403" s="72"/>
      <c r="CC403" s="72"/>
      <c r="CD403" s="72"/>
      <c r="CE403" s="72"/>
      <c r="CF403" s="72"/>
      <c r="CG403" s="72"/>
      <c r="CH403" s="72"/>
      <c r="CI403" s="72"/>
      <c r="CJ403" s="72"/>
      <c r="CK403" s="72"/>
      <c r="CL403" s="72"/>
      <c r="CM403" s="72"/>
      <c r="CN403" s="72"/>
      <c r="CO403" s="72"/>
      <c r="CP403" s="72"/>
      <c r="CQ403" s="72"/>
      <c r="CR403" s="72"/>
      <c r="CS403" s="72"/>
      <c r="CT403" s="150"/>
      <c r="CU403" s="152"/>
      <c r="CV403" s="72"/>
      <c r="CW403" s="72"/>
      <c r="CX403" s="72"/>
      <c r="CY403" s="72"/>
      <c r="CZ403" s="72"/>
      <c r="DA403" s="72"/>
      <c r="DB403" s="72"/>
      <c r="DC403" s="72"/>
      <c r="DD403" s="72"/>
      <c r="DE403" s="72"/>
      <c r="DF403" s="72"/>
      <c r="DG403" s="72"/>
      <c r="DH403" s="72"/>
      <c r="DI403" s="72"/>
      <c r="DJ403" s="72"/>
      <c r="DK403" s="72"/>
      <c r="DL403" s="72"/>
      <c r="DM403" s="72"/>
      <c r="DN403" s="72"/>
      <c r="DO403" s="72"/>
      <c r="DP403" s="72"/>
      <c r="DQ403" s="72"/>
      <c r="DR403" s="72"/>
      <c r="DS403" s="72"/>
      <c r="DT403" s="72"/>
      <c r="DU403" s="72"/>
      <c r="DV403" s="72"/>
      <c r="DW403" s="72"/>
      <c r="DX403" s="72"/>
      <c r="DY403" s="72"/>
      <c r="DZ403" s="72"/>
      <c r="EA403" s="72"/>
      <c r="EB403" s="72"/>
      <c r="EC403" s="72"/>
      <c r="ED403" s="72"/>
      <c r="EE403" s="72"/>
      <c r="EF403" s="72"/>
      <c r="EG403" s="72"/>
      <c r="EH403" s="72"/>
      <c r="EI403" s="72"/>
      <c r="EJ403" s="72"/>
      <c r="EK403" s="72"/>
      <c r="EL403" s="72"/>
      <c r="EM403" s="72"/>
      <c r="EN403" s="72"/>
      <c r="EO403" s="72"/>
      <c r="EP403" s="72"/>
      <c r="EQ403" s="72"/>
      <c r="ER403" s="72"/>
      <c r="ES403" s="72"/>
      <c r="ET403" s="72"/>
      <c r="EU403" s="72"/>
      <c r="EV403" s="72"/>
      <c r="EW403" s="72"/>
      <c r="EX403" s="72"/>
      <c r="EY403" s="72"/>
      <c r="EZ403" s="72"/>
      <c r="FA403" s="72"/>
      <c r="FB403" s="72"/>
      <c r="FC403" s="72"/>
      <c r="FD403" s="72"/>
    </row>
    <row r="404" spans="1:160">
      <c r="A404" s="145"/>
      <c r="B404" s="145"/>
      <c r="C404" s="145"/>
      <c r="D404" s="145"/>
      <c r="E404" s="146"/>
      <c r="F404" s="145"/>
      <c r="G404" s="145"/>
      <c r="H404" s="145"/>
      <c r="I404" s="317"/>
      <c r="J404" s="145"/>
      <c r="K404" s="145"/>
      <c r="L404" s="72"/>
      <c r="M404" s="318"/>
      <c r="N404" s="146"/>
      <c r="O404" s="72"/>
      <c r="P404" s="72"/>
      <c r="Q404" s="145"/>
      <c r="R404" s="145"/>
      <c r="S404" s="145"/>
      <c r="T404" s="145"/>
      <c r="U404" s="145"/>
      <c r="V404" s="145"/>
      <c r="W404" s="145"/>
      <c r="X404" s="145"/>
      <c r="Y404" s="145"/>
      <c r="Z404" s="145"/>
      <c r="AA404" s="150"/>
      <c r="AB404" s="151"/>
      <c r="AC404" s="150"/>
      <c r="AD404" s="150"/>
      <c r="AE404" s="150"/>
      <c r="AF404" s="150"/>
      <c r="AG404" s="150"/>
      <c r="AH404" s="150"/>
      <c r="AI404" s="150"/>
      <c r="AJ404" s="150"/>
      <c r="AK404" s="150"/>
      <c r="AL404" s="150"/>
      <c r="AM404" s="150"/>
      <c r="AN404" s="150"/>
      <c r="AO404" s="150"/>
      <c r="AP404" s="150"/>
      <c r="AQ404" s="150"/>
      <c r="AR404" s="150"/>
      <c r="AS404" s="150"/>
      <c r="AT404" s="150"/>
      <c r="AU404" s="150"/>
      <c r="AV404" s="150"/>
      <c r="AW404" s="150"/>
      <c r="AX404" s="150"/>
      <c r="AY404" s="150"/>
      <c r="AZ404" s="150"/>
      <c r="BA404" s="150"/>
      <c r="BB404" s="150"/>
      <c r="BC404" s="150"/>
      <c r="BD404" s="150"/>
      <c r="BE404" s="150"/>
      <c r="BF404" s="150"/>
      <c r="BG404" s="150"/>
      <c r="BH404" s="150"/>
      <c r="BI404" s="150"/>
      <c r="BJ404" s="150"/>
      <c r="BK404" s="150"/>
      <c r="BL404" s="150"/>
      <c r="BM404" s="150"/>
      <c r="BN404" s="72"/>
      <c r="BO404" s="72"/>
      <c r="BP404" s="72"/>
      <c r="BQ404" s="72"/>
      <c r="BR404" s="72"/>
      <c r="BS404" s="72"/>
      <c r="BT404" s="72"/>
      <c r="BU404" s="72"/>
      <c r="BV404" s="72"/>
      <c r="BW404" s="72"/>
      <c r="BX404" s="72"/>
      <c r="BY404" s="72"/>
      <c r="BZ404" s="72"/>
      <c r="CA404" s="72"/>
      <c r="CB404" s="72"/>
      <c r="CC404" s="72"/>
      <c r="CD404" s="72"/>
      <c r="CE404" s="72"/>
      <c r="CF404" s="72"/>
      <c r="CG404" s="72"/>
      <c r="CH404" s="72"/>
      <c r="CI404" s="72"/>
      <c r="CJ404" s="72"/>
      <c r="CK404" s="72"/>
      <c r="CL404" s="72"/>
      <c r="CM404" s="72"/>
      <c r="CN404" s="72"/>
      <c r="CO404" s="72"/>
      <c r="CP404" s="72"/>
      <c r="CQ404" s="72"/>
      <c r="CR404" s="72"/>
      <c r="CS404" s="72"/>
      <c r="CT404" s="150"/>
      <c r="CU404" s="152"/>
      <c r="CV404" s="72"/>
      <c r="CW404" s="72"/>
      <c r="CX404" s="72"/>
      <c r="CY404" s="72"/>
      <c r="CZ404" s="72"/>
      <c r="DA404" s="72"/>
      <c r="DB404" s="72"/>
      <c r="DC404" s="72"/>
      <c r="DD404" s="72"/>
      <c r="DE404" s="72"/>
      <c r="DF404" s="72"/>
      <c r="DG404" s="72"/>
      <c r="DH404" s="72"/>
      <c r="DI404" s="72"/>
      <c r="DJ404" s="72"/>
      <c r="DK404" s="72"/>
      <c r="DL404" s="72"/>
      <c r="DM404" s="72"/>
      <c r="DN404" s="72"/>
      <c r="DO404" s="72"/>
      <c r="DP404" s="72"/>
      <c r="DQ404" s="72"/>
      <c r="DR404" s="72"/>
      <c r="DS404" s="72"/>
      <c r="DT404" s="72"/>
      <c r="DU404" s="72"/>
      <c r="DV404" s="72"/>
      <c r="DW404" s="72"/>
      <c r="DX404" s="72"/>
      <c r="DY404" s="72"/>
      <c r="DZ404" s="72"/>
      <c r="EA404" s="72"/>
      <c r="EB404" s="72"/>
      <c r="EC404" s="72"/>
      <c r="ED404" s="72"/>
      <c r="EE404" s="72"/>
      <c r="EF404" s="72"/>
      <c r="EG404" s="72"/>
      <c r="EH404" s="72"/>
      <c r="EI404" s="72"/>
      <c r="EJ404" s="72"/>
      <c r="EK404" s="72"/>
      <c r="EL404" s="72"/>
      <c r="EM404" s="72"/>
      <c r="EN404" s="72"/>
      <c r="EO404" s="72"/>
      <c r="EP404" s="72"/>
      <c r="EQ404" s="72"/>
      <c r="ER404" s="72"/>
      <c r="ES404" s="72"/>
      <c r="ET404" s="72"/>
      <c r="EU404" s="72"/>
      <c r="EV404" s="72"/>
      <c r="EW404" s="72"/>
      <c r="EX404" s="72"/>
      <c r="EY404" s="72"/>
      <c r="EZ404" s="72"/>
      <c r="FA404" s="72"/>
      <c r="FB404" s="72"/>
      <c r="FC404" s="72"/>
      <c r="FD404" s="72"/>
    </row>
    <row r="405" spans="1:160">
      <c r="A405" s="145"/>
      <c r="B405" s="145"/>
      <c r="C405" s="145"/>
      <c r="D405" s="145"/>
      <c r="E405" s="146"/>
      <c r="F405" s="145"/>
      <c r="G405" s="145"/>
      <c r="H405" s="145"/>
      <c r="I405" s="317"/>
      <c r="J405" s="145"/>
      <c r="K405" s="145"/>
      <c r="L405" s="72"/>
      <c r="M405" s="318"/>
      <c r="N405" s="146"/>
      <c r="O405" s="72"/>
      <c r="P405" s="72"/>
      <c r="Q405" s="145"/>
      <c r="R405" s="145"/>
      <c r="S405" s="145"/>
      <c r="T405" s="145"/>
      <c r="U405" s="145"/>
      <c r="V405" s="145"/>
      <c r="W405" s="145"/>
      <c r="X405" s="145"/>
      <c r="Y405" s="145"/>
      <c r="Z405" s="145"/>
      <c r="AA405" s="150"/>
      <c r="AB405" s="151"/>
      <c r="AC405" s="150"/>
      <c r="AD405" s="150"/>
      <c r="AE405" s="150"/>
      <c r="AF405" s="150"/>
      <c r="AG405" s="150"/>
      <c r="AH405" s="150"/>
      <c r="AI405" s="150"/>
      <c r="AJ405" s="150"/>
      <c r="AK405" s="150"/>
      <c r="AL405" s="150"/>
      <c r="AM405" s="150"/>
      <c r="AN405" s="150"/>
      <c r="AO405" s="150"/>
      <c r="AP405" s="150"/>
      <c r="AQ405" s="150"/>
      <c r="AR405" s="150"/>
      <c r="AS405" s="150"/>
      <c r="AT405" s="150"/>
      <c r="AU405" s="150"/>
      <c r="AV405" s="150"/>
      <c r="AW405" s="150"/>
      <c r="AX405" s="150"/>
      <c r="AY405" s="150"/>
      <c r="AZ405" s="150"/>
      <c r="BA405" s="150"/>
      <c r="BB405" s="150"/>
      <c r="BC405" s="150"/>
      <c r="BD405" s="150"/>
      <c r="BE405" s="150"/>
      <c r="BF405" s="150"/>
      <c r="BG405" s="150"/>
      <c r="BH405" s="150"/>
      <c r="BI405" s="150"/>
      <c r="BJ405" s="150"/>
      <c r="BK405" s="150"/>
      <c r="BL405" s="150"/>
      <c r="BM405" s="150"/>
      <c r="BN405" s="72"/>
      <c r="BO405" s="72"/>
      <c r="BP405" s="72"/>
      <c r="BQ405" s="72"/>
      <c r="BR405" s="72"/>
      <c r="BS405" s="72"/>
      <c r="BT405" s="72"/>
      <c r="BU405" s="72"/>
      <c r="BV405" s="72"/>
      <c r="BW405" s="72"/>
      <c r="BX405" s="72"/>
      <c r="BY405" s="72"/>
      <c r="BZ405" s="72"/>
      <c r="CA405" s="72"/>
      <c r="CB405" s="72"/>
      <c r="CC405" s="72"/>
      <c r="CD405" s="72"/>
      <c r="CE405" s="72"/>
      <c r="CF405" s="72"/>
      <c r="CG405" s="72"/>
      <c r="CH405" s="72"/>
      <c r="CI405" s="72"/>
      <c r="CJ405" s="72"/>
      <c r="CK405" s="72"/>
      <c r="CL405" s="72"/>
      <c r="CM405" s="72"/>
      <c r="CN405" s="72"/>
      <c r="CO405" s="72"/>
      <c r="CP405" s="72"/>
      <c r="CQ405" s="72"/>
      <c r="CR405" s="72"/>
      <c r="CS405" s="72"/>
      <c r="CT405" s="150"/>
      <c r="CU405" s="152"/>
      <c r="CV405" s="72"/>
      <c r="CW405" s="72"/>
      <c r="CX405" s="72"/>
      <c r="CY405" s="72"/>
      <c r="CZ405" s="72"/>
      <c r="DA405" s="72"/>
      <c r="DB405" s="72"/>
      <c r="DC405" s="72"/>
      <c r="DD405" s="72"/>
      <c r="DE405" s="72"/>
      <c r="DF405" s="72"/>
      <c r="DG405" s="72"/>
      <c r="DH405" s="72"/>
      <c r="DI405" s="72"/>
      <c r="DJ405" s="72"/>
      <c r="DK405" s="72"/>
      <c r="DL405" s="72"/>
      <c r="DM405" s="72"/>
      <c r="DN405" s="72"/>
      <c r="DO405" s="72"/>
      <c r="DP405" s="72"/>
      <c r="DQ405" s="72"/>
      <c r="DR405" s="72"/>
      <c r="DS405" s="72"/>
      <c r="DT405" s="72"/>
      <c r="DU405" s="72"/>
      <c r="DV405" s="72"/>
      <c r="DW405" s="72"/>
      <c r="DX405" s="72"/>
      <c r="DY405" s="72"/>
      <c r="DZ405" s="72"/>
      <c r="EA405" s="72"/>
      <c r="EB405" s="72"/>
      <c r="EC405" s="72"/>
      <c r="ED405" s="72"/>
      <c r="EE405" s="72"/>
      <c r="EF405" s="72"/>
      <c r="EG405" s="72"/>
      <c r="EH405" s="72"/>
      <c r="EI405" s="72"/>
      <c r="EJ405" s="72"/>
      <c r="EK405" s="72"/>
      <c r="EL405" s="72"/>
      <c r="EM405" s="72"/>
      <c r="EN405" s="72"/>
      <c r="EO405" s="72"/>
      <c r="EP405" s="72"/>
      <c r="EQ405" s="72"/>
      <c r="ER405" s="72"/>
      <c r="ES405" s="72"/>
      <c r="ET405" s="72"/>
      <c r="EU405" s="72"/>
      <c r="EV405" s="72"/>
      <c r="EW405" s="72"/>
      <c r="EX405" s="72"/>
      <c r="EY405" s="72"/>
      <c r="EZ405" s="72"/>
      <c r="FA405" s="72"/>
      <c r="FB405" s="72"/>
      <c r="FC405" s="72"/>
      <c r="FD405" s="72"/>
    </row>
    <row r="406" spans="1:160">
      <c r="A406" s="145"/>
      <c r="B406" s="145"/>
      <c r="C406" s="145"/>
      <c r="D406" s="145"/>
      <c r="E406" s="146"/>
      <c r="F406" s="145"/>
      <c r="G406" s="145"/>
      <c r="H406" s="145"/>
      <c r="I406" s="317"/>
      <c r="J406" s="145"/>
      <c r="K406" s="145"/>
      <c r="L406" s="72"/>
      <c r="M406" s="318"/>
      <c r="N406" s="146"/>
      <c r="O406" s="72"/>
      <c r="P406" s="72"/>
      <c r="Q406" s="145"/>
      <c r="R406" s="145"/>
      <c r="S406" s="145"/>
      <c r="T406" s="145"/>
      <c r="U406" s="145"/>
      <c r="V406" s="145"/>
      <c r="W406" s="145"/>
      <c r="X406" s="145"/>
      <c r="Y406" s="145"/>
      <c r="Z406" s="145"/>
      <c r="AA406" s="150"/>
      <c r="AB406" s="151"/>
      <c r="AC406" s="150"/>
      <c r="AD406" s="150"/>
      <c r="AE406" s="150"/>
      <c r="AF406" s="150"/>
      <c r="AG406" s="150"/>
      <c r="AH406" s="150"/>
      <c r="AI406" s="150"/>
      <c r="AJ406" s="150"/>
      <c r="AK406" s="150"/>
      <c r="AL406" s="150"/>
      <c r="AM406" s="150"/>
      <c r="AN406" s="150"/>
      <c r="AO406" s="150"/>
      <c r="AP406" s="150"/>
      <c r="AQ406" s="150"/>
      <c r="AR406" s="150"/>
      <c r="AS406" s="150"/>
      <c r="AT406" s="150"/>
      <c r="AU406" s="150"/>
      <c r="AV406" s="150"/>
      <c r="AW406" s="150"/>
      <c r="AX406" s="150"/>
      <c r="AY406" s="150"/>
      <c r="AZ406" s="150"/>
      <c r="BA406" s="150"/>
      <c r="BB406" s="150"/>
      <c r="BC406" s="150"/>
      <c r="BD406" s="150"/>
      <c r="BE406" s="150"/>
      <c r="BF406" s="150"/>
      <c r="BG406" s="150"/>
      <c r="BH406" s="150"/>
      <c r="BI406" s="150"/>
      <c r="BJ406" s="150"/>
      <c r="BK406" s="150"/>
      <c r="BL406" s="150"/>
      <c r="BM406" s="150"/>
      <c r="BN406" s="72"/>
      <c r="BO406" s="72"/>
      <c r="BP406" s="72"/>
      <c r="BQ406" s="72"/>
      <c r="BR406" s="72"/>
      <c r="BS406" s="72"/>
      <c r="BT406" s="72"/>
      <c r="BU406" s="72"/>
      <c r="BV406" s="72"/>
      <c r="BW406" s="72"/>
      <c r="BX406" s="72"/>
      <c r="BY406" s="72"/>
      <c r="BZ406" s="72"/>
      <c r="CA406" s="72"/>
      <c r="CB406" s="72"/>
      <c r="CC406" s="72"/>
      <c r="CD406" s="72"/>
      <c r="CE406" s="72"/>
      <c r="CF406" s="72"/>
      <c r="CG406" s="72"/>
      <c r="CH406" s="72"/>
      <c r="CI406" s="72"/>
      <c r="CJ406" s="72"/>
      <c r="CK406" s="72"/>
      <c r="CL406" s="72"/>
      <c r="CM406" s="72"/>
      <c r="CN406" s="72"/>
      <c r="CO406" s="72"/>
      <c r="CP406" s="72"/>
      <c r="CQ406" s="72"/>
      <c r="CR406" s="72"/>
      <c r="CS406" s="72"/>
      <c r="CT406" s="150"/>
      <c r="CU406" s="152"/>
      <c r="CV406" s="72"/>
      <c r="CW406" s="72"/>
      <c r="CX406" s="72"/>
      <c r="CY406" s="72"/>
      <c r="CZ406" s="72"/>
      <c r="DA406" s="72"/>
      <c r="DB406" s="72"/>
      <c r="DC406" s="72"/>
      <c r="DD406" s="72"/>
      <c r="DE406" s="72"/>
      <c r="DF406" s="72"/>
      <c r="DG406" s="72"/>
      <c r="DH406" s="72"/>
      <c r="DI406" s="72"/>
      <c r="DJ406" s="72"/>
      <c r="DK406" s="72"/>
      <c r="DL406" s="72"/>
      <c r="DM406" s="72"/>
      <c r="DN406" s="72"/>
      <c r="DO406" s="72"/>
      <c r="DP406" s="72"/>
      <c r="DQ406" s="72"/>
      <c r="DR406" s="72"/>
      <c r="DS406" s="72"/>
      <c r="DT406" s="72"/>
      <c r="DU406" s="72"/>
      <c r="DV406" s="72"/>
      <c r="DW406" s="72"/>
      <c r="DX406" s="72"/>
      <c r="DY406" s="72"/>
      <c r="DZ406" s="72"/>
      <c r="EA406" s="72"/>
      <c r="EB406" s="72"/>
      <c r="EC406" s="72"/>
      <c r="ED406" s="72"/>
      <c r="EE406" s="72"/>
      <c r="EF406" s="72"/>
      <c r="EG406" s="72"/>
      <c r="EH406" s="72"/>
      <c r="EI406" s="72"/>
      <c r="EJ406" s="72"/>
      <c r="EK406" s="72"/>
      <c r="EL406" s="72"/>
      <c r="EM406" s="72"/>
      <c r="EN406" s="72"/>
      <c r="EO406" s="72"/>
      <c r="EP406" s="72"/>
      <c r="EQ406" s="72"/>
      <c r="ER406" s="72"/>
      <c r="ES406" s="72"/>
      <c r="ET406" s="72"/>
      <c r="EU406" s="72"/>
      <c r="EV406" s="72"/>
      <c r="EW406" s="72"/>
      <c r="EX406" s="72"/>
      <c r="EY406" s="72"/>
      <c r="EZ406" s="72"/>
      <c r="FA406" s="72"/>
      <c r="FB406" s="72"/>
      <c r="FC406" s="72"/>
      <c r="FD406" s="72"/>
    </row>
    <row r="407" spans="1:160">
      <c r="A407" s="145"/>
      <c r="B407" s="145"/>
      <c r="C407" s="145"/>
      <c r="D407" s="145"/>
      <c r="E407" s="146"/>
      <c r="F407" s="145"/>
      <c r="G407" s="145"/>
      <c r="H407" s="145"/>
      <c r="I407" s="317"/>
      <c r="J407" s="145"/>
      <c r="K407" s="145"/>
      <c r="L407" s="72"/>
      <c r="M407" s="318"/>
      <c r="N407" s="146"/>
      <c r="O407" s="72"/>
      <c r="P407" s="72"/>
      <c r="Q407" s="145"/>
      <c r="R407" s="145"/>
      <c r="S407" s="145"/>
      <c r="T407" s="145"/>
      <c r="U407" s="145"/>
      <c r="V407" s="145"/>
      <c r="W407" s="145"/>
      <c r="X407" s="145"/>
      <c r="Y407" s="145"/>
      <c r="Z407" s="145"/>
      <c r="AA407" s="150"/>
      <c r="AB407" s="151"/>
      <c r="AC407" s="150"/>
      <c r="AD407" s="150"/>
      <c r="AE407" s="150"/>
      <c r="AF407" s="150"/>
      <c r="AG407" s="150"/>
      <c r="AH407" s="150"/>
      <c r="AI407" s="150"/>
      <c r="AJ407" s="150"/>
      <c r="AK407" s="150"/>
      <c r="AL407" s="150"/>
      <c r="AM407" s="150"/>
      <c r="AN407" s="150"/>
      <c r="AO407" s="150"/>
      <c r="AP407" s="150"/>
      <c r="AQ407" s="150"/>
      <c r="AR407" s="150"/>
      <c r="AS407" s="150"/>
      <c r="AT407" s="150"/>
      <c r="AU407" s="150"/>
      <c r="AV407" s="150"/>
      <c r="AW407" s="150"/>
      <c r="AX407" s="150"/>
      <c r="AY407" s="150"/>
      <c r="AZ407" s="150"/>
      <c r="BA407" s="150"/>
      <c r="BB407" s="150"/>
      <c r="BC407" s="150"/>
      <c r="BD407" s="150"/>
      <c r="BE407" s="150"/>
      <c r="BF407" s="150"/>
      <c r="BG407" s="150"/>
      <c r="BH407" s="150"/>
      <c r="BI407" s="150"/>
      <c r="BJ407" s="150"/>
      <c r="BK407" s="150"/>
      <c r="BL407" s="150"/>
      <c r="BM407" s="150"/>
      <c r="BN407" s="72"/>
      <c r="BO407" s="72"/>
      <c r="BP407" s="72"/>
      <c r="BQ407" s="72"/>
      <c r="BR407" s="72"/>
      <c r="BS407" s="72"/>
      <c r="BT407" s="72"/>
      <c r="BU407" s="72"/>
      <c r="BV407" s="72"/>
      <c r="BW407" s="72"/>
      <c r="BX407" s="72"/>
      <c r="BY407" s="72"/>
      <c r="BZ407" s="72"/>
      <c r="CA407" s="72"/>
      <c r="CB407" s="72"/>
      <c r="CC407" s="72"/>
      <c r="CD407" s="72"/>
      <c r="CE407" s="72"/>
      <c r="CF407" s="72"/>
      <c r="CG407" s="72"/>
      <c r="CH407" s="72"/>
      <c r="CI407" s="72"/>
      <c r="CJ407" s="72"/>
      <c r="CK407" s="72"/>
      <c r="CL407" s="72"/>
      <c r="CM407" s="72"/>
      <c r="CN407" s="72"/>
      <c r="CO407" s="72"/>
      <c r="CP407" s="72"/>
      <c r="CQ407" s="72"/>
      <c r="CR407" s="72"/>
      <c r="CS407" s="72"/>
      <c r="CT407" s="150"/>
      <c r="CU407" s="152"/>
      <c r="CV407" s="72"/>
      <c r="CW407" s="72"/>
      <c r="CX407" s="72"/>
      <c r="CY407" s="72"/>
      <c r="CZ407" s="72"/>
      <c r="DA407" s="72"/>
      <c r="DB407" s="72"/>
      <c r="DC407" s="72"/>
      <c r="DD407" s="72"/>
      <c r="DE407" s="72"/>
      <c r="DF407" s="72"/>
      <c r="DG407" s="72"/>
      <c r="DH407" s="72"/>
      <c r="DI407" s="72"/>
      <c r="DJ407" s="72"/>
      <c r="DK407" s="72"/>
      <c r="DL407" s="72"/>
      <c r="DM407" s="72"/>
      <c r="DN407" s="72"/>
      <c r="DO407" s="72"/>
      <c r="DP407" s="72"/>
      <c r="DQ407" s="72"/>
      <c r="DR407" s="72"/>
      <c r="DS407" s="72"/>
      <c r="DT407" s="72"/>
      <c r="DU407" s="72"/>
      <c r="DV407" s="72"/>
      <c r="DW407" s="72"/>
      <c r="DX407" s="72"/>
      <c r="DY407" s="72"/>
      <c r="DZ407" s="72"/>
      <c r="EA407" s="72"/>
      <c r="EB407" s="72"/>
      <c r="EC407" s="72"/>
      <c r="ED407" s="72"/>
      <c r="EE407" s="72"/>
      <c r="EF407" s="72"/>
      <c r="EG407" s="72"/>
      <c r="EH407" s="72"/>
      <c r="EI407" s="72"/>
      <c r="EJ407" s="72"/>
      <c r="EK407" s="72"/>
      <c r="EL407" s="72"/>
      <c r="EM407" s="72"/>
      <c r="EN407" s="72"/>
      <c r="EO407" s="72"/>
      <c r="EP407" s="72"/>
      <c r="EQ407" s="72"/>
      <c r="ER407" s="72"/>
      <c r="ES407" s="72"/>
      <c r="ET407" s="72"/>
      <c r="EU407" s="72"/>
      <c r="EV407" s="72"/>
      <c r="EW407" s="72"/>
      <c r="EX407" s="72"/>
      <c r="EY407" s="72"/>
      <c r="EZ407" s="72"/>
      <c r="FA407" s="72"/>
      <c r="FB407" s="72"/>
      <c r="FC407" s="72"/>
      <c r="FD407" s="72"/>
    </row>
    <row r="408" spans="1:160">
      <c r="A408" s="145"/>
      <c r="B408" s="145"/>
      <c r="C408" s="145"/>
      <c r="D408" s="145"/>
      <c r="E408" s="146"/>
      <c r="F408" s="145"/>
      <c r="G408" s="145"/>
      <c r="H408" s="145"/>
      <c r="I408" s="317"/>
      <c r="J408" s="145"/>
      <c r="K408" s="145"/>
      <c r="L408" s="72"/>
      <c r="M408" s="318"/>
      <c r="N408" s="146"/>
      <c r="O408" s="72"/>
      <c r="P408" s="72"/>
      <c r="Q408" s="145"/>
      <c r="R408" s="145"/>
      <c r="S408" s="145"/>
      <c r="T408" s="145"/>
      <c r="U408" s="145"/>
      <c r="V408" s="145"/>
      <c r="W408" s="145"/>
      <c r="X408" s="145"/>
      <c r="Y408" s="145"/>
      <c r="Z408" s="145"/>
      <c r="AA408" s="150"/>
      <c r="AB408" s="151"/>
      <c r="AC408" s="150"/>
      <c r="AD408" s="150"/>
      <c r="AE408" s="150"/>
      <c r="AF408" s="150"/>
      <c r="AG408" s="150"/>
      <c r="AH408" s="150"/>
      <c r="AI408" s="150"/>
      <c r="AJ408" s="150"/>
      <c r="AK408" s="150"/>
      <c r="AL408" s="150"/>
      <c r="AM408" s="150"/>
      <c r="AN408" s="150"/>
      <c r="AO408" s="150"/>
      <c r="AP408" s="150"/>
      <c r="AQ408" s="150"/>
      <c r="AR408" s="150"/>
      <c r="AS408" s="150"/>
      <c r="AT408" s="150"/>
      <c r="AU408" s="150"/>
      <c r="AV408" s="150"/>
      <c r="AW408" s="150"/>
      <c r="AX408" s="150"/>
      <c r="AY408" s="150"/>
      <c r="AZ408" s="150"/>
      <c r="BA408" s="150"/>
      <c r="BB408" s="150"/>
      <c r="BC408" s="150"/>
      <c r="BD408" s="150"/>
      <c r="BE408" s="150"/>
      <c r="BF408" s="150"/>
      <c r="BG408" s="150"/>
      <c r="BH408" s="150"/>
      <c r="BI408" s="150"/>
      <c r="BJ408" s="150"/>
      <c r="BK408" s="150"/>
      <c r="BL408" s="150"/>
      <c r="BM408" s="150"/>
      <c r="BN408" s="72"/>
      <c r="BO408" s="72"/>
      <c r="BP408" s="72"/>
      <c r="BQ408" s="72"/>
      <c r="BR408" s="72"/>
      <c r="BS408" s="72"/>
      <c r="BT408" s="72"/>
      <c r="BU408" s="72"/>
      <c r="BV408" s="72"/>
      <c r="BW408" s="72"/>
      <c r="BX408" s="72"/>
      <c r="BY408" s="72"/>
      <c r="BZ408" s="72"/>
      <c r="CA408" s="72"/>
      <c r="CB408" s="72"/>
      <c r="CC408" s="72"/>
      <c r="CD408" s="72"/>
      <c r="CE408" s="72"/>
      <c r="CF408" s="72"/>
      <c r="CG408" s="72"/>
      <c r="CH408" s="72"/>
      <c r="CI408" s="72"/>
      <c r="CJ408" s="72"/>
      <c r="CK408" s="72"/>
      <c r="CL408" s="72"/>
      <c r="CM408" s="72"/>
      <c r="CN408" s="72"/>
      <c r="CO408" s="72"/>
      <c r="CP408" s="72"/>
      <c r="CQ408" s="72"/>
      <c r="CR408" s="72"/>
      <c r="CS408" s="72"/>
      <c r="CT408" s="150"/>
      <c r="CU408" s="152"/>
      <c r="CV408" s="72"/>
      <c r="CW408" s="72"/>
      <c r="CX408" s="72"/>
      <c r="CY408" s="72"/>
      <c r="CZ408" s="72"/>
      <c r="DA408" s="72"/>
      <c r="DB408" s="72"/>
      <c r="DC408" s="72"/>
      <c r="DD408" s="72"/>
      <c r="DE408" s="72"/>
      <c r="DF408" s="72"/>
      <c r="DG408" s="72"/>
      <c r="DH408" s="72"/>
      <c r="DI408" s="72"/>
      <c r="DJ408" s="72"/>
      <c r="DK408" s="72"/>
      <c r="DL408" s="72"/>
      <c r="DM408" s="72"/>
      <c r="DN408" s="72"/>
      <c r="DO408" s="72"/>
      <c r="DP408" s="72"/>
      <c r="DQ408" s="72"/>
      <c r="DR408" s="72"/>
      <c r="DS408" s="72"/>
      <c r="DT408" s="72"/>
      <c r="DU408" s="72"/>
      <c r="DV408" s="72"/>
      <c r="DW408" s="72"/>
      <c r="DX408" s="72"/>
      <c r="DY408" s="72"/>
      <c r="DZ408" s="72"/>
      <c r="EA408" s="72"/>
      <c r="EB408" s="72"/>
      <c r="EC408" s="72"/>
      <c r="ED408" s="72"/>
      <c r="EE408" s="72"/>
      <c r="EF408" s="72"/>
      <c r="EG408" s="72"/>
      <c r="EH408" s="72"/>
      <c r="EI408" s="72"/>
      <c r="EJ408" s="72"/>
      <c r="EK408" s="72"/>
      <c r="EL408" s="72"/>
      <c r="EM408" s="72"/>
      <c r="EN408" s="72"/>
      <c r="EO408" s="72"/>
      <c r="EP408" s="72"/>
      <c r="EQ408" s="72"/>
      <c r="ER408" s="72"/>
      <c r="ES408" s="72"/>
      <c r="ET408" s="72"/>
      <c r="EU408" s="72"/>
      <c r="EV408" s="72"/>
      <c r="EW408" s="72"/>
      <c r="EX408" s="72"/>
      <c r="EY408" s="72"/>
      <c r="EZ408" s="72"/>
      <c r="FA408" s="72"/>
      <c r="FB408" s="72"/>
      <c r="FC408" s="72"/>
      <c r="FD408" s="72"/>
    </row>
    <row r="409" spans="1:160">
      <c r="A409" s="145"/>
      <c r="B409" s="145"/>
      <c r="C409" s="145"/>
      <c r="D409" s="145"/>
      <c r="E409" s="146"/>
      <c r="F409" s="145"/>
      <c r="G409" s="145"/>
      <c r="H409" s="145"/>
      <c r="I409" s="317"/>
      <c r="J409" s="145"/>
      <c r="K409" s="145"/>
      <c r="L409" s="72"/>
      <c r="M409" s="318"/>
      <c r="N409" s="146"/>
      <c r="O409" s="72"/>
      <c r="P409" s="72"/>
      <c r="Q409" s="145"/>
      <c r="R409" s="145"/>
      <c r="S409" s="145"/>
      <c r="T409" s="145"/>
      <c r="U409" s="145"/>
      <c r="V409" s="145"/>
      <c r="W409" s="145"/>
      <c r="X409" s="145"/>
      <c r="Y409" s="145"/>
      <c r="Z409" s="145"/>
      <c r="AA409" s="150"/>
      <c r="AB409" s="151"/>
      <c r="AC409" s="150"/>
      <c r="AD409" s="150"/>
      <c r="AE409" s="150"/>
      <c r="AF409" s="150"/>
      <c r="AG409" s="150"/>
      <c r="AH409" s="150"/>
      <c r="AI409" s="150"/>
      <c r="AJ409" s="150"/>
      <c r="AK409" s="150"/>
      <c r="AL409" s="150"/>
      <c r="AM409" s="150"/>
      <c r="AN409" s="150"/>
      <c r="AO409" s="150"/>
      <c r="AP409" s="150"/>
      <c r="AQ409" s="150"/>
      <c r="AR409" s="150"/>
      <c r="AS409" s="150"/>
      <c r="AT409" s="150"/>
      <c r="AU409" s="150"/>
      <c r="AV409" s="150"/>
      <c r="AW409" s="150"/>
      <c r="AX409" s="150"/>
      <c r="AY409" s="150"/>
      <c r="AZ409" s="150"/>
      <c r="BA409" s="150"/>
      <c r="BB409" s="150"/>
      <c r="BC409" s="150"/>
      <c r="BD409" s="150"/>
      <c r="BE409" s="150"/>
      <c r="BF409" s="150"/>
      <c r="BG409" s="150"/>
      <c r="BH409" s="150"/>
      <c r="BI409" s="150"/>
      <c r="BJ409" s="150"/>
      <c r="BK409" s="150"/>
      <c r="BL409" s="150"/>
      <c r="BM409" s="150"/>
      <c r="BN409" s="72"/>
      <c r="BO409" s="72"/>
      <c r="BP409" s="72"/>
      <c r="BQ409" s="72"/>
      <c r="BR409" s="72"/>
      <c r="BS409" s="72"/>
      <c r="BT409" s="72"/>
      <c r="BU409" s="72"/>
      <c r="BV409" s="72"/>
      <c r="BW409" s="72"/>
      <c r="BX409" s="72"/>
      <c r="BY409" s="72"/>
      <c r="BZ409" s="72"/>
      <c r="CA409" s="72"/>
      <c r="CB409" s="72"/>
      <c r="CC409" s="72"/>
      <c r="CD409" s="72"/>
      <c r="CE409" s="72"/>
      <c r="CF409" s="72"/>
      <c r="CG409" s="72"/>
      <c r="CH409" s="72"/>
      <c r="CI409" s="72"/>
      <c r="CJ409" s="72"/>
      <c r="CK409" s="72"/>
      <c r="CL409" s="72"/>
      <c r="CM409" s="72"/>
      <c r="CN409" s="72"/>
      <c r="CO409" s="72"/>
      <c r="CP409" s="72"/>
      <c r="CQ409" s="72"/>
      <c r="CR409" s="72"/>
      <c r="CS409" s="72"/>
      <c r="CT409" s="150"/>
      <c r="CU409" s="152"/>
      <c r="CV409" s="72"/>
      <c r="CW409" s="72"/>
      <c r="CX409" s="72"/>
      <c r="CY409" s="72"/>
      <c r="CZ409" s="72"/>
      <c r="DA409" s="72"/>
      <c r="DB409" s="72"/>
      <c r="DC409" s="72"/>
      <c r="DD409" s="72"/>
      <c r="DE409" s="72"/>
      <c r="DF409" s="72"/>
      <c r="DG409" s="72"/>
      <c r="DH409" s="72"/>
      <c r="DI409" s="72"/>
      <c r="DJ409" s="72"/>
      <c r="DK409" s="72"/>
      <c r="DL409" s="72"/>
      <c r="DM409" s="72"/>
      <c r="DN409" s="72"/>
      <c r="DO409" s="72"/>
      <c r="DP409" s="72"/>
      <c r="DQ409" s="72"/>
      <c r="DR409" s="72"/>
      <c r="DS409" s="72"/>
      <c r="DT409" s="72"/>
      <c r="DU409" s="72"/>
      <c r="DV409" s="72"/>
      <c r="DW409" s="72"/>
      <c r="DX409" s="72"/>
      <c r="DY409" s="72"/>
      <c r="DZ409" s="72"/>
      <c r="EA409" s="72"/>
      <c r="EB409" s="72"/>
      <c r="EC409" s="72"/>
      <c r="ED409" s="72"/>
      <c r="EE409" s="72"/>
      <c r="EF409" s="72"/>
      <c r="EG409" s="72"/>
      <c r="EH409" s="72"/>
      <c r="EI409" s="72"/>
      <c r="EJ409" s="72"/>
      <c r="EK409" s="72"/>
      <c r="EL409" s="72"/>
      <c r="EM409" s="72"/>
      <c r="EN409" s="72"/>
      <c r="EO409" s="72"/>
      <c r="EP409" s="72"/>
      <c r="EQ409" s="72"/>
      <c r="ER409" s="72"/>
      <c r="ES409" s="72"/>
      <c r="ET409" s="72"/>
      <c r="EU409" s="72"/>
      <c r="EV409" s="72"/>
      <c r="EW409" s="72"/>
      <c r="EX409" s="72"/>
      <c r="EY409" s="72"/>
      <c r="EZ409" s="72"/>
      <c r="FA409" s="72"/>
      <c r="FB409" s="72"/>
      <c r="FC409" s="72"/>
      <c r="FD409" s="72"/>
    </row>
    <row r="410" spans="1:160">
      <c r="A410" s="145"/>
      <c r="B410" s="145"/>
      <c r="C410" s="145"/>
      <c r="D410" s="145"/>
      <c r="E410" s="146"/>
      <c r="F410" s="145"/>
      <c r="G410" s="145"/>
      <c r="H410" s="145"/>
      <c r="I410" s="317"/>
      <c r="J410" s="145"/>
      <c r="K410" s="145"/>
      <c r="L410" s="72"/>
      <c r="M410" s="318"/>
      <c r="N410" s="146"/>
      <c r="O410" s="72"/>
      <c r="P410" s="72"/>
      <c r="Q410" s="145"/>
      <c r="R410" s="145"/>
      <c r="S410" s="145"/>
      <c r="T410" s="145"/>
      <c r="U410" s="145"/>
      <c r="V410" s="145"/>
      <c r="W410" s="145"/>
      <c r="X410" s="145"/>
      <c r="Y410" s="145"/>
      <c r="Z410" s="145"/>
      <c r="AA410" s="150"/>
      <c r="AB410" s="151"/>
      <c r="AC410" s="150"/>
      <c r="AD410" s="150"/>
      <c r="AE410" s="150"/>
      <c r="AF410" s="150"/>
      <c r="AG410" s="150"/>
      <c r="AH410" s="150"/>
      <c r="AI410" s="150"/>
      <c r="AJ410" s="150"/>
      <c r="AK410" s="150"/>
      <c r="AL410" s="150"/>
      <c r="AM410" s="150"/>
      <c r="AN410" s="150"/>
      <c r="AO410" s="150"/>
      <c r="AP410" s="150"/>
      <c r="AQ410" s="150"/>
      <c r="AR410" s="150"/>
      <c r="AS410" s="150"/>
      <c r="AT410" s="150"/>
      <c r="AU410" s="150"/>
      <c r="AV410" s="150"/>
      <c r="AW410" s="150"/>
      <c r="AX410" s="150"/>
      <c r="AY410" s="150"/>
      <c r="AZ410" s="150"/>
      <c r="BA410" s="150"/>
      <c r="BB410" s="150"/>
      <c r="BC410" s="150"/>
      <c r="BD410" s="150"/>
      <c r="BE410" s="150"/>
      <c r="BF410" s="150"/>
      <c r="BG410" s="150"/>
      <c r="BH410" s="150"/>
      <c r="BI410" s="150"/>
      <c r="BJ410" s="150"/>
      <c r="BK410" s="150"/>
      <c r="BL410" s="150"/>
      <c r="BM410" s="150"/>
      <c r="BN410" s="72"/>
      <c r="BO410" s="72"/>
      <c r="BP410" s="72"/>
      <c r="BQ410" s="72"/>
      <c r="BR410" s="72"/>
      <c r="BS410" s="72"/>
      <c r="BT410" s="72"/>
      <c r="BU410" s="72"/>
      <c r="BV410" s="72"/>
      <c r="BW410" s="72"/>
      <c r="BX410" s="72"/>
      <c r="BY410" s="72"/>
      <c r="BZ410" s="72"/>
      <c r="CA410" s="72"/>
      <c r="CB410" s="72"/>
      <c r="CC410" s="72"/>
      <c r="CD410" s="72"/>
      <c r="CE410" s="72"/>
      <c r="CF410" s="72"/>
      <c r="CG410" s="72"/>
      <c r="CH410" s="72"/>
      <c r="CI410" s="72"/>
      <c r="CJ410" s="72"/>
      <c r="CK410" s="72"/>
      <c r="CL410" s="72"/>
      <c r="CM410" s="72"/>
      <c r="CN410" s="72"/>
      <c r="CO410" s="72"/>
      <c r="CP410" s="72"/>
      <c r="CQ410" s="72"/>
      <c r="CR410" s="72"/>
      <c r="CS410" s="72"/>
      <c r="CT410" s="150"/>
      <c r="CU410" s="152"/>
      <c r="CV410" s="72"/>
      <c r="CW410" s="72"/>
      <c r="CX410" s="72"/>
      <c r="CY410" s="72"/>
      <c r="CZ410" s="72"/>
      <c r="DA410" s="72"/>
      <c r="DB410" s="72"/>
      <c r="DC410" s="72"/>
      <c r="DD410" s="72"/>
      <c r="DE410" s="72"/>
      <c r="DF410" s="72"/>
      <c r="DG410" s="72"/>
      <c r="DH410" s="72"/>
      <c r="DI410" s="72"/>
      <c r="DJ410" s="72"/>
      <c r="DK410" s="72"/>
      <c r="DL410" s="72"/>
      <c r="DM410" s="72"/>
      <c r="DN410" s="72"/>
      <c r="DO410" s="72"/>
      <c r="DP410" s="72"/>
      <c r="DQ410" s="72"/>
      <c r="DR410" s="72"/>
      <c r="DS410" s="72"/>
      <c r="DT410" s="72"/>
      <c r="DU410" s="72"/>
      <c r="DV410" s="72"/>
      <c r="DW410" s="72"/>
      <c r="DX410" s="72"/>
      <c r="DY410" s="72"/>
      <c r="DZ410" s="72"/>
      <c r="EA410" s="72"/>
      <c r="EB410" s="72"/>
      <c r="EC410" s="72"/>
      <c r="ED410" s="72"/>
      <c r="EE410" s="72"/>
      <c r="EF410" s="72"/>
      <c r="EG410" s="72"/>
      <c r="EH410" s="72"/>
      <c r="EI410" s="72"/>
      <c r="EJ410" s="72"/>
      <c r="EK410" s="72"/>
      <c r="EL410" s="72"/>
      <c r="EM410" s="72"/>
      <c r="EN410" s="72"/>
      <c r="EO410" s="72"/>
      <c r="EP410" s="72"/>
      <c r="EQ410" s="72"/>
      <c r="ER410" s="72"/>
      <c r="ES410" s="72"/>
      <c r="ET410" s="72"/>
      <c r="EU410" s="72"/>
      <c r="EV410" s="72"/>
      <c r="EW410" s="72"/>
      <c r="EX410" s="72"/>
      <c r="EY410" s="72"/>
      <c r="EZ410" s="72"/>
      <c r="FA410" s="72"/>
      <c r="FB410" s="72"/>
      <c r="FC410" s="72"/>
      <c r="FD410" s="72"/>
    </row>
    <row r="411" spans="1:160">
      <c r="A411" s="145"/>
      <c r="B411" s="145"/>
      <c r="C411" s="145"/>
      <c r="D411" s="145"/>
      <c r="E411" s="146"/>
      <c r="F411" s="145"/>
      <c r="G411" s="145"/>
      <c r="H411" s="145"/>
      <c r="I411" s="317"/>
      <c r="J411" s="145"/>
      <c r="K411" s="145"/>
      <c r="L411" s="72"/>
      <c r="M411" s="318"/>
      <c r="N411" s="146"/>
      <c r="O411" s="72"/>
      <c r="P411" s="72"/>
      <c r="Q411" s="145"/>
      <c r="R411" s="145"/>
      <c r="S411" s="145"/>
      <c r="T411" s="145"/>
      <c r="U411" s="145"/>
      <c r="V411" s="145"/>
      <c r="W411" s="145"/>
      <c r="X411" s="145"/>
      <c r="Y411" s="145"/>
      <c r="Z411" s="145"/>
      <c r="AA411" s="150"/>
      <c r="AB411" s="151"/>
      <c r="AC411" s="150"/>
      <c r="AD411" s="150"/>
      <c r="AE411" s="150"/>
      <c r="AF411" s="150"/>
      <c r="AG411" s="150"/>
      <c r="AH411" s="150"/>
      <c r="AI411" s="150"/>
      <c r="AJ411" s="150"/>
      <c r="AK411" s="150"/>
      <c r="AL411" s="150"/>
      <c r="AM411" s="150"/>
      <c r="AN411" s="150"/>
      <c r="AO411" s="150"/>
      <c r="AP411" s="150"/>
      <c r="AQ411" s="150"/>
      <c r="AR411" s="150"/>
      <c r="AS411" s="150"/>
      <c r="AT411" s="150"/>
      <c r="AU411" s="150"/>
      <c r="AV411" s="150"/>
      <c r="AW411" s="150"/>
      <c r="AX411" s="150"/>
      <c r="AY411" s="150"/>
      <c r="AZ411" s="150"/>
      <c r="BA411" s="150"/>
      <c r="BB411" s="150"/>
      <c r="BC411" s="150"/>
      <c r="BD411" s="150"/>
      <c r="BE411" s="150"/>
      <c r="BF411" s="150"/>
      <c r="BG411" s="150"/>
      <c r="BH411" s="150"/>
      <c r="BI411" s="150"/>
      <c r="BJ411" s="150"/>
      <c r="BK411" s="150"/>
      <c r="BL411" s="150"/>
      <c r="BM411" s="150"/>
      <c r="BN411" s="72"/>
      <c r="BO411" s="72"/>
      <c r="BP411" s="72"/>
      <c r="BQ411" s="72"/>
      <c r="BR411" s="72"/>
      <c r="BS411" s="72"/>
      <c r="BT411" s="72"/>
      <c r="BU411" s="72"/>
      <c r="BV411" s="72"/>
      <c r="BW411" s="72"/>
      <c r="BX411" s="72"/>
      <c r="BY411" s="72"/>
      <c r="BZ411" s="72"/>
      <c r="CA411" s="72"/>
      <c r="CB411" s="72"/>
      <c r="CC411" s="72"/>
      <c r="CD411" s="72"/>
      <c r="CE411" s="72"/>
      <c r="CF411" s="72"/>
      <c r="CG411" s="72"/>
      <c r="CH411" s="72"/>
      <c r="CI411" s="72"/>
      <c r="CJ411" s="72"/>
      <c r="CK411" s="72"/>
      <c r="CL411" s="72"/>
      <c r="CM411" s="72"/>
      <c r="CN411" s="72"/>
      <c r="CO411" s="72"/>
      <c r="CP411" s="72"/>
      <c r="CQ411" s="72"/>
      <c r="CR411" s="72"/>
      <c r="CS411" s="72"/>
      <c r="CT411" s="150"/>
      <c r="CU411" s="152"/>
      <c r="CV411" s="72"/>
      <c r="CW411" s="72"/>
      <c r="CX411" s="72"/>
      <c r="CY411" s="72"/>
      <c r="CZ411" s="72"/>
      <c r="DA411" s="72"/>
      <c r="DB411" s="72"/>
      <c r="DC411" s="72"/>
      <c r="DD411" s="72"/>
      <c r="DE411" s="72"/>
      <c r="DF411" s="72"/>
      <c r="DG411" s="72"/>
      <c r="DH411" s="72"/>
      <c r="DI411" s="72"/>
      <c r="DJ411" s="72"/>
      <c r="DK411" s="72"/>
      <c r="DL411" s="72"/>
      <c r="DM411" s="72"/>
      <c r="DN411" s="72"/>
      <c r="DO411" s="72"/>
      <c r="DP411" s="72"/>
      <c r="DQ411" s="72"/>
      <c r="DR411" s="72"/>
      <c r="DS411" s="72"/>
      <c r="DT411" s="72"/>
      <c r="DU411" s="72"/>
      <c r="DV411" s="72"/>
      <c r="DW411" s="72"/>
      <c r="DX411" s="72"/>
      <c r="DY411" s="72"/>
      <c r="DZ411" s="72"/>
      <c r="EA411" s="72"/>
      <c r="EB411" s="72"/>
      <c r="EC411" s="72"/>
      <c r="ED411" s="72"/>
      <c r="EE411" s="72"/>
      <c r="EF411" s="72"/>
      <c r="EG411" s="72"/>
      <c r="EH411" s="72"/>
      <c r="EI411" s="72"/>
      <c r="EJ411" s="72"/>
      <c r="EK411" s="72"/>
      <c r="EL411" s="72"/>
      <c r="EM411" s="72"/>
      <c r="EN411" s="72"/>
      <c r="EO411" s="72"/>
      <c r="EP411" s="72"/>
      <c r="EQ411" s="72"/>
      <c r="ER411" s="72"/>
      <c r="ES411" s="72"/>
      <c r="ET411" s="72"/>
      <c r="EU411" s="72"/>
      <c r="EV411" s="72"/>
      <c r="EW411" s="72"/>
      <c r="EX411" s="72"/>
      <c r="EY411" s="72"/>
      <c r="EZ411" s="72"/>
      <c r="FA411" s="72"/>
      <c r="FB411" s="72"/>
      <c r="FC411" s="72"/>
      <c r="FD411" s="72"/>
    </row>
    <row r="412" spans="1:160">
      <c r="A412" s="145"/>
      <c r="B412" s="145"/>
      <c r="C412" s="145"/>
      <c r="D412" s="145"/>
      <c r="E412" s="146"/>
      <c r="F412" s="145"/>
      <c r="G412" s="145"/>
      <c r="H412" s="145"/>
      <c r="I412" s="317"/>
      <c r="J412" s="145"/>
      <c r="K412" s="145"/>
      <c r="L412" s="72"/>
      <c r="M412" s="318"/>
      <c r="N412" s="146"/>
      <c r="O412" s="72"/>
      <c r="P412" s="72"/>
      <c r="Q412" s="145"/>
      <c r="R412" s="145"/>
      <c r="S412" s="145"/>
      <c r="T412" s="145"/>
      <c r="U412" s="145"/>
      <c r="V412" s="145"/>
      <c r="W412" s="145"/>
      <c r="X412" s="145"/>
      <c r="Y412" s="145"/>
      <c r="Z412" s="145"/>
      <c r="AA412" s="150"/>
      <c r="AB412" s="151"/>
      <c r="AC412" s="150"/>
      <c r="AD412" s="150"/>
      <c r="AE412" s="150"/>
      <c r="AF412" s="150"/>
      <c r="AG412" s="150"/>
      <c r="AH412" s="150"/>
      <c r="AI412" s="150"/>
      <c r="AJ412" s="150"/>
      <c r="AK412" s="150"/>
      <c r="AL412" s="150"/>
      <c r="AM412" s="150"/>
      <c r="AN412" s="150"/>
      <c r="AO412" s="150"/>
      <c r="AP412" s="150"/>
      <c r="AQ412" s="150"/>
      <c r="AR412" s="150"/>
      <c r="AS412" s="150"/>
      <c r="AT412" s="150"/>
      <c r="AU412" s="150"/>
      <c r="AV412" s="150"/>
      <c r="AW412" s="150"/>
      <c r="AX412" s="150"/>
      <c r="AY412" s="150"/>
      <c r="AZ412" s="150"/>
      <c r="BA412" s="150"/>
      <c r="BB412" s="150"/>
      <c r="BC412" s="150"/>
      <c r="BD412" s="150"/>
      <c r="BE412" s="150"/>
      <c r="BF412" s="150"/>
      <c r="BG412" s="150"/>
      <c r="BH412" s="150"/>
      <c r="BI412" s="150"/>
      <c r="BJ412" s="150"/>
      <c r="BK412" s="150"/>
      <c r="BL412" s="150"/>
      <c r="BM412" s="150"/>
      <c r="BN412" s="72"/>
      <c r="BO412" s="72"/>
      <c r="BP412" s="72"/>
      <c r="BQ412" s="72"/>
      <c r="BR412" s="72"/>
      <c r="BS412" s="72"/>
      <c r="BT412" s="72"/>
      <c r="BU412" s="72"/>
      <c r="BV412" s="72"/>
      <c r="BW412" s="72"/>
      <c r="BX412" s="72"/>
      <c r="BY412" s="72"/>
      <c r="BZ412" s="72"/>
      <c r="CA412" s="72"/>
      <c r="CB412" s="72"/>
      <c r="CC412" s="72"/>
      <c r="CD412" s="72"/>
      <c r="CE412" s="72"/>
      <c r="CF412" s="72"/>
      <c r="CG412" s="72"/>
      <c r="CH412" s="72"/>
      <c r="CI412" s="72"/>
      <c r="CJ412" s="72"/>
      <c r="CK412" s="72"/>
      <c r="CL412" s="72"/>
      <c r="CM412" s="72"/>
      <c r="CN412" s="72"/>
      <c r="CO412" s="72"/>
      <c r="CP412" s="72"/>
      <c r="CQ412" s="72"/>
      <c r="CR412" s="72"/>
      <c r="CS412" s="72"/>
      <c r="CT412" s="150"/>
      <c r="CU412" s="152"/>
      <c r="CV412" s="72"/>
      <c r="CW412" s="72"/>
      <c r="CX412" s="72"/>
      <c r="CY412" s="72"/>
      <c r="CZ412" s="72"/>
      <c r="DA412" s="72"/>
      <c r="DB412" s="72"/>
      <c r="DC412" s="72"/>
      <c r="DD412" s="72"/>
      <c r="DE412" s="72"/>
      <c r="DF412" s="72"/>
      <c r="DG412" s="72"/>
      <c r="DH412" s="72"/>
      <c r="DI412" s="72"/>
      <c r="DJ412" s="72"/>
      <c r="DK412" s="72"/>
      <c r="DL412" s="72"/>
      <c r="DM412" s="72"/>
      <c r="DN412" s="72"/>
      <c r="DO412" s="72"/>
      <c r="DP412" s="72"/>
      <c r="DQ412" s="72"/>
      <c r="DR412" s="72"/>
      <c r="DS412" s="72"/>
      <c r="DT412" s="72"/>
      <c r="DU412" s="72"/>
      <c r="DV412" s="72"/>
      <c r="DW412" s="72"/>
      <c r="DX412" s="72"/>
      <c r="DY412" s="72"/>
      <c r="DZ412" s="72"/>
      <c r="EA412" s="72"/>
      <c r="EB412" s="72"/>
      <c r="EC412" s="72"/>
      <c r="ED412" s="72"/>
      <c r="EE412" s="72"/>
      <c r="EF412" s="72"/>
      <c r="EG412" s="72"/>
      <c r="EH412" s="72"/>
      <c r="EI412" s="72"/>
      <c r="EJ412" s="72"/>
      <c r="EK412" s="72"/>
      <c r="EL412" s="72"/>
      <c r="EM412" s="72"/>
      <c r="EN412" s="72"/>
      <c r="EO412" s="72"/>
      <c r="EP412" s="72"/>
      <c r="EQ412" s="72"/>
      <c r="ER412" s="72"/>
      <c r="ES412" s="72"/>
      <c r="ET412" s="72"/>
      <c r="EU412" s="72"/>
      <c r="EV412" s="72"/>
      <c r="EW412" s="72"/>
      <c r="EX412" s="72"/>
      <c r="EY412" s="72"/>
      <c r="EZ412" s="72"/>
      <c r="FA412" s="72"/>
      <c r="FB412" s="72"/>
      <c r="FC412" s="72"/>
      <c r="FD412" s="72"/>
    </row>
    <row r="413" spans="1:160">
      <c r="A413" s="145"/>
      <c r="B413" s="145"/>
      <c r="C413" s="145"/>
      <c r="D413" s="145"/>
      <c r="E413" s="146"/>
      <c r="F413" s="145"/>
      <c r="G413" s="145"/>
      <c r="H413" s="145"/>
      <c r="I413" s="317"/>
      <c r="J413" s="145"/>
      <c r="K413" s="145"/>
      <c r="L413" s="72"/>
      <c r="M413" s="318"/>
      <c r="N413" s="146"/>
      <c r="O413" s="72"/>
      <c r="P413" s="72"/>
      <c r="Q413" s="145"/>
      <c r="R413" s="145"/>
      <c r="S413" s="145"/>
      <c r="T413" s="145"/>
      <c r="U413" s="145"/>
      <c r="V413" s="145"/>
      <c r="W413" s="145"/>
      <c r="X413" s="145"/>
      <c r="Y413" s="145"/>
      <c r="Z413" s="145"/>
      <c r="AA413" s="150"/>
      <c r="AB413" s="151"/>
      <c r="AC413" s="150"/>
      <c r="AD413" s="150"/>
      <c r="AE413" s="150"/>
      <c r="AF413" s="150"/>
      <c r="AG413" s="150"/>
      <c r="AH413" s="150"/>
      <c r="AI413" s="150"/>
      <c r="AJ413" s="150"/>
      <c r="AK413" s="150"/>
      <c r="AL413" s="150"/>
      <c r="AM413" s="150"/>
      <c r="AN413" s="150"/>
      <c r="AO413" s="150"/>
      <c r="AP413" s="150"/>
      <c r="AQ413" s="150"/>
      <c r="AR413" s="150"/>
      <c r="AS413" s="150"/>
      <c r="AT413" s="150"/>
      <c r="AU413" s="150"/>
      <c r="AV413" s="150"/>
      <c r="AW413" s="150"/>
      <c r="AX413" s="150"/>
      <c r="AY413" s="150"/>
      <c r="AZ413" s="150"/>
      <c r="BA413" s="150"/>
      <c r="BB413" s="150"/>
      <c r="BC413" s="150"/>
      <c r="BD413" s="150"/>
      <c r="BE413" s="150"/>
      <c r="BF413" s="150"/>
      <c r="BG413" s="150"/>
      <c r="BH413" s="150"/>
      <c r="BI413" s="150"/>
      <c r="BJ413" s="150"/>
      <c r="BK413" s="150"/>
      <c r="BL413" s="150"/>
      <c r="BM413" s="150"/>
      <c r="BN413" s="72"/>
      <c r="BO413" s="72"/>
      <c r="BP413" s="72"/>
      <c r="BQ413" s="72"/>
      <c r="BR413" s="72"/>
      <c r="BS413" s="72"/>
      <c r="BT413" s="72"/>
      <c r="BU413" s="72"/>
      <c r="BV413" s="72"/>
      <c r="BW413" s="72"/>
      <c r="BX413" s="72"/>
      <c r="BY413" s="72"/>
      <c r="BZ413" s="72"/>
      <c r="CA413" s="72"/>
      <c r="CB413" s="72"/>
      <c r="CC413" s="72"/>
      <c r="CD413" s="72"/>
      <c r="CE413" s="72"/>
      <c r="CF413" s="72"/>
      <c r="CG413" s="72"/>
      <c r="CH413" s="72"/>
      <c r="CI413" s="72"/>
      <c r="CJ413" s="72"/>
      <c r="CK413" s="72"/>
      <c r="CL413" s="72"/>
      <c r="CM413" s="72"/>
      <c r="CN413" s="72"/>
      <c r="CO413" s="72"/>
      <c r="CP413" s="72"/>
      <c r="CQ413" s="72"/>
      <c r="CR413" s="72"/>
      <c r="CS413" s="72"/>
      <c r="CT413" s="150"/>
      <c r="CU413" s="152"/>
      <c r="CV413" s="72"/>
      <c r="CW413" s="72"/>
      <c r="CX413" s="72"/>
      <c r="CY413" s="72"/>
      <c r="CZ413" s="72"/>
      <c r="DA413" s="72"/>
      <c r="DB413" s="72"/>
      <c r="DC413" s="72"/>
      <c r="DD413" s="72"/>
      <c r="DE413" s="72"/>
      <c r="DF413" s="72"/>
      <c r="DG413" s="72"/>
      <c r="DH413" s="72"/>
      <c r="DI413" s="72"/>
      <c r="DJ413" s="72"/>
      <c r="DK413" s="72"/>
      <c r="DL413" s="72"/>
      <c r="DM413" s="72"/>
      <c r="DN413" s="72"/>
      <c r="DO413" s="72"/>
      <c r="DP413" s="72"/>
      <c r="DQ413" s="72"/>
      <c r="DR413" s="72"/>
      <c r="DS413" s="72"/>
      <c r="DT413" s="72"/>
      <c r="DU413" s="72"/>
      <c r="DV413" s="72"/>
      <c r="DW413" s="72"/>
      <c r="DX413" s="72"/>
      <c r="DY413" s="72"/>
      <c r="DZ413" s="72"/>
      <c r="EA413" s="72"/>
      <c r="EB413" s="72"/>
      <c r="EC413" s="72"/>
      <c r="ED413" s="72"/>
      <c r="EE413" s="72"/>
      <c r="EF413" s="72"/>
      <c r="EG413" s="72"/>
      <c r="EH413" s="72"/>
      <c r="EI413" s="72"/>
      <c r="EJ413" s="72"/>
      <c r="EK413" s="72"/>
      <c r="EL413" s="72"/>
      <c r="EM413" s="72"/>
      <c r="EN413" s="72"/>
      <c r="EO413" s="72"/>
      <c r="EP413" s="72"/>
      <c r="EQ413" s="72"/>
      <c r="ER413" s="72"/>
      <c r="ES413" s="72"/>
      <c r="ET413" s="72"/>
      <c r="EU413" s="72"/>
      <c r="EV413" s="72"/>
      <c r="EW413" s="72"/>
      <c r="EX413" s="72"/>
      <c r="EY413" s="72"/>
      <c r="EZ413" s="72"/>
      <c r="FA413" s="72"/>
      <c r="FB413" s="72"/>
      <c r="FC413" s="72"/>
      <c r="FD413" s="72"/>
    </row>
    <row r="414" spans="1:160">
      <c r="A414" s="145"/>
      <c r="B414" s="145"/>
      <c r="C414" s="145"/>
      <c r="D414" s="145"/>
      <c r="E414" s="146"/>
      <c r="F414" s="145"/>
      <c r="G414" s="145"/>
      <c r="H414" s="145"/>
      <c r="I414" s="317"/>
      <c r="J414" s="145"/>
      <c r="K414" s="145"/>
      <c r="L414" s="72"/>
      <c r="M414" s="318"/>
      <c r="N414" s="146"/>
      <c r="O414" s="72"/>
      <c r="P414" s="72"/>
      <c r="Q414" s="145"/>
      <c r="R414" s="145"/>
      <c r="S414" s="145"/>
      <c r="T414" s="145"/>
      <c r="U414" s="145"/>
      <c r="V414" s="145"/>
      <c r="W414" s="145"/>
      <c r="X414" s="145"/>
      <c r="Y414" s="145"/>
      <c r="Z414" s="145"/>
      <c r="AA414" s="150"/>
      <c r="AB414" s="151"/>
      <c r="AC414" s="150"/>
      <c r="AD414" s="150"/>
      <c r="AE414" s="150"/>
      <c r="AF414" s="150"/>
      <c r="AG414" s="150"/>
      <c r="AH414" s="150"/>
      <c r="AI414" s="150"/>
      <c r="AJ414" s="150"/>
      <c r="AK414" s="150"/>
      <c r="AL414" s="150"/>
      <c r="AM414" s="150"/>
      <c r="AN414" s="150"/>
      <c r="AO414" s="150"/>
      <c r="AP414" s="150"/>
      <c r="AQ414" s="150"/>
      <c r="AR414" s="150"/>
      <c r="AS414" s="150"/>
      <c r="AT414" s="150"/>
      <c r="AU414" s="150"/>
      <c r="AV414" s="150"/>
      <c r="AW414" s="150"/>
      <c r="AX414" s="150"/>
      <c r="AY414" s="150"/>
      <c r="AZ414" s="150"/>
      <c r="BA414" s="150"/>
      <c r="BB414" s="150"/>
      <c r="BC414" s="150"/>
      <c r="BD414" s="150"/>
      <c r="BE414" s="150"/>
      <c r="BF414" s="150"/>
      <c r="BG414" s="150"/>
      <c r="BH414" s="150"/>
      <c r="BI414" s="150"/>
      <c r="BJ414" s="150"/>
      <c r="BK414" s="150"/>
      <c r="BL414" s="150"/>
      <c r="BM414" s="150"/>
      <c r="BN414" s="72"/>
      <c r="BO414" s="72"/>
      <c r="BP414" s="72"/>
      <c r="BQ414" s="72"/>
      <c r="BR414" s="72"/>
      <c r="BS414" s="72"/>
      <c r="BT414" s="72"/>
      <c r="BU414" s="72"/>
      <c r="BV414" s="72"/>
      <c r="BW414" s="72"/>
      <c r="BX414" s="72"/>
      <c r="BY414" s="72"/>
      <c r="BZ414" s="72"/>
      <c r="CA414" s="72"/>
      <c r="CB414" s="72"/>
      <c r="CC414" s="72"/>
      <c r="CD414" s="72"/>
      <c r="CE414" s="72"/>
      <c r="CF414" s="72"/>
      <c r="CG414" s="72"/>
      <c r="CH414" s="72"/>
      <c r="CI414" s="72"/>
      <c r="CJ414" s="72"/>
      <c r="CK414" s="72"/>
      <c r="CL414" s="72"/>
      <c r="CM414" s="72"/>
      <c r="CN414" s="72"/>
      <c r="CO414" s="72"/>
      <c r="CP414" s="72"/>
      <c r="CQ414" s="72"/>
      <c r="CR414" s="72"/>
      <c r="CS414" s="72"/>
      <c r="CT414" s="150"/>
      <c r="CU414" s="152"/>
      <c r="CV414" s="72"/>
      <c r="CW414" s="72"/>
      <c r="CX414" s="72"/>
      <c r="CY414" s="72"/>
      <c r="CZ414" s="72"/>
      <c r="DA414" s="72"/>
      <c r="DB414" s="72"/>
      <c r="DC414" s="72"/>
      <c r="DD414" s="72"/>
      <c r="DE414" s="72"/>
      <c r="DF414" s="72"/>
      <c r="DG414" s="72"/>
      <c r="DH414" s="72"/>
      <c r="DI414" s="72"/>
      <c r="DJ414" s="72"/>
      <c r="DK414" s="72"/>
      <c r="DL414" s="72"/>
      <c r="DM414" s="72"/>
      <c r="DN414" s="72"/>
      <c r="DO414" s="72"/>
      <c r="DP414" s="72"/>
      <c r="DQ414" s="72"/>
      <c r="DR414" s="72"/>
      <c r="DS414" s="72"/>
      <c r="DT414" s="72"/>
      <c r="DU414" s="72"/>
      <c r="DV414" s="72"/>
      <c r="DW414" s="72"/>
      <c r="DX414" s="72"/>
      <c r="DY414" s="72"/>
      <c r="DZ414" s="72"/>
      <c r="EA414" s="72"/>
      <c r="EB414" s="72"/>
      <c r="EC414" s="72"/>
      <c r="ED414" s="72"/>
      <c r="EE414" s="72"/>
      <c r="EF414" s="72"/>
      <c r="EG414" s="72"/>
      <c r="EH414" s="72"/>
      <c r="EI414" s="72"/>
      <c r="EJ414" s="72"/>
      <c r="EK414" s="72"/>
      <c r="EL414" s="72"/>
      <c r="EM414" s="72"/>
      <c r="EN414" s="72"/>
      <c r="EO414" s="72"/>
      <c r="EP414" s="72"/>
      <c r="EQ414" s="72"/>
      <c r="ER414" s="72"/>
      <c r="ES414" s="72"/>
      <c r="ET414" s="72"/>
      <c r="EU414" s="72"/>
      <c r="EV414" s="72"/>
      <c r="EW414" s="72"/>
      <c r="EX414" s="72"/>
      <c r="EY414" s="72"/>
      <c r="EZ414" s="72"/>
      <c r="FA414" s="72"/>
      <c r="FB414" s="72"/>
      <c r="FC414" s="72"/>
      <c r="FD414" s="72"/>
    </row>
    <row r="415" spans="1:160">
      <c r="A415" s="145"/>
      <c r="B415" s="145"/>
      <c r="C415" s="145"/>
      <c r="D415" s="145"/>
      <c r="E415" s="146"/>
      <c r="F415" s="145"/>
      <c r="G415" s="145"/>
      <c r="H415" s="145"/>
      <c r="I415" s="317"/>
      <c r="J415" s="145"/>
      <c r="K415" s="145"/>
      <c r="L415" s="72"/>
      <c r="M415" s="318"/>
      <c r="N415" s="146"/>
      <c r="O415" s="72"/>
      <c r="P415" s="72"/>
      <c r="Q415" s="145"/>
      <c r="R415" s="145"/>
      <c r="S415" s="145"/>
      <c r="T415" s="145"/>
      <c r="U415" s="145"/>
      <c r="V415" s="145"/>
      <c r="W415" s="145"/>
      <c r="X415" s="145"/>
      <c r="Y415" s="145"/>
      <c r="Z415" s="145"/>
      <c r="AA415" s="150"/>
      <c r="AB415" s="151"/>
      <c r="AC415" s="150"/>
      <c r="AD415" s="150"/>
      <c r="AE415" s="150"/>
      <c r="AF415" s="150"/>
      <c r="AG415" s="150"/>
      <c r="AH415" s="150"/>
      <c r="AI415" s="150"/>
      <c r="AJ415" s="150"/>
      <c r="AK415" s="150"/>
      <c r="AL415" s="150"/>
      <c r="AM415" s="150"/>
      <c r="AN415" s="150"/>
      <c r="AO415" s="150"/>
      <c r="AP415" s="150"/>
      <c r="AQ415" s="150"/>
      <c r="AR415" s="150"/>
      <c r="AS415" s="150"/>
      <c r="AT415" s="150"/>
      <c r="AU415" s="150"/>
      <c r="AV415" s="150"/>
      <c r="AW415" s="150"/>
      <c r="AX415" s="150"/>
      <c r="AY415" s="150"/>
      <c r="AZ415" s="150"/>
      <c r="BA415" s="150"/>
      <c r="BB415" s="150"/>
      <c r="BC415" s="150"/>
      <c r="BD415" s="150"/>
      <c r="BE415" s="150"/>
      <c r="BF415" s="150"/>
      <c r="BG415" s="150"/>
      <c r="BH415" s="150"/>
      <c r="BI415" s="150"/>
      <c r="BJ415" s="150"/>
      <c r="BK415" s="150"/>
      <c r="BL415" s="150"/>
      <c r="BM415" s="150"/>
      <c r="BN415" s="72"/>
      <c r="BO415" s="72"/>
      <c r="BP415" s="72"/>
      <c r="BQ415" s="72"/>
      <c r="BR415" s="72"/>
      <c r="BS415" s="72"/>
      <c r="BT415" s="72"/>
      <c r="BU415" s="72"/>
      <c r="BV415" s="72"/>
      <c r="BW415" s="72"/>
      <c r="BX415" s="72"/>
      <c r="BY415" s="72"/>
      <c r="BZ415" s="72"/>
      <c r="CA415" s="72"/>
      <c r="CB415" s="72"/>
      <c r="CC415" s="72"/>
      <c r="CD415" s="72"/>
      <c r="CE415" s="72"/>
      <c r="CF415" s="72"/>
      <c r="CG415" s="72"/>
      <c r="CH415" s="72"/>
      <c r="CI415" s="72"/>
      <c r="CJ415" s="72"/>
      <c r="CK415" s="72"/>
      <c r="CL415" s="72"/>
      <c r="CM415" s="72"/>
      <c r="CN415" s="72"/>
      <c r="CO415" s="72"/>
      <c r="CP415" s="72"/>
      <c r="CQ415" s="72"/>
      <c r="CR415" s="72"/>
      <c r="CS415" s="72"/>
      <c r="CT415" s="150"/>
      <c r="CU415" s="152"/>
      <c r="CV415" s="72"/>
      <c r="CW415" s="72"/>
      <c r="CX415" s="72"/>
      <c r="CY415" s="72"/>
      <c r="CZ415" s="72"/>
      <c r="DA415" s="72"/>
      <c r="DB415" s="72"/>
      <c r="DC415" s="72"/>
      <c r="DD415" s="72"/>
      <c r="DE415" s="72"/>
      <c r="DF415" s="72"/>
      <c r="DG415" s="72"/>
      <c r="DH415" s="72"/>
      <c r="DI415" s="72"/>
      <c r="DJ415" s="72"/>
      <c r="DK415" s="72"/>
      <c r="DL415" s="72"/>
      <c r="DM415" s="72"/>
      <c r="DN415" s="72"/>
      <c r="DO415" s="72"/>
      <c r="DP415" s="72"/>
      <c r="DQ415" s="72"/>
      <c r="DR415" s="72"/>
      <c r="DS415" s="72"/>
      <c r="DT415" s="72"/>
      <c r="DU415" s="72"/>
      <c r="DV415" s="72"/>
      <c r="DW415" s="72"/>
      <c r="DX415" s="72"/>
      <c r="DY415" s="72"/>
      <c r="DZ415" s="72"/>
      <c r="EA415" s="72"/>
      <c r="EB415" s="72"/>
      <c r="EC415" s="72"/>
      <c r="ED415" s="72"/>
      <c r="EE415" s="72"/>
      <c r="EF415" s="72"/>
      <c r="EG415" s="72"/>
      <c r="EH415" s="72"/>
      <c r="EI415" s="72"/>
      <c r="EJ415" s="72"/>
      <c r="EK415" s="72"/>
      <c r="EL415" s="72"/>
      <c r="EM415" s="72"/>
      <c r="EN415" s="72"/>
      <c r="EO415" s="72"/>
      <c r="EP415" s="72"/>
      <c r="EQ415" s="72"/>
      <c r="ER415" s="72"/>
      <c r="ES415" s="72"/>
      <c r="ET415" s="72"/>
      <c r="EU415" s="72"/>
      <c r="EV415" s="72"/>
      <c r="EW415" s="72"/>
      <c r="EX415" s="72"/>
      <c r="EY415" s="72"/>
      <c r="EZ415" s="72"/>
      <c r="FA415" s="72"/>
      <c r="FB415" s="72"/>
      <c r="FC415" s="72"/>
      <c r="FD415" s="72"/>
    </row>
    <row r="416" spans="1:160">
      <c r="A416" s="145"/>
      <c r="B416" s="145"/>
      <c r="C416" s="145"/>
      <c r="D416" s="145"/>
      <c r="E416" s="146"/>
      <c r="F416" s="145"/>
      <c r="G416" s="145"/>
      <c r="H416" s="145"/>
      <c r="I416" s="317"/>
      <c r="J416" s="145"/>
      <c r="K416" s="145"/>
      <c r="L416" s="72"/>
      <c r="M416" s="318"/>
      <c r="N416" s="146"/>
      <c r="O416" s="72"/>
      <c r="P416" s="72"/>
      <c r="Q416" s="145"/>
      <c r="R416" s="145"/>
      <c r="S416" s="145"/>
      <c r="T416" s="145"/>
      <c r="U416" s="145"/>
      <c r="V416" s="145"/>
      <c r="W416" s="145"/>
      <c r="X416" s="145"/>
      <c r="Y416" s="145"/>
      <c r="Z416" s="145"/>
      <c r="AA416" s="150"/>
      <c r="AB416" s="151"/>
      <c r="AC416" s="150"/>
      <c r="AD416" s="150"/>
      <c r="AE416" s="150"/>
      <c r="AF416" s="150"/>
      <c r="AG416" s="150"/>
      <c r="AH416" s="150"/>
      <c r="AI416" s="150"/>
      <c r="AJ416" s="150"/>
      <c r="AK416" s="150"/>
      <c r="AL416" s="150"/>
      <c r="AM416" s="150"/>
      <c r="AN416" s="150"/>
      <c r="AO416" s="150"/>
      <c r="AP416" s="150"/>
      <c r="AQ416" s="150"/>
      <c r="AR416" s="150"/>
      <c r="AS416" s="150"/>
      <c r="AT416" s="150"/>
      <c r="AU416" s="150"/>
      <c r="AV416" s="150"/>
      <c r="AW416" s="150"/>
      <c r="AX416" s="150"/>
      <c r="AY416" s="150"/>
      <c r="AZ416" s="150"/>
      <c r="BA416" s="150"/>
      <c r="BB416" s="150"/>
      <c r="BC416" s="150"/>
      <c r="BD416" s="150"/>
      <c r="BE416" s="150"/>
      <c r="BF416" s="150"/>
      <c r="BG416" s="150"/>
      <c r="BH416" s="150"/>
      <c r="BI416" s="150"/>
      <c r="BJ416" s="150"/>
      <c r="BK416" s="150"/>
      <c r="BL416" s="150"/>
      <c r="BM416" s="150"/>
      <c r="BN416" s="72"/>
      <c r="BO416" s="72"/>
      <c r="BP416" s="72"/>
      <c r="BQ416" s="72"/>
      <c r="BR416" s="72"/>
      <c r="BS416" s="72"/>
      <c r="BT416" s="72"/>
      <c r="BU416" s="72"/>
      <c r="BV416" s="72"/>
      <c r="BW416" s="72"/>
      <c r="BX416" s="72"/>
      <c r="BY416" s="72"/>
      <c r="BZ416" s="72"/>
      <c r="CA416" s="72"/>
      <c r="CB416" s="72"/>
      <c r="CC416" s="72"/>
      <c r="CD416" s="72"/>
      <c r="CE416" s="72"/>
      <c r="CF416" s="72"/>
      <c r="CG416" s="72"/>
      <c r="CH416" s="72"/>
      <c r="CI416" s="72"/>
      <c r="CJ416" s="72"/>
      <c r="CK416" s="72"/>
      <c r="CL416" s="72"/>
      <c r="CM416" s="72"/>
      <c r="CN416" s="72"/>
      <c r="CO416" s="72"/>
      <c r="CP416" s="72"/>
      <c r="CQ416" s="72"/>
      <c r="CR416" s="72"/>
      <c r="CS416" s="72"/>
      <c r="CT416" s="150"/>
      <c r="CU416" s="152"/>
      <c r="CV416" s="72"/>
      <c r="CW416" s="72"/>
      <c r="CX416" s="72"/>
      <c r="CY416" s="72"/>
      <c r="CZ416" s="72"/>
      <c r="DA416" s="72"/>
      <c r="DB416" s="72"/>
      <c r="DC416" s="72"/>
      <c r="DD416" s="72"/>
      <c r="DE416" s="72"/>
      <c r="DF416" s="72"/>
      <c r="DG416" s="72"/>
      <c r="DH416" s="72"/>
      <c r="DI416" s="72"/>
      <c r="DJ416" s="72"/>
      <c r="DK416" s="72"/>
      <c r="DL416" s="72"/>
      <c r="DM416" s="72"/>
      <c r="DN416" s="72"/>
      <c r="DO416" s="72"/>
      <c r="DP416" s="72"/>
      <c r="DQ416" s="72"/>
      <c r="DR416" s="72"/>
      <c r="DS416" s="72"/>
      <c r="DT416" s="72"/>
      <c r="DU416" s="72"/>
      <c r="DV416" s="72"/>
      <c r="DW416" s="72"/>
      <c r="DX416" s="72"/>
      <c r="DY416" s="72"/>
      <c r="DZ416" s="72"/>
      <c r="EA416" s="72"/>
      <c r="EB416" s="72"/>
      <c r="EC416" s="72"/>
      <c r="ED416" s="72"/>
      <c r="EE416" s="72"/>
      <c r="EF416" s="72"/>
      <c r="EG416" s="72"/>
      <c r="EH416" s="72"/>
      <c r="EI416" s="72"/>
      <c r="EJ416" s="72"/>
      <c r="EK416" s="72"/>
      <c r="EL416" s="72"/>
      <c r="EM416" s="72"/>
      <c r="EN416" s="72"/>
      <c r="EO416" s="72"/>
      <c r="EP416" s="72"/>
      <c r="EQ416" s="72"/>
      <c r="ER416" s="72"/>
      <c r="ES416" s="72"/>
      <c r="ET416" s="72"/>
      <c r="EU416" s="72"/>
      <c r="EV416" s="72"/>
      <c r="EW416" s="72"/>
      <c r="EX416" s="72"/>
      <c r="EY416" s="72"/>
      <c r="EZ416" s="72"/>
      <c r="FA416" s="72"/>
      <c r="FB416" s="72"/>
      <c r="FC416" s="72"/>
      <c r="FD416" s="72"/>
    </row>
    <row r="417" spans="1:160">
      <c r="A417" s="145"/>
      <c r="B417" s="145"/>
      <c r="C417" s="145"/>
      <c r="D417" s="145"/>
      <c r="E417" s="146"/>
      <c r="F417" s="145"/>
      <c r="G417" s="145"/>
      <c r="H417" s="145"/>
      <c r="I417" s="317"/>
      <c r="J417" s="145"/>
      <c r="K417" s="145"/>
      <c r="L417" s="72"/>
      <c r="M417" s="318"/>
      <c r="N417" s="146"/>
      <c r="O417" s="72"/>
      <c r="P417" s="72"/>
      <c r="Q417" s="145"/>
      <c r="R417" s="145"/>
      <c r="S417" s="145"/>
      <c r="T417" s="145"/>
      <c r="U417" s="145"/>
      <c r="V417" s="145"/>
      <c r="W417" s="145"/>
      <c r="X417" s="145"/>
      <c r="Y417" s="145"/>
      <c r="Z417" s="145"/>
      <c r="AA417" s="150"/>
      <c r="AB417" s="151"/>
      <c r="AC417" s="150"/>
      <c r="AD417" s="150"/>
      <c r="AE417" s="150"/>
      <c r="AF417" s="150"/>
      <c r="AG417" s="150"/>
      <c r="AH417" s="150"/>
      <c r="AI417" s="150"/>
      <c r="AJ417" s="150"/>
      <c r="AK417" s="150"/>
      <c r="AL417" s="150"/>
      <c r="AM417" s="150"/>
      <c r="AN417" s="150"/>
      <c r="AO417" s="150"/>
      <c r="AP417" s="150"/>
      <c r="AQ417" s="150"/>
      <c r="AR417" s="150"/>
      <c r="AS417" s="150"/>
      <c r="AT417" s="150"/>
      <c r="AU417" s="150"/>
      <c r="AV417" s="150"/>
      <c r="AW417" s="150"/>
      <c r="AX417" s="150"/>
      <c r="AY417" s="150"/>
      <c r="AZ417" s="150"/>
      <c r="BA417" s="150"/>
      <c r="BB417" s="150"/>
      <c r="BC417" s="150"/>
      <c r="BD417" s="150"/>
      <c r="BE417" s="150"/>
      <c r="BF417" s="150"/>
      <c r="BG417" s="150"/>
      <c r="BH417" s="150"/>
      <c r="BI417" s="150"/>
      <c r="BJ417" s="150"/>
      <c r="BK417" s="150"/>
      <c r="BL417" s="150"/>
      <c r="BM417" s="150"/>
      <c r="BN417" s="72"/>
      <c r="BO417" s="72"/>
      <c r="BP417" s="72"/>
      <c r="BQ417" s="72"/>
      <c r="BR417" s="72"/>
      <c r="BS417" s="72"/>
      <c r="BT417" s="72"/>
      <c r="BU417" s="72"/>
      <c r="BV417" s="72"/>
      <c r="BW417" s="72"/>
      <c r="BX417" s="72"/>
      <c r="BY417" s="72"/>
      <c r="BZ417" s="72"/>
      <c r="CA417" s="72"/>
      <c r="CB417" s="72"/>
      <c r="CC417" s="72"/>
      <c r="CD417" s="72"/>
      <c r="CE417" s="72"/>
      <c r="CF417" s="72"/>
      <c r="CG417" s="72"/>
      <c r="CH417" s="72"/>
      <c r="CI417" s="72"/>
      <c r="CJ417" s="72"/>
      <c r="CK417" s="72"/>
      <c r="CL417" s="72"/>
      <c r="CM417" s="72"/>
      <c r="CN417" s="72"/>
      <c r="CO417" s="72"/>
      <c r="CP417" s="72"/>
      <c r="CQ417" s="72"/>
      <c r="CR417" s="72"/>
      <c r="CS417" s="72"/>
      <c r="CT417" s="150"/>
      <c r="CU417" s="152"/>
      <c r="CV417" s="72"/>
      <c r="CW417" s="72"/>
      <c r="CX417" s="72"/>
      <c r="CY417" s="72"/>
      <c r="CZ417" s="72"/>
      <c r="DA417" s="72"/>
      <c r="DB417" s="72"/>
      <c r="DC417" s="72"/>
      <c r="DD417" s="72"/>
      <c r="DE417" s="72"/>
      <c r="DF417" s="72"/>
      <c r="DG417" s="72"/>
      <c r="DH417" s="72"/>
      <c r="DI417" s="72"/>
      <c r="DJ417" s="72"/>
      <c r="DK417" s="72"/>
      <c r="DL417" s="72"/>
      <c r="DM417" s="72"/>
      <c r="DN417" s="72"/>
      <c r="DO417" s="72"/>
      <c r="DP417" s="72"/>
      <c r="DQ417" s="72"/>
      <c r="DR417" s="72"/>
      <c r="DS417" s="72"/>
      <c r="DT417" s="72"/>
      <c r="DU417" s="72"/>
      <c r="DV417" s="72"/>
      <c r="DW417" s="72"/>
      <c r="DX417" s="72"/>
      <c r="DY417" s="72"/>
      <c r="DZ417" s="72"/>
      <c r="EA417" s="72"/>
      <c r="EB417" s="72"/>
      <c r="EC417" s="72"/>
      <c r="ED417" s="72"/>
      <c r="EE417" s="72"/>
      <c r="EF417" s="72"/>
      <c r="EG417" s="72"/>
      <c r="EH417" s="72"/>
      <c r="EI417" s="72"/>
      <c r="EJ417" s="72"/>
      <c r="EK417" s="72"/>
      <c r="EL417" s="72"/>
      <c r="EM417" s="72"/>
      <c r="EN417" s="72"/>
      <c r="EO417" s="72"/>
      <c r="EP417" s="72"/>
      <c r="EQ417" s="72"/>
      <c r="ER417" s="72"/>
      <c r="ES417" s="72"/>
      <c r="ET417" s="72"/>
      <c r="EU417" s="72"/>
      <c r="EV417" s="72"/>
      <c r="EW417" s="72"/>
      <c r="EX417" s="72"/>
      <c r="EY417" s="72"/>
      <c r="EZ417" s="72"/>
      <c r="FA417" s="72"/>
      <c r="FB417" s="72"/>
      <c r="FC417" s="72"/>
      <c r="FD417" s="72"/>
    </row>
    <row r="418" spans="1:160">
      <c r="A418" s="145"/>
      <c r="B418" s="145"/>
      <c r="C418" s="145"/>
      <c r="D418" s="145"/>
      <c r="E418" s="146"/>
      <c r="F418" s="145"/>
      <c r="G418" s="145"/>
      <c r="H418" s="145"/>
      <c r="I418" s="317"/>
      <c r="J418" s="145"/>
      <c r="K418" s="145"/>
      <c r="L418" s="72"/>
      <c r="M418" s="318"/>
      <c r="N418" s="146"/>
      <c r="O418" s="72"/>
      <c r="P418" s="72"/>
      <c r="Q418" s="145"/>
      <c r="R418" s="145"/>
      <c r="S418" s="145"/>
      <c r="T418" s="145"/>
      <c r="U418" s="145"/>
      <c r="V418" s="145"/>
      <c r="W418" s="145"/>
      <c r="X418" s="145"/>
      <c r="Y418" s="145"/>
      <c r="Z418" s="145"/>
      <c r="AA418" s="150"/>
      <c r="AB418" s="151"/>
      <c r="AC418" s="150"/>
      <c r="AD418" s="150"/>
      <c r="AE418" s="150"/>
      <c r="AF418" s="150"/>
      <c r="AG418" s="150"/>
      <c r="AH418" s="150"/>
      <c r="AI418" s="150"/>
      <c r="AJ418" s="150"/>
      <c r="AK418" s="150"/>
      <c r="AL418" s="150"/>
      <c r="AM418" s="150"/>
      <c r="AN418" s="150"/>
      <c r="AO418" s="150"/>
      <c r="AP418" s="150"/>
      <c r="AQ418" s="150"/>
      <c r="AR418" s="150"/>
      <c r="AS418" s="150"/>
      <c r="AT418" s="150"/>
      <c r="AU418" s="150"/>
      <c r="AV418" s="150"/>
      <c r="AW418" s="150"/>
      <c r="AX418" s="150"/>
      <c r="AY418" s="150"/>
      <c r="AZ418" s="150"/>
      <c r="BA418" s="150"/>
      <c r="BB418" s="150"/>
      <c r="BC418" s="150"/>
      <c r="BD418" s="150"/>
      <c r="BE418" s="150"/>
      <c r="BF418" s="150"/>
      <c r="BG418" s="150"/>
      <c r="BH418" s="150"/>
      <c r="BI418" s="150"/>
      <c r="BJ418" s="150"/>
      <c r="BK418" s="150"/>
      <c r="BL418" s="150"/>
      <c r="BM418" s="150"/>
      <c r="BN418" s="72"/>
      <c r="BO418" s="72"/>
      <c r="BP418" s="72"/>
      <c r="BQ418" s="72"/>
      <c r="BR418" s="72"/>
      <c r="BS418" s="72"/>
      <c r="BT418" s="72"/>
      <c r="BU418" s="72"/>
      <c r="BV418" s="72"/>
      <c r="BW418" s="72"/>
      <c r="BX418" s="72"/>
      <c r="BY418" s="72"/>
      <c r="BZ418" s="72"/>
      <c r="CA418" s="72"/>
      <c r="CB418" s="72"/>
      <c r="CC418" s="72"/>
      <c r="CD418" s="72"/>
      <c r="CE418" s="72"/>
      <c r="CF418" s="72"/>
      <c r="CG418" s="72"/>
      <c r="CH418" s="72"/>
      <c r="CI418" s="72"/>
      <c r="CJ418" s="72"/>
      <c r="CK418" s="72"/>
      <c r="CL418" s="72"/>
      <c r="CM418" s="72"/>
      <c r="CN418" s="72"/>
      <c r="CO418" s="72"/>
      <c r="CP418" s="72"/>
      <c r="CQ418" s="72"/>
      <c r="CR418" s="72"/>
      <c r="CS418" s="72"/>
      <c r="CT418" s="150"/>
      <c r="CU418" s="152"/>
      <c r="CV418" s="72"/>
      <c r="CW418" s="72"/>
      <c r="CX418" s="72"/>
      <c r="CY418" s="72"/>
      <c r="CZ418" s="72"/>
      <c r="DA418" s="72"/>
      <c r="DB418" s="72"/>
      <c r="DC418" s="72"/>
      <c r="DD418" s="72"/>
      <c r="DE418" s="72"/>
      <c r="DF418" s="72"/>
      <c r="DG418" s="72"/>
      <c r="DH418" s="72"/>
      <c r="DI418" s="72"/>
      <c r="DJ418" s="72"/>
      <c r="DK418" s="72"/>
      <c r="DL418" s="72"/>
      <c r="DM418" s="72"/>
      <c r="DN418" s="72"/>
      <c r="DO418" s="72"/>
      <c r="DP418" s="72"/>
      <c r="DQ418" s="72"/>
      <c r="DR418" s="72"/>
      <c r="DS418" s="72"/>
      <c r="DT418" s="72"/>
      <c r="DU418" s="72"/>
      <c r="DV418" s="72"/>
      <c r="DW418" s="72"/>
      <c r="DX418" s="72"/>
      <c r="DY418" s="72"/>
      <c r="DZ418" s="72"/>
      <c r="EA418" s="72"/>
      <c r="EB418" s="72"/>
      <c r="EC418" s="72"/>
      <c r="ED418" s="72"/>
      <c r="EE418" s="72"/>
      <c r="EF418" s="72"/>
      <c r="EG418" s="72"/>
      <c r="EH418" s="72"/>
      <c r="EI418" s="72"/>
      <c r="EJ418" s="72"/>
      <c r="EK418" s="72"/>
      <c r="EL418" s="72"/>
      <c r="EM418" s="72"/>
      <c r="EN418" s="72"/>
      <c r="EO418" s="72"/>
      <c r="EP418" s="72"/>
      <c r="EQ418" s="72"/>
      <c r="ER418" s="72"/>
      <c r="ES418" s="72"/>
      <c r="ET418" s="72"/>
      <c r="EU418" s="72"/>
      <c r="EV418" s="72"/>
      <c r="EW418" s="72"/>
      <c r="EX418" s="72"/>
      <c r="EY418" s="72"/>
      <c r="EZ418" s="72"/>
      <c r="FA418" s="72"/>
      <c r="FB418" s="72"/>
      <c r="FC418" s="72"/>
      <c r="FD418" s="72"/>
    </row>
    <row r="419" spans="1:160">
      <c r="A419" s="145"/>
      <c r="B419" s="145"/>
      <c r="C419" s="145"/>
      <c r="D419" s="145"/>
      <c r="E419" s="146"/>
      <c r="F419" s="145"/>
      <c r="G419" s="145"/>
      <c r="H419" s="145"/>
      <c r="I419" s="317"/>
      <c r="J419" s="145"/>
      <c r="K419" s="145"/>
      <c r="L419" s="72"/>
      <c r="M419" s="318"/>
      <c r="N419" s="146"/>
      <c r="O419" s="72"/>
      <c r="P419" s="72"/>
      <c r="Q419" s="145"/>
      <c r="R419" s="145"/>
      <c r="S419" s="145"/>
      <c r="T419" s="145"/>
      <c r="U419" s="145"/>
      <c r="V419" s="145"/>
      <c r="W419" s="145"/>
      <c r="X419" s="145"/>
      <c r="Y419" s="145"/>
      <c r="Z419" s="145"/>
      <c r="AA419" s="150"/>
      <c r="AB419" s="151"/>
      <c r="AC419" s="150"/>
      <c r="AD419" s="150"/>
      <c r="AE419" s="150"/>
      <c r="AF419" s="150"/>
      <c r="AG419" s="150"/>
      <c r="AH419" s="150"/>
      <c r="AI419" s="150"/>
      <c r="AJ419" s="150"/>
      <c r="AK419" s="150"/>
      <c r="AL419" s="150"/>
      <c r="AM419" s="150"/>
      <c r="AN419" s="150"/>
      <c r="AO419" s="150"/>
      <c r="AP419" s="150"/>
      <c r="AQ419" s="150"/>
      <c r="AR419" s="150"/>
      <c r="AS419" s="150"/>
      <c r="AT419" s="150"/>
      <c r="AU419" s="150"/>
      <c r="AV419" s="150"/>
      <c r="AW419" s="150"/>
      <c r="AX419" s="150"/>
      <c r="AY419" s="150"/>
      <c r="AZ419" s="150"/>
      <c r="BA419" s="150"/>
      <c r="BB419" s="150"/>
      <c r="BC419" s="150"/>
      <c r="BD419" s="150"/>
      <c r="BE419" s="150"/>
      <c r="BF419" s="150"/>
      <c r="BG419" s="150"/>
      <c r="BH419" s="150"/>
      <c r="BI419" s="150"/>
      <c r="BJ419" s="150"/>
      <c r="BK419" s="150"/>
      <c r="BL419" s="150"/>
      <c r="BM419" s="150"/>
      <c r="BN419" s="72"/>
      <c r="BO419" s="72"/>
      <c r="BP419" s="72"/>
      <c r="BQ419" s="72"/>
      <c r="BR419" s="72"/>
      <c r="BS419" s="72"/>
      <c r="BT419" s="72"/>
      <c r="BU419" s="72"/>
      <c r="BV419" s="72"/>
      <c r="BW419" s="72"/>
      <c r="BX419" s="72"/>
      <c r="BY419" s="72"/>
      <c r="BZ419" s="72"/>
      <c r="CA419" s="72"/>
      <c r="CB419" s="72"/>
      <c r="CC419" s="72"/>
      <c r="CD419" s="72"/>
      <c r="CE419" s="72"/>
      <c r="CF419" s="72"/>
      <c r="CG419" s="72"/>
      <c r="CH419" s="72"/>
      <c r="CI419" s="72"/>
      <c r="CJ419" s="72"/>
      <c r="CK419" s="72"/>
      <c r="CL419" s="72"/>
      <c r="CM419" s="72"/>
      <c r="CN419" s="72"/>
      <c r="CO419" s="72"/>
      <c r="CP419" s="72"/>
      <c r="CQ419" s="72"/>
      <c r="CR419" s="72"/>
      <c r="CS419" s="72"/>
      <c r="CT419" s="150"/>
      <c r="CU419" s="152"/>
      <c r="CV419" s="72"/>
      <c r="CW419" s="72"/>
      <c r="CX419" s="72"/>
      <c r="CY419" s="72"/>
      <c r="CZ419" s="72"/>
      <c r="DA419" s="72"/>
      <c r="DB419" s="72"/>
      <c r="DC419" s="72"/>
      <c r="DD419" s="72"/>
      <c r="DE419" s="72"/>
      <c r="DF419" s="72"/>
      <c r="DG419" s="72"/>
      <c r="DH419" s="72"/>
      <c r="DI419" s="72"/>
      <c r="DJ419" s="72"/>
      <c r="DK419" s="72"/>
      <c r="DL419" s="72"/>
      <c r="DM419" s="72"/>
      <c r="DN419" s="72"/>
      <c r="DO419" s="72"/>
      <c r="DP419" s="72"/>
      <c r="DQ419" s="72"/>
      <c r="DR419" s="72"/>
      <c r="DS419" s="72"/>
      <c r="DT419" s="72"/>
      <c r="DU419" s="72"/>
      <c r="DV419" s="72"/>
      <c r="DW419" s="72"/>
      <c r="DX419" s="72"/>
      <c r="DY419" s="72"/>
      <c r="DZ419" s="72"/>
      <c r="EA419" s="72"/>
      <c r="EB419" s="72"/>
      <c r="EC419" s="72"/>
      <c r="ED419" s="72"/>
      <c r="EE419" s="72"/>
      <c r="EF419" s="72"/>
      <c r="EG419" s="72"/>
      <c r="EH419" s="72"/>
      <c r="EI419" s="72"/>
      <c r="EJ419" s="72"/>
      <c r="EK419" s="72"/>
      <c r="EL419" s="72"/>
      <c r="EM419" s="72"/>
      <c r="EN419" s="72"/>
      <c r="EO419" s="72"/>
      <c r="EP419" s="72"/>
      <c r="EQ419" s="72"/>
      <c r="ER419" s="72"/>
      <c r="ES419" s="72"/>
      <c r="ET419" s="72"/>
      <c r="EU419" s="72"/>
      <c r="EV419" s="72"/>
      <c r="EW419" s="72"/>
      <c r="EX419" s="72"/>
      <c r="EY419" s="72"/>
      <c r="EZ419" s="72"/>
      <c r="FA419" s="72"/>
      <c r="FB419" s="72"/>
      <c r="FC419" s="72"/>
      <c r="FD419" s="72"/>
    </row>
    <row r="420" spans="1:160">
      <c r="A420" s="145"/>
      <c r="B420" s="145"/>
      <c r="C420" s="145"/>
      <c r="D420" s="145"/>
      <c r="E420" s="146"/>
      <c r="F420" s="145"/>
      <c r="G420" s="145"/>
      <c r="H420" s="145"/>
      <c r="I420" s="317"/>
      <c r="J420" s="145"/>
      <c r="K420" s="145"/>
      <c r="L420" s="72"/>
      <c r="M420" s="318"/>
      <c r="N420" s="146"/>
      <c r="O420" s="72"/>
      <c r="P420" s="72"/>
      <c r="Q420" s="145"/>
      <c r="R420" s="145"/>
      <c r="S420" s="145"/>
      <c r="T420" s="145"/>
      <c r="U420" s="145"/>
      <c r="V420" s="145"/>
      <c r="W420" s="145"/>
      <c r="X420" s="145"/>
      <c r="Y420" s="145"/>
      <c r="Z420" s="145"/>
      <c r="AA420" s="150"/>
      <c r="AB420" s="151"/>
      <c r="AC420" s="150"/>
      <c r="AD420" s="150"/>
      <c r="AE420" s="150"/>
      <c r="AF420" s="150"/>
      <c r="AG420" s="150"/>
      <c r="AH420" s="150"/>
      <c r="AI420" s="150"/>
      <c r="AJ420" s="150"/>
      <c r="AK420" s="150"/>
      <c r="AL420" s="150"/>
      <c r="AM420" s="150"/>
      <c r="AN420" s="150"/>
      <c r="AO420" s="150"/>
      <c r="AP420" s="150"/>
      <c r="AQ420" s="150"/>
      <c r="AR420" s="150"/>
      <c r="AS420" s="150"/>
      <c r="AT420" s="150"/>
      <c r="AU420" s="150"/>
      <c r="AV420" s="150"/>
      <c r="AW420" s="150"/>
      <c r="AX420" s="150"/>
      <c r="AY420" s="150"/>
      <c r="AZ420" s="150"/>
      <c r="BA420" s="150"/>
      <c r="BB420" s="150"/>
      <c r="BC420" s="150"/>
      <c r="BD420" s="150"/>
      <c r="BE420" s="150"/>
      <c r="BF420" s="150"/>
      <c r="BG420" s="150"/>
      <c r="BH420" s="150"/>
      <c r="BI420" s="150"/>
      <c r="BJ420" s="150"/>
      <c r="BK420" s="150"/>
      <c r="BL420" s="150"/>
      <c r="BM420" s="150"/>
      <c r="BN420" s="72"/>
      <c r="BO420" s="72"/>
      <c r="BP420" s="72"/>
      <c r="BQ420" s="72"/>
      <c r="BR420" s="72"/>
      <c r="BS420" s="72"/>
      <c r="BT420" s="72"/>
      <c r="BU420" s="72"/>
      <c r="BV420" s="72"/>
      <c r="BW420" s="72"/>
      <c r="BX420" s="72"/>
      <c r="BY420" s="72"/>
      <c r="BZ420" s="72"/>
      <c r="CA420" s="72"/>
      <c r="CB420" s="72"/>
      <c r="CC420" s="72"/>
      <c r="CD420" s="72"/>
      <c r="CE420" s="72"/>
      <c r="CF420" s="72"/>
      <c r="CG420" s="72"/>
      <c r="CH420" s="72"/>
      <c r="CI420" s="72"/>
      <c r="CJ420" s="72"/>
      <c r="CK420" s="72"/>
      <c r="CL420" s="72"/>
      <c r="CM420" s="72"/>
      <c r="CN420" s="72"/>
      <c r="CO420" s="72"/>
      <c r="CP420" s="72"/>
      <c r="CQ420" s="72"/>
      <c r="CR420" s="72"/>
      <c r="CS420" s="72"/>
      <c r="CT420" s="150"/>
      <c r="CU420" s="152"/>
      <c r="CV420" s="72"/>
      <c r="CW420" s="72"/>
      <c r="CX420" s="72"/>
      <c r="CY420" s="72"/>
      <c r="CZ420" s="72"/>
      <c r="DA420" s="72"/>
      <c r="DB420" s="72"/>
      <c r="DC420" s="72"/>
      <c r="DD420" s="72"/>
      <c r="DE420" s="72"/>
      <c r="DF420" s="72"/>
      <c r="DG420" s="72"/>
      <c r="DH420" s="72"/>
      <c r="DI420" s="72"/>
      <c r="DJ420" s="72"/>
      <c r="DK420" s="72"/>
      <c r="DL420" s="72"/>
      <c r="DM420" s="72"/>
      <c r="DN420" s="72"/>
      <c r="DO420" s="72"/>
      <c r="DP420" s="72"/>
      <c r="DQ420" s="72"/>
      <c r="DR420" s="72"/>
      <c r="DS420" s="72"/>
      <c r="DT420" s="72"/>
      <c r="DU420" s="72"/>
      <c r="DV420" s="72"/>
      <c r="DW420" s="72"/>
      <c r="DX420" s="72"/>
      <c r="DY420" s="72"/>
      <c r="DZ420" s="72"/>
      <c r="EA420" s="72"/>
      <c r="EB420" s="72"/>
      <c r="EC420" s="72"/>
      <c r="ED420" s="72"/>
      <c r="EE420" s="72"/>
      <c r="EF420" s="72"/>
      <c r="EG420" s="72"/>
      <c r="EH420" s="72"/>
      <c r="EI420" s="72"/>
      <c r="EJ420" s="72"/>
      <c r="EK420" s="72"/>
      <c r="EL420" s="72"/>
      <c r="EM420" s="72"/>
      <c r="EN420" s="72"/>
      <c r="EO420" s="72"/>
      <c r="EP420" s="72"/>
      <c r="EQ420" s="72"/>
      <c r="ER420" s="72"/>
      <c r="ES420" s="72"/>
      <c r="ET420" s="72"/>
      <c r="EU420" s="72"/>
      <c r="EV420" s="72"/>
      <c r="EW420" s="72"/>
      <c r="EX420" s="72"/>
      <c r="EY420" s="72"/>
      <c r="EZ420" s="72"/>
      <c r="FA420" s="72"/>
      <c r="FB420" s="72"/>
      <c r="FC420" s="72"/>
      <c r="FD420" s="72"/>
    </row>
    <row r="421" spans="1:160">
      <c r="A421" s="145"/>
      <c r="B421" s="145"/>
      <c r="C421" s="145"/>
      <c r="D421" s="145"/>
      <c r="E421" s="146"/>
      <c r="F421" s="145"/>
      <c r="G421" s="145"/>
      <c r="H421" s="145"/>
      <c r="I421" s="317"/>
      <c r="J421" s="145"/>
      <c r="K421" s="145"/>
      <c r="L421" s="72"/>
      <c r="M421" s="318"/>
      <c r="N421" s="146"/>
      <c r="O421" s="72"/>
      <c r="P421" s="72"/>
      <c r="Q421" s="145"/>
      <c r="R421" s="145"/>
      <c r="S421" s="145"/>
      <c r="T421" s="145"/>
      <c r="U421" s="145"/>
      <c r="V421" s="145"/>
      <c r="W421" s="145"/>
      <c r="X421" s="145"/>
      <c r="Y421" s="145"/>
      <c r="Z421" s="145"/>
      <c r="AA421" s="150"/>
      <c r="AB421" s="151"/>
      <c r="AC421" s="150"/>
      <c r="AD421" s="150"/>
      <c r="AE421" s="150"/>
      <c r="AF421" s="150"/>
      <c r="AG421" s="150"/>
      <c r="AH421" s="150"/>
      <c r="AI421" s="150"/>
      <c r="AJ421" s="150"/>
      <c r="AK421" s="150"/>
      <c r="AL421" s="150"/>
      <c r="AM421" s="150"/>
      <c r="AN421" s="150"/>
      <c r="AO421" s="150"/>
      <c r="AP421" s="150"/>
      <c r="AQ421" s="150"/>
      <c r="AR421" s="150"/>
      <c r="AS421" s="150"/>
      <c r="AT421" s="150"/>
      <c r="AU421" s="150"/>
      <c r="AV421" s="150"/>
      <c r="AW421" s="150"/>
      <c r="AX421" s="150"/>
      <c r="AY421" s="150"/>
      <c r="AZ421" s="150"/>
      <c r="BA421" s="150"/>
      <c r="BB421" s="150"/>
      <c r="BC421" s="150"/>
      <c r="BD421" s="150"/>
      <c r="BE421" s="150"/>
      <c r="BF421" s="150"/>
      <c r="BG421" s="150"/>
      <c r="BH421" s="150"/>
      <c r="BI421" s="150"/>
      <c r="BJ421" s="150"/>
      <c r="BK421" s="150"/>
      <c r="BL421" s="150"/>
      <c r="BM421" s="150"/>
      <c r="BN421" s="72"/>
      <c r="BO421" s="72"/>
      <c r="BP421" s="72"/>
      <c r="BQ421" s="72"/>
      <c r="BR421" s="72"/>
      <c r="BS421" s="72"/>
      <c r="BT421" s="72"/>
      <c r="BU421" s="72"/>
      <c r="BV421" s="72"/>
      <c r="BW421" s="72"/>
      <c r="BX421" s="72"/>
      <c r="BY421" s="72"/>
      <c r="BZ421" s="72"/>
      <c r="CA421" s="72"/>
      <c r="CB421" s="72"/>
      <c r="CC421" s="72"/>
      <c r="CD421" s="72"/>
      <c r="CE421" s="72"/>
      <c r="CF421" s="72"/>
      <c r="CG421" s="72"/>
      <c r="CH421" s="72"/>
      <c r="CI421" s="72"/>
      <c r="CJ421" s="72"/>
      <c r="CK421" s="72"/>
      <c r="CL421" s="72"/>
      <c r="CM421" s="72"/>
      <c r="CN421" s="72"/>
      <c r="CO421" s="72"/>
      <c r="CP421" s="72"/>
      <c r="CQ421" s="72"/>
      <c r="CR421" s="72"/>
      <c r="CS421" s="72"/>
      <c r="CT421" s="150"/>
      <c r="CU421" s="152"/>
      <c r="CV421" s="72"/>
      <c r="CW421" s="72"/>
      <c r="CX421" s="72"/>
      <c r="CY421" s="72"/>
      <c r="CZ421" s="72"/>
      <c r="DA421" s="72"/>
      <c r="DB421" s="72"/>
      <c r="DC421" s="72"/>
      <c r="DD421" s="72"/>
      <c r="DE421" s="72"/>
      <c r="DF421" s="72"/>
      <c r="DG421" s="72"/>
      <c r="DH421" s="72"/>
      <c r="DI421" s="72"/>
      <c r="DJ421" s="72"/>
      <c r="DK421" s="72"/>
      <c r="DL421" s="72"/>
      <c r="DM421" s="72"/>
      <c r="DN421" s="72"/>
      <c r="DO421" s="72"/>
      <c r="DP421" s="72"/>
      <c r="DQ421" s="72"/>
      <c r="DR421" s="72"/>
      <c r="DS421" s="72"/>
      <c r="DT421" s="72"/>
      <c r="DU421" s="72"/>
      <c r="DV421" s="72"/>
      <c r="DW421" s="72"/>
      <c r="DX421" s="72"/>
      <c r="DY421" s="72"/>
      <c r="DZ421" s="72"/>
      <c r="EA421" s="72"/>
      <c r="EB421" s="72"/>
      <c r="EC421" s="72"/>
      <c r="ED421" s="72"/>
      <c r="EE421" s="72"/>
      <c r="EF421" s="72"/>
      <c r="EG421" s="72"/>
      <c r="EH421" s="72"/>
      <c r="EI421" s="72"/>
      <c r="EJ421" s="72"/>
      <c r="EK421" s="72"/>
      <c r="EL421" s="72"/>
      <c r="EM421" s="72"/>
      <c r="EN421" s="72"/>
      <c r="EO421" s="72"/>
      <c r="EP421" s="72"/>
      <c r="EQ421" s="72"/>
      <c r="ER421" s="72"/>
      <c r="ES421" s="72"/>
      <c r="ET421" s="72"/>
      <c r="EU421" s="72"/>
      <c r="EV421" s="72"/>
      <c r="EW421" s="72"/>
      <c r="EX421" s="72"/>
      <c r="EY421" s="72"/>
      <c r="EZ421" s="72"/>
      <c r="FA421" s="72"/>
      <c r="FB421" s="72"/>
      <c r="FC421" s="72"/>
      <c r="FD421" s="72"/>
    </row>
    <row r="422" spans="1:160">
      <c r="A422" s="145"/>
      <c r="B422" s="145"/>
      <c r="C422" s="145"/>
      <c r="D422" s="145"/>
      <c r="E422" s="146"/>
      <c r="F422" s="145"/>
      <c r="G422" s="145"/>
      <c r="H422" s="145"/>
      <c r="I422" s="317"/>
      <c r="J422" s="145"/>
      <c r="K422" s="145"/>
      <c r="L422" s="72"/>
      <c r="M422" s="318"/>
      <c r="N422" s="146"/>
      <c r="O422" s="72"/>
      <c r="P422" s="72"/>
      <c r="Q422" s="145"/>
      <c r="R422" s="145"/>
      <c r="S422" s="145"/>
      <c r="T422" s="145"/>
      <c r="U422" s="145"/>
      <c r="V422" s="145"/>
      <c r="W422" s="145"/>
      <c r="X422" s="145"/>
      <c r="Y422" s="145"/>
      <c r="Z422" s="145"/>
      <c r="AA422" s="150"/>
      <c r="AB422" s="151"/>
      <c r="AC422" s="150"/>
      <c r="AD422" s="150"/>
      <c r="AE422" s="150"/>
      <c r="AF422" s="150"/>
      <c r="AG422" s="150"/>
      <c r="AH422" s="150"/>
      <c r="AI422" s="150"/>
      <c r="AJ422" s="150"/>
      <c r="AK422" s="150"/>
      <c r="AL422" s="150"/>
      <c r="AM422" s="150"/>
      <c r="AN422" s="150"/>
      <c r="AO422" s="150"/>
      <c r="AP422" s="150"/>
      <c r="AQ422" s="150"/>
      <c r="AR422" s="150"/>
      <c r="AS422" s="150"/>
      <c r="AT422" s="150"/>
      <c r="AU422" s="150"/>
      <c r="AV422" s="150"/>
      <c r="AW422" s="150"/>
      <c r="AX422" s="150"/>
      <c r="AY422" s="150"/>
      <c r="AZ422" s="150"/>
      <c r="BA422" s="150"/>
      <c r="BB422" s="150"/>
      <c r="BC422" s="150"/>
      <c r="BD422" s="150"/>
      <c r="BE422" s="150"/>
      <c r="BF422" s="150"/>
      <c r="BG422" s="150"/>
      <c r="BH422" s="150"/>
      <c r="BI422" s="150"/>
      <c r="BJ422" s="150"/>
      <c r="BK422" s="150"/>
      <c r="BL422" s="150"/>
      <c r="BM422" s="150"/>
      <c r="BN422" s="72"/>
      <c r="BO422" s="72"/>
      <c r="BP422" s="72"/>
      <c r="BQ422" s="72"/>
      <c r="BR422" s="72"/>
      <c r="BS422" s="72"/>
      <c r="BT422" s="72"/>
      <c r="BU422" s="72"/>
      <c r="BV422" s="72"/>
      <c r="BW422" s="72"/>
      <c r="BX422" s="72"/>
      <c r="BY422" s="72"/>
      <c r="BZ422" s="72"/>
      <c r="CA422" s="72"/>
      <c r="CB422" s="72"/>
      <c r="CC422" s="72"/>
      <c r="CD422" s="72"/>
      <c r="CE422" s="72"/>
      <c r="CF422" s="72"/>
      <c r="CG422" s="72"/>
      <c r="CH422" s="72"/>
      <c r="CI422" s="72"/>
      <c r="CJ422" s="72"/>
      <c r="CK422" s="72"/>
      <c r="CL422" s="72"/>
      <c r="CM422" s="72"/>
      <c r="CN422" s="72"/>
      <c r="CO422" s="72"/>
      <c r="CP422" s="72"/>
      <c r="CQ422" s="72"/>
      <c r="CR422" s="72"/>
      <c r="CS422" s="72"/>
      <c r="CT422" s="150"/>
      <c r="CU422" s="152"/>
      <c r="CV422" s="72"/>
      <c r="CW422" s="72"/>
      <c r="CX422" s="72"/>
      <c r="CY422" s="72"/>
      <c r="CZ422" s="72"/>
      <c r="DA422" s="72"/>
      <c r="DB422" s="72"/>
      <c r="DC422" s="72"/>
      <c r="DD422" s="72"/>
      <c r="DE422" s="72"/>
      <c r="DF422" s="72"/>
      <c r="DG422" s="72"/>
      <c r="DH422" s="72"/>
      <c r="DI422" s="72"/>
      <c r="DJ422" s="72"/>
      <c r="DK422" s="72"/>
      <c r="DL422" s="72"/>
      <c r="DM422" s="72"/>
      <c r="DN422" s="72"/>
      <c r="DO422" s="72"/>
      <c r="DP422" s="72"/>
      <c r="DQ422" s="72"/>
      <c r="DR422" s="72"/>
      <c r="DS422" s="72"/>
      <c r="DT422" s="72"/>
      <c r="DU422" s="72"/>
      <c r="DV422" s="72"/>
      <c r="DW422" s="72"/>
      <c r="DX422" s="72"/>
      <c r="DY422" s="72"/>
      <c r="DZ422" s="72"/>
      <c r="EA422" s="72"/>
      <c r="EB422" s="72"/>
      <c r="EC422" s="72"/>
      <c r="ED422" s="72"/>
      <c r="EE422" s="72"/>
      <c r="EF422" s="72"/>
      <c r="EG422" s="72"/>
      <c r="EH422" s="72"/>
      <c r="EI422" s="72"/>
      <c r="EJ422" s="72"/>
      <c r="EK422" s="72"/>
      <c r="EL422" s="72"/>
      <c r="EM422" s="72"/>
      <c r="EN422" s="72"/>
      <c r="EO422" s="72"/>
      <c r="EP422" s="72"/>
      <c r="EQ422" s="72"/>
      <c r="ER422" s="72"/>
      <c r="ES422" s="72"/>
      <c r="ET422" s="72"/>
      <c r="EU422" s="72"/>
      <c r="EV422" s="72"/>
      <c r="EW422" s="72"/>
      <c r="EX422" s="72"/>
      <c r="EY422" s="72"/>
      <c r="EZ422" s="72"/>
      <c r="FA422" s="72"/>
      <c r="FB422" s="72"/>
      <c r="FC422" s="72"/>
      <c r="FD422" s="72"/>
    </row>
    <row r="423" spans="1:160">
      <c r="A423" s="145"/>
      <c r="B423" s="145"/>
      <c r="C423" s="145"/>
      <c r="D423" s="145"/>
      <c r="E423" s="146"/>
      <c r="F423" s="145"/>
      <c r="G423" s="145"/>
      <c r="H423" s="145"/>
      <c r="I423" s="317"/>
      <c r="J423" s="145"/>
      <c r="K423" s="145"/>
      <c r="L423" s="72"/>
      <c r="M423" s="318"/>
      <c r="N423" s="146"/>
      <c r="O423" s="72"/>
      <c r="P423" s="72"/>
      <c r="Q423" s="145"/>
      <c r="R423" s="145"/>
      <c r="S423" s="145"/>
      <c r="T423" s="145"/>
      <c r="U423" s="145"/>
      <c r="V423" s="145"/>
      <c r="W423" s="145"/>
      <c r="X423" s="145"/>
      <c r="Y423" s="145"/>
      <c r="Z423" s="145"/>
      <c r="AA423" s="150"/>
      <c r="AB423" s="151"/>
      <c r="AC423" s="150"/>
      <c r="AD423" s="150"/>
      <c r="AE423" s="150"/>
      <c r="AF423" s="150"/>
      <c r="AG423" s="150"/>
      <c r="AH423" s="150"/>
      <c r="AI423" s="150"/>
      <c r="AJ423" s="150"/>
      <c r="AK423" s="150"/>
      <c r="AL423" s="150"/>
      <c r="AM423" s="150"/>
      <c r="AN423" s="150"/>
      <c r="AO423" s="150"/>
      <c r="AP423" s="150"/>
      <c r="AQ423" s="150"/>
      <c r="AR423" s="150"/>
      <c r="AS423" s="150"/>
      <c r="AT423" s="150"/>
      <c r="AU423" s="150"/>
      <c r="AV423" s="150"/>
      <c r="AW423" s="150"/>
      <c r="AX423" s="150"/>
      <c r="AY423" s="150"/>
      <c r="AZ423" s="150"/>
      <c r="BA423" s="150"/>
      <c r="BB423" s="150"/>
      <c r="BC423" s="150"/>
      <c r="BD423" s="150"/>
      <c r="BE423" s="150"/>
      <c r="BF423" s="150"/>
      <c r="BG423" s="150"/>
      <c r="BH423" s="150"/>
      <c r="BI423" s="150"/>
      <c r="BJ423" s="150"/>
      <c r="BK423" s="150"/>
      <c r="BL423" s="150"/>
      <c r="BM423" s="150"/>
      <c r="BN423" s="72"/>
      <c r="BO423" s="72"/>
      <c r="BP423" s="72"/>
      <c r="BQ423" s="72"/>
      <c r="BR423" s="72"/>
      <c r="BS423" s="72"/>
      <c r="BT423" s="72"/>
      <c r="BU423" s="72"/>
      <c r="BV423" s="72"/>
      <c r="BW423" s="72"/>
      <c r="BX423" s="72"/>
      <c r="BY423" s="72"/>
      <c r="BZ423" s="72"/>
      <c r="CA423" s="72"/>
      <c r="CB423" s="72"/>
      <c r="CC423" s="72"/>
      <c r="CD423" s="72"/>
      <c r="CE423" s="72"/>
      <c r="CF423" s="72"/>
      <c r="CG423" s="72"/>
      <c r="CH423" s="72"/>
      <c r="CI423" s="72"/>
      <c r="CJ423" s="72"/>
      <c r="CK423" s="72"/>
      <c r="CL423" s="72"/>
      <c r="CM423" s="72"/>
      <c r="CN423" s="72"/>
      <c r="CO423" s="72"/>
      <c r="CP423" s="72"/>
      <c r="CQ423" s="72"/>
      <c r="CR423" s="72"/>
      <c r="CS423" s="72"/>
      <c r="CT423" s="150"/>
      <c r="CU423" s="152"/>
      <c r="CV423" s="72"/>
      <c r="CW423" s="72"/>
      <c r="CX423" s="72"/>
      <c r="CY423" s="72"/>
      <c r="CZ423" s="72"/>
      <c r="DA423" s="72"/>
      <c r="DB423" s="72"/>
      <c r="DC423" s="72"/>
      <c r="DD423" s="72"/>
      <c r="DE423" s="72"/>
      <c r="DF423" s="72"/>
      <c r="DG423" s="72"/>
      <c r="DH423" s="72"/>
      <c r="DI423" s="72"/>
      <c r="DJ423" s="72"/>
      <c r="DK423" s="72"/>
      <c r="DL423" s="72"/>
      <c r="DM423" s="72"/>
      <c r="DN423" s="72"/>
      <c r="DO423" s="72"/>
      <c r="DP423" s="72"/>
      <c r="DQ423" s="72"/>
      <c r="DR423" s="72"/>
      <c r="DS423" s="72"/>
      <c r="DT423" s="72"/>
      <c r="DU423" s="72"/>
      <c r="DV423" s="72"/>
      <c r="DW423" s="72"/>
      <c r="DX423" s="72"/>
      <c r="DY423" s="72"/>
      <c r="DZ423" s="72"/>
      <c r="EA423" s="72"/>
      <c r="EB423" s="72"/>
      <c r="EC423" s="72"/>
      <c r="ED423" s="72"/>
      <c r="EE423" s="72"/>
      <c r="EF423" s="72"/>
      <c r="EG423" s="72"/>
      <c r="EH423" s="72"/>
      <c r="EI423" s="72"/>
      <c r="EJ423" s="72"/>
      <c r="EK423" s="72"/>
      <c r="EL423" s="72"/>
      <c r="EM423" s="72"/>
      <c r="EN423" s="72"/>
      <c r="EO423" s="72"/>
      <c r="EP423" s="72"/>
      <c r="EQ423" s="72"/>
      <c r="ER423" s="72"/>
      <c r="ES423" s="72"/>
      <c r="ET423" s="72"/>
      <c r="EU423" s="72"/>
      <c r="EV423" s="72"/>
      <c r="EW423" s="72"/>
      <c r="EX423" s="72"/>
      <c r="EY423" s="72"/>
      <c r="EZ423" s="72"/>
      <c r="FA423" s="72"/>
      <c r="FB423" s="72"/>
      <c r="FC423" s="72"/>
      <c r="FD423" s="72"/>
    </row>
    <row r="424" spans="1:160">
      <c r="A424" s="145"/>
      <c r="B424" s="145"/>
      <c r="C424" s="145"/>
      <c r="D424" s="145"/>
      <c r="E424" s="146"/>
      <c r="F424" s="145"/>
      <c r="G424" s="145"/>
      <c r="H424" s="145"/>
      <c r="I424" s="317"/>
      <c r="J424" s="145"/>
      <c r="K424" s="145"/>
      <c r="L424" s="72"/>
      <c r="M424" s="318"/>
      <c r="N424" s="146"/>
      <c r="O424" s="72"/>
      <c r="P424" s="72"/>
      <c r="Q424" s="145"/>
      <c r="R424" s="145"/>
      <c r="S424" s="145"/>
      <c r="T424" s="145"/>
      <c r="U424" s="145"/>
      <c r="V424" s="145"/>
      <c r="W424" s="145"/>
      <c r="X424" s="145"/>
      <c r="Y424" s="145"/>
      <c r="Z424" s="145"/>
      <c r="AA424" s="150"/>
      <c r="AB424" s="151"/>
      <c r="AC424" s="150"/>
      <c r="AD424" s="150"/>
      <c r="AE424" s="150"/>
      <c r="AF424" s="150"/>
      <c r="AG424" s="150"/>
      <c r="AH424" s="150"/>
      <c r="AI424" s="150"/>
      <c r="AJ424" s="150"/>
      <c r="AK424" s="150"/>
      <c r="AL424" s="150"/>
      <c r="AM424" s="150"/>
      <c r="AN424" s="150"/>
      <c r="AO424" s="150"/>
      <c r="AP424" s="150"/>
      <c r="AQ424" s="150"/>
      <c r="AR424" s="150"/>
      <c r="AS424" s="150"/>
      <c r="AT424" s="150"/>
      <c r="AU424" s="150"/>
      <c r="AV424" s="150"/>
      <c r="AW424" s="150"/>
      <c r="AX424" s="150"/>
      <c r="AY424" s="150"/>
      <c r="AZ424" s="150"/>
      <c r="BA424" s="150"/>
      <c r="BB424" s="150"/>
      <c r="BC424" s="150"/>
      <c r="BD424" s="150"/>
      <c r="BE424" s="150"/>
      <c r="BF424" s="150"/>
      <c r="BG424" s="150"/>
      <c r="BH424" s="150"/>
      <c r="BI424" s="150"/>
      <c r="BJ424" s="150"/>
      <c r="BK424" s="150"/>
      <c r="BL424" s="150"/>
      <c r="BM424" s="150"/>
      <c r="BN424" s="72"/>
      <c r="BO424" s="72"/>
      <c r="BP424" s="72"/>
      <c r="BQ424" s="72"/>
      <c r="BR424" s="72"/>
      <c r="BS424" s="72"/>
      <c r="BT424" s="72"/>
      <c r="BU424" s="72"/>
      <c r="BV424" s="72"/>
      <c r="BW424" s="72"/>
      <c r="BX424" s="72"/>
      <c r="BY424" s="72"/>
      <c r="BZ424" s="72"/>
      <c r="CA424" s="72"/>
      <c r="CB424" s="72"/>
      <c r="CC424" s="72"/>
      <c r="CD424" s="72"/>
      <c r="CE424" s="72"/>
      <c r="CF424" s="72"/>
      <c r="CG424" s="72"/>
      <c r="CH424" s="72"/>
      <c r="CI424" s="72"/>
      <c r="CJ424" s="72"/>
      <c r="CK424" s="72"/>
      <c r="CL424" s="72"/>
      <c r="CM424" s="72"/>
      <c r="CN424" s="72"/>
      <c r="CO424" s="72"/>
      <c r="CP424" s="72"/>
      <c r="CQ424" s="72"/>
      <c r="CR424" s="72"/>
      <c r="CS424" s="72"/>
      <c r="CT424" s="150"/>
      <c r="CU424" s="152"/>
      <c r="CV424" s="72"/>
      <c r="CW424" s="72"/>
      <c r="CX424" s="72"/>
      <c r="CY424" s="72"/>
      <c r="CZ424" s="72"/>
      <c r="DA424" s="72"/>
      <c r="DB424" s="72"/>
      <c r="DC424" s="72"/>
      <c r="DD424" s="72"/>
      <c r="DE424" s="72"/>
      <c r="DF424" s="72"/>
      <c r="DG424" s="72"/>
      <c r="DH424" s="72"/>
      <c r="DI424" s="72"/>
      <c r="DJ424" s="72"/>
      <c r="DK424" s="72"/>
      <c r="DL424" s="72"/>
      <c r="DM424" s="72"/>
      <c r="DN424" s="72"/>
      <c r="DO424" s="72"/>
      <c r="DP424" s="72"/>
      <c r="DQ424" s="72"/>
      <c r="DR424" s="72"/>
      <c r="DS424" s="72"/>
      <c r="DT424" s="72"/>
      <c r="DU424" s="72"/>
      <c r="DV424" s="72"/>
      <c r="DW424" s="72"/>
      <c r="DX424" s="72"/>
      <c r="DY424" s="72"/>
      <c r="DZ424" s="72"/>
      <c r="EA424" s="72"/>
      <c r="EB424" s="72"/>
      <c r="EC424" s="72"/>
      <c r="ED424" s="72"/>
      <c r="EE424" s="72"/>
      <c r="EF424" s="72"/>
      <c r="EG424" s="72"/>
      <c r="EH424" s="72"/>
      <c r="EI424" s="72"/>
      <c r="EJ424" s="72"/>
      <c r="EK424" s="72"/>
      <c r="EL424" s="72"/>
      <c r="EM424" s="72"/>
      <c r="EN424" s="72"/>
      <c r="EO424" s="72"/>
      <c r="EP424" s="72"/>
      <c r="EQ424" s="72"/>
      <c r="ER424" s="72"/>
      <c r="ES424" s="72"/>
      <c r="ET424" s="72"/>
      <c r="EU424" s="72"/>
      <c r="EV424" s="72"/>
      <c r="EW424" s="72"/>
      <c r="EX424" s="72"/>
      <c r="EY424" s="72"/>
      <c r="EZ424" s="72"/>
      <c r="FA424" s="72"/>
      <c r="FB424" s="72"/>
      <c r="FC424" s="72"/>
      <c r="FD424" s="72"/>
    </row>
    <row r="425" spans="1:160">
      <c r="A425" s="145"/>
      <c r="B425" s="145"/>
      <c r="C425" s="145"/>
      <c r="D425" s="145"/>
      <c r="E425" s="146"/>
      <c r="F425" s="145"/>
      <c r="G425" s="145"/>
      <c r="H425" s="145"/>
      <c r="I425" s="317"/>
      <c r="J425" s="145"/>
      <c r="K425" s="145"/>
      <c r="L425" s="72"/>
      <c r="M425" s="318"/>
      <c r="N425" s="146"/>
      <c r="O425" s="72"/>
      <c r="P425" s="72"/>
      <c r="Q425" s="145"/>
      <c r="R425" s="145"/>
      <c r="S425" s="145"/>
      <c r="T425" s="145"/>
      <c r="U425" s="145"/>
      <c r="V425" s="145"/>
      <c r="W425" s="145"/>
      <c r="X425" s="145"/>
      <c r="Y425" s="145"/>
      <c r="Z425" s="145"/>
      <c r="AA425" s="150"/>
      <c r="AB425" s="151"/>
      <c r="AC425" s="150"/>
      <c r="AD425" s="150"/>
      <c r="AE425" s="150"/>
      <c r="AF425" s="150"/>
      <c r="AG425" s="150"/>
      <c r="AH425" s="150"/>
      <c r="AI425" s="150"/>
      <c r="AJ425" s="150"/>
      <c r="AK425" s="150"/>
      <c r="AL425" s="150"/>
      <c r="AM425" s="150"/>
      <c r="AN425" s="150"/>
      <c r="AO425" s="150"/>
      <c r="AP425" s="150"/>
      <c r="AQ425" s="150"/>
      <c r="AR425" s="150"/>
      <c r="AS425" s="150"/>
      <c r="AT425" s="150"/>
      <c r="AU425" s="150"/>
      <c r="AV425" s="150"/>
      <c r="AW425" s="150"/>
      <c r="AX425" s="150"/>
      <c r="AY425" s="150"/>
      <c r="AZ425" s="150"/>
      <c r="BA425" s="150"/>
      <c r="BB425" s="150"/>
      <c r="BC425" s="150"/>
      <c r="BD425" s="150"/>
      <c r="BE425" s="150"/>
      <c r="BF425" s="150"/>
      <c r="BG425" s="150"/>
      <c r="BH425" s="150"/>
      <c r="BI425" s="150"/>
      <c r="BJ425" s="150"/>
      <c r="BK425" s="150"/>
      <c r="BL425" s="150"/>
      <c r="BM425" s="150"/>
      <c r="BN425" s="72"/>
      <c r="BO425" s="72"/>
      <c r="BP425" s="72"/>
      <c r="BQ425" s="72"/>
      <c r="BR425" s="72"/>
      <c r="BS425" s="72"/>
      <c r="BT425" s="72"/>
      <c r="BU425" s="72"/>
      <c r="BV425" s="72"/>
      <c r="BW425" s="72"/>
      <c r="BX425" s="72"/>
      <c r="BY425" s="72"/>
      <c r="BZ425" s="72"/>
      <c r="CA425" s="72"/>
      <c r="CB425" s="72"/>
      <c r="CC425" s="72"/>
      <c r="CD425" s="72"/>
      <c r="CE425" s="72"/>
      <c r="CF425" s="72"/>
      <c r="CG425" s="72"/>
      <c r="CH425" s="72"/>
      <c r="CI425" s="72"/>
      <c r="CJ425" s="72"/>
      <c r="CK425" s="72"/>
      <c r="CL425" s="72"/>
      <c r="CM425" s="72"/>
      <c r="CN425" s="72"/>
      <c r="CO425" s="72"/>
      <c r="CP425" s="72"/>
      <c r="CQ425" s="72"/>
      <c r="CR425" s="72"/>
      <c r="CS425" s="72"/>
      <c r="CT425" s="150"/>
      <c r="CU425" s="152"/>
      <c r="CV425" s="72"/>
      <c r="CW425" s="72"/>
      <c r="CX425" s="72"/>
      <c r="CY425" s="72"/>
      <c r="CZ425" s="72"/>
      <c r="DA425" s="72"/>
      <c r="DB425" s="72"/>
      <c r="DC425" s="72"/>
      <c r="DD425" s="72"/>
      <c r="DE425" s="72"/>
      <c r="DF425" s="72"/>
      <c r="DG425" s="72"/>
      <c r="DH425" s="72"/>
      <c r="DI425" s="72"/>
      <c r="DJ425" s="72"/>
      <c r="DK425" s="72"/>
      <c r="DL425" s="72"/>
      <c r="DM425" s="72"/>
      <c r="DN425" s="72"/>
      <c r="DO425" s="72"/>
      <c r="DP425" s="72"/>
      <c r="DQ425" s="72"/>
      <c r="DR425" s="72"/>
      <c r="DS425" s="72"/>
      <c r="DT425" s="72"/>
      <c r="DU425" s="72"/>
      <c r="DV425" s="72"/>
      <c r="DW425" s="72"/>
      <c r="DX425" s="72"/>
      <c r="DY425" s="72"/>
      <c r="DZ425" s="72"/>
      <c r="EA425" s="72"/>
      <c r="EB425" s="72"/>
      <c r="EC425" s="72"/>
      <c r="ED425" s="72"/>
      <c r="EE425" s="72"/>
      <c r="EF425" s="72"/>
      <c r="EG425" s="72"/>
      <c r="EH425" s="72"/>
      <c r="EI425" s="72"/>
      <c r="EJ425" s="72"/>
      <c r="EK425" s="72"/>
      <c r="EL425" s="72"/>
      <c r="EM425" s="72"/>
      <c r="EN425" s="72"/>
      <c r="EO425" s="72"/>
      <c r="EP425" s="72"/>
      <c r="EQ425" s="72"/>
      <c r="ER425" s="72"/>
      <c r="ES425" s="72"/>
      <c r="ET425" s="72"/>
      <c r="EU425" s="72"/>
      <c r="EV425" s="72"/>
      <c r="EW425" s="72"/>
      <c r="EX425" s="72"/>
      <c r="EY425" s="72"/>
      <c r="EZ425" s="72"/>
      <c r="FA425" s="72"/>
      <c r="FB425" s="72"/>
      <c r="FC425" s="72"/>
      <c r="FD425" s="72"/>
    </row>
    <row r="426" spans="1:160">
      <c r="A426" s="145"/>
      <c r="B426" s="145"/>
      <c r="C426" s="145"/>
      <c r="D426" s="145"/>
      <c r="E426" s="146"/>
      <c r="F426" s="145"/>
      <c r="G426" s="145"/>
      <c r="H426" s="145"/>
      <c r="I426" s="317"/>
      <c r="J426" s="145"/>
      <c r="K426" s="145"/>
      <c r="L426" s="72"/>
      <c r="M426" s="318"/>
      <c r="N426" s="146"/>
      <c r="O426" s="72"/>
      <c r="P426" s="72"/>
      <c r="Q426" s="145"/>
      <c r="R426" s="145"/>
      <c r="S426" s="145"/>
      <c r="T426" s="145"/>
      <c r="U426" s="145"/>
      <c r="V426" s="145"/>
      <c r="W426" s="145"/>
      <c r="X426" s="145"/>
      <c r="Y426" s="145"/>
      <c r="Z426" s="145"/>
      <c r="AA426" s="150"/>
      <c r="AB426" s="151"/>
      <c r="AC426" s="150"/>
      <c r="AD426" s="150"/>
      <c r="AE426" s="150"/>
      <c r="AF426" s="150"/>
      <c r="AG426" s="150"/>
      <c r="AH426" s="150"/>
      <c r="AI426" s="150"/>
      <c r="AJ426" s="150"/>
      <c r="AK426" s="150"/>
      <c r="AL426" s="150"/>
      <c r="AM426" s="150"/>
      <c r="AN426" s="150"/>
      <c r="AO426" s="150"/>
      <c r="AP426" s="150"/>
      <c r="AQ426" s="150"/>
      <c r="AR426" s="150"/>
      <c r="AS426" s="150"/>
      <c r="AT426" s="150"/>
      <c r="AU426" s="150"/>
      <c r="AV426" s="150"/>
      <c r="AW426" s="150"/>
      <c r="AX426" s="150"/>
      <c r="AY426" s="150"/>
      <c r="AZ426" s="150"/>
      <c r="BA426" s="150"/>
      <c r="BB426" s="150"/>
      <c r="BC426" s="150"/>
      <c r="BD426" s="150"/>
      <c r="BE426" s="150"/>
      <c r="BF426" s="150"/>
      <c r="BG426" s="150"/>
      <c r="BH426" s="150"/>
      <c r="BI426" s="150"/>
      <c r="BJ426" s="150"/>
      <c r="BK426" s="150"/>
      <c r="BL426" s="150"/>
      <c r="BM426" s="150"/>
      <c r="BN426" s="72"/>
      <c r="BO426" s="72"/>
      <c r="BP426" s="72"/>
      <c r="BQ426" s="72"/>
      <c r="BR426" s="72"/>
      <c r="BS426" s="72"/>
      <c r="BT426" s="72"/>
      <c r="BU426" s="72"/>
      <c r="BV426" s="72"/>
      <c r="BW426" s="72"/>
      <c r="BX426" s="72"/>
      <c r="BY426" s="72"/>
      <c r="BZ426" s="72"/>
      <c r="CA426" s="72"/>
      <c r="CB426" s="72"/>
      <c r="CC426" s="72"/>
      <c r="CD426" s="72"/>
      <c r="CE426" s="72"/>
      <c r="CF426" s="72"/>
      <c r="CG426" s="72"/>
      <c r="CH426" s="72"/>
      <c r="CI426" s="72"/>
      <c r="CJ426" s="72"/>
      <c r="CK426" s="72"/>
      <c r="CL426" s="72"/>
      <c r="CM426" s="72"/>
      <c r="CN426" s="72"/>
      <c r="CO426" s="72"/>
      <c r="CP426" s="72"/>
      <c r="CQ426" s="72"/>
      <c r="CR426" s="72"/>
      <c r="CS426" s="72"/>
      <c r="CT426" s="150"/>
      <c r="CU426" s="152"/>
      <c r="CV426" s="72"/>
      <c r="CW426" s="72"/>
      <c r="CX426" s="72"/>
      <c r="CY426" s="72"/>
      <c r="CZ426" s="72"/>
      <c r="DA426" s="72"/>
      <c r="DB426" s="72"/>
      <c r="DC426" s="72"/>
      <c r="DD426" s="72"/>
      <c r="DE426" s="72"/>
      <c r="DF426" s="72"/>
      <c r="DG426" s="72"/>
      <c r="DH426" s="72"/>
      <c r="DI426" s="72"/>
      <c r="DJ426" s="72"/>
      <c r="DK426" s="72"/>
      <c r="DL426" s="72"/>
      <c r="DM426" s="72"/>
      <c r="DN426" s="72"/>
      <c r="DO426" s="72"/>
      <c r="DP426" s="72"/>
      <c r="DQ426" s="72"/>
      <c r="DR426" s="72"/>
      <c r="DS426" s="72"/>
      <c r="DT426" s="72"/>
      <c r="DU426" s="72"/>
      <c r="DV426" s="72"/>
      <c r="DW426" s="72"/>
      <c r="DX426" s="72"/>
      <c r="DY426" s="72"/>
      <c r="DZ426" s="72"/>
      <c r="EA426" s="72"/>
      <c r="EB426" s="72"/>
      <c r="EC426" s="72"/>
      <c r="ED426" s="72"/>
      <c r="EE426" s="72"/>
      <c r="EF426" s="72"/>
      <c r="EG426" s="72"/>
      <c r="EH426" s="72"/>
      <c r="EI426" s="72"/>
      <c r="EJ426" s="72"/>
      <c r="EK426" s="72"/>
      <c r="EL426" s="72"/>
      <c r="EM426" s="72"/>
      <c r="EN426" s="72"/>
      <c r="EO426" s="72"/>
      <c r="EP426" s="72"/>
      <c r="EQ426" s="72"/>
      <c r="ER426" s="72"/>
      <c r="ES426" s="72"/>
      <c r="ET426" s="72"/>
      <c r="EU426" s="72"/>
      <c r="EV426" s="72"/>
      <c r="EW426" s="72"/>
      <c r="EX426" s="72"/>
      <c r="EY426" s="72"/>
      <c r="EZ426" s="72"/>
      <c r="FA426" s="72"/>
      <c r="FB426" s="72"/>
      <c r="FC426" s="72"/>
      <c r="FD426" s="72"/>
    </row>
    <row r="427" spans="1:160">
      <c r="A427" s="145"/>
      <c r="B427" s="145"/>
      <c r="C427" s="145"/>
      <c r="D427" s="145"/>
      <c r="E427" s="146"/>
      <c r="F427" s="145"/>
      <c r="G427" s="145"/>
      <c r="H427" s="145"/>
      <c r="I427" s="317"/>
      <c r="J427" s="145"/>
      <c r="K427" s="145"/>
      <c r="L427" s="72"/>
      <c r="M427" s="318"/>
      <c r="N427" s="146"/>
      <c r="O427" s="72"/>
      <c r="P427" s="72"/>
      <c r="Q427" s="145"/>
      <c r="R427" s="145"/>
      <c r="S427" s="145"/>
      <c r="T427" s="145"/>
      <c r="U427" s="145"/>
      <c r="V427" s="145"/>
      <c r="W427" s="145"/>
      <c r="X427" s="145"/>
      <c r="Y427" s="145"/>
      <c r="Z427" s="145"/>
      <c r="AA427" s="150"/>
      <c r="AB427" s="151"/>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0"/>
      <c r="AY427" s="150"/>
      <c r="AZ427" s="150"/>
      <c r="BA427" s="150"/>
      <c r="BB427" s="150"/>
      <c r="BC427" s="150"/>
      <c r="BD427" s="150"/>
      <c r="BE427" s="150"/>
      <c r="BF427" s="150"/>
      <c r="BG427" s="150"/>
      <c r="BH427" s="150"/>
      <c r="BI427" s="150"/>
      <c r="BJ427" s="150"/>
      <c r="BK427" s="150"/>
      <c r="BL427" s="150"/>
      <c r="BM427" s="150"/>
      <c r="BN427" s="72"/>
      <c r="BO427" s="72"/>
      <c r="BP427" s="72"/>
      <c r="BQ427" s="72"/>
      <c r="BR427" s="72"/>
      <c r="BS427" s="72"/>
      <c r="BT427" s="72"/>
      <c r="BU427" s="72"/>
      <c r="BV427" s="72"/>
      <c r="BW427" s="72"/>
      <c r="BX427" s="72"/>
      <c r="BY427" s="72"/>
      <c r="BZ427" s="72"/>
      <c r="CA427" s="72"/>
      <c r="CB427" s="72"/>
      <c r="CC427" s="72"/>
      <c r="CD427" s="72"/>
      <c r="CE427" s="72"/>
      <c r="CF427" s="72"/>
      <c r="CG427" s="72"/>
      <c r="CH427" s="72"/>
      <c r="CI427" s="72"/>
      <c r="CJ427" s="72"/>
      <c r="CK427" s="72"/>
      <c r="CL427" s="72"/>
      <c r="CM427" s="72"/>
      <c r="CN427" s="72"/>
      <c r="CO427" s="72"/>
      <c r="CP427" s="72"/>
      <c r="CQ427" s="72"/>
      <c r="CR427" s="72"/>
      <c r="CS427" s="72"/>
      <c r="CT427" s="150"/>
      <c r="CU427" s="152"/>
      <c r="CV427" s="72"/>
      <c r="CW427" s="72"/>
      <c r="CX427" s="72"/>
      <c r="CY427" s="72"/>
      <c r="CZ427" s="72"/>
      <c r="DA427" s="72"/>
      <c r="DB427" s="72"/>
      <c r="DC427" s="72"/>
      <c r="DD427" s="72"/>
      <c r="DE427" s="72"/>
      <c r="DF427" s="72"/>
      <c r="DG427" s="72"/>
      <c r="DH427" s="72"/>
      <c r="DI427" s="72"/>
      <c r="DJ427" s="72"/>
      <c r="DK427" s="72"/>
      <c r="DL427" s="72"/>
      <c r="DM427" s="72"/>
      <c r="DN427" s="72"/>
      <c r="DO427" s="72"/>
      <c r="DP427" s="72"/>
      <c r="DQ427" s="72"/>
      <c r="DR427" s="72"/>
      <c r="DS427" s="72"/>
      <c r="DT427" s="72"/>
      <c r="DU427" s="72"/>
      <c r="DV427" s="72"/>
      <c r="DW427" s="72"/>
      <c r="DX427" s="72"/>
      <c r="DY427" s="72"/>
      <c r="DZ427" s="72"/>
      <c r="EA427" s="72"/>
      <c r="EB427" s="72"/>
      <c r="EC427" s="72"/>
      <c r="ED427" s="72"/>
      <c r="EE427" s="72"/>
      <c r="EF427" s="72"/>
      <c r="EG427" s="72"/>
      <c r="EH427" s="72"/>
      <c r="EI427" s="72"/>
      <c r="EJ427" s="72"/>
      <c r="EK427" s="72"/>
      <c r="EL427" s="72"/>
      <c r="EM427" s="72"/>
      <c r="EN427" s="72"/>
      <c r="EO427" s="72"/>
      <c r="EP427" s="72"/>
      <c r="EQ427" s="72"/>
      <c r="ER427" s="72"/>
      <c r="ES427" s="72"/>
      <c r="ET427" s="72"/>
      <c r="EU427" s="72"/>
      <c r="EV427" s="72"/>
      <c r="EW427" s="72"/>
      <c r="EX427" s="72"/>
      <c r="EY427" s="72"/>
      <c r="EZ427" s="72"/>
      <c r="FA427" s="72"/>
      <c r="FB427" s="72"/>
      <c r="FC427" s="72"/>
      <c r="FD427" s="72"/>
    </row>
    <row r="428" spans="1:160">
      <c r="A428" s="145"/>
      <c r="B428" s="145"/>
      <c r="C428" s="145"/>
      <c r="D428" s="145"/>
      <c r="E428" s="146"/>
      <c r="F428" s="145"/>
      <c r="G428" s="145"/>
      <c r="H428" s="145"/>
      <c r="I428" s="317"/>
      <c r="J428" s="145"/>
      <c r="K428" s="145"/>
      <c r="L428" s="72"/>
      <c r="M428" s="318"/>
      <c r="N428" s="146"/>
      <c r="O428" s="72"/>
      <c r="P428" s="72"/>
      <c r="Q428" s="145"/>
      <c r="R428" s="145"/>
      <c r="S428" s="145"/>
      <c r="T428" s="145"/>
      <c r="U428" s="145"/>
      <c r="V428" s="145"/>
      <c r="W428" s="145"/>
      <c r="X428" s="145"/>
      <c r="Y428" s="145"/>
      <c r="Z428" s="145"/>
      <c r="AA428" s="150"/>
      <c r="AB428" s="151"/>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0"/>
      <c r="AY428" s="150"/>
      <c r="AZ428" s="150"/>
      <c r="BA428" s="150"/>
      <c r="BB428" s="150"/>
      <c r="BC428" s="150"/>
      <c r="BD428" s="150"/>
      <c r="BE428" s="150"/>
      <c r="BF428" s="150"/>
      <c r="BG428" s="150"/>
      <c r="BH428" s="150"/>
      <c r="BI428" s="150"/>
      <c r="BJ428" s="150"/>
      <c r="BK428" s="150"/>
      <c r="BL428" s="150"/>
      <c r="BM428" s="150"/>
      <c r="BN428" s="72"/>
      <c r="BO428" s="72"/>
      <c r="BP428" s="72"/>
      <c r="BQ428" s="72"/>
      <c r="BR428" s="72"/>
      <c r="BS428" s="72"/>
      <c r="BT428" s="72"/>
      <c r="BU428" s="72"/>
      <c r="BV428" s="72"/>
      <c r="BW428" s="72"/>
      <c r="BX428" s="72"/>
      <c r="BY428" s="72"/>
      <c r="BZ428" s="72"/>
      <c r="CA428" s="72"/>
      <c r="CB428" s="72"/>
      <c r="CC428" s="72"/>
      <c r="CD428" s="72"/>
      <c r="CE428" s="72"/>
      <c r="CF428" s="72"/>
      <c r="CG428" s="72"/>
      <c r="CH428" s="72"/>
      <c r="CI428" s="72"/>
      <c r="CJ428" s="72"/>
      <c r="CK428" s="72"/>
      <c r="CL428" s="72"/>
      <c r="CM428" s="72"/>
      <c r="CN428" s="72"/>
      <c r="CO428" s="72"/>
      <c r="CP428" s="72"/>
      <c r="CQ428" s="72"/>
      <c r="CR428" s="72"/>
      <c r="CS428" s="72"/>
      <c r="CT428" s="150"/>
      <c r="CU428" s="152"/>
      <c r="CV428" s="72"/>
      <c r="CW428" s="72"/>
      <c r="CX428" s="72"/>
      <c r="CY428" s="72"/>
      <c r="CZ428" s="72"/>
      <c r="DA428" s="72"/>
      <c r="DB428" s="72"/>
      <c r="DC428" s="72"/>
      <c r="DD428" s="72"/>
      <c r="DE428" s="72"/>
      <c r="DF428" s="72"/>
      <c r="DG428" s="72"/>
      <c r="DH428" s="72"/>
      <c r="DI428" s="72"/>
      <c r="DJ428" s="72"/>
      <c r="DK428" s="72"/>
      <c r="DL428" s="72"/>
      <c r="DM428" s="72"/>
      <c r="DN428" s="72"/>
      <c r="DO428" s="72"/>
      <c r="DP428" s="72"/>
      <c r="DQ428" s="72"/>
      <c r="DR428" s="72"/>
      <c r="DS428" s="72"/>
      <c r="DT428" s="72"/>
      <c r="DU428" s="72"/>
      <c r="DV428" s="72"/>
      <c r="DW428" s="72"/>
      <c r="DX428" s="72"/>
      <c r="DY428" s="72"/>
      <c r="DZ428" s="72"/>
      <c r="EA428" s="72"/>
      <c r="EB428" s="72"/>
      <c r="EC428" s="72"/>
      <c r="ED428" s="72"/>
      <c r="EE428" s="72"/>
      <c r="EF428" s="72"/>
      <c r="EG428" s="72"/>
      <c r="EH428" s="72"/>
      <c r="EI428" s="72"/>
      <c r="EJ428" s="72"/>
      <c r="EK428" s="72"/>
      <c r="EL428" s="72"/>
      <c r="EM428" s="72"/>
      <c r="EN428" s="72"/>
      <c r="EO428" s="72"/>
      <c r="EP428" s="72"/>
      <c r="EQ428" s="72"/>
      <c r="ER428" s="72"/>
      <c r="ES428" s="72"/>
      <c r="ET428" s="72"/>
      <c r="EU428" s="72"/>
      <c r="EV428" s="72"/>
      <c r="EW428" s="72"/>
      <c r="EX428" s="72"/>
      <c r="EY428" s="72"/>
      <c r="EZ428" s="72"/>
      <c r="FA428" s="72"/>
      <c r="FB428" s="72"/>
      <c r="FC428" s="72"/>
      <c r="FD428" s="72"/>
    </row>
    <row r="429" spans="1:160">
      <c r="A429" s="145"/>
      <c r="B429" s="145"/>
      <c r="C429" s="145"/>
      <c r="D429" s="145"/>
      <c r="E429" s="146"/>
      <c r="F429" s="145"/>
      <c r="G429" s="145"/>
      <c r="H429" s="145"/>
      <c r="I429" s="317"/>
      <c r="J429" s="145"/>
      <c r="K429" s="145"/>
      <c r="L429" s="72"/>
      <c r="M429" s="318"/>
      <c r="N429" s="146"/>
      <c r="O429" s="72"/>
      <c r="P429" s="72"/>
      <c r="Q429" s="145"/>
      <c r="R429" s="145"/>
      <c r="S429" s="145"/>
      <c r="T429" s="145"/>
      <c r="U429" s="145"/>
      <c r="V429" s="145"/>
      <c r="W429" s="145"/>
      <c r="X429" s="145"/>
      <c r="Y429" s="145"/>
      <c r="Z429" s="145"/>
      <c r="AA429" s="150"/>
      <c r="AB429" s="151"/>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0"/>
      <c r="AY429" s="150"/>
      <c r="AZ429" s="150"/>
      <c r="BA429" s="150"/>
      <c r="BB429" s="150"/>
      <c r="BC429" s="150"/>
      <c r="BD429" s="150"/>
      <c r="BE429" s="150"/>
      <c r="BF429" s="150"/>
      <c r="BG429" s="150"/>
      <c r="BH429" s="150"/>
      <c r="BI429" s="150"/>
      <c r="BJ429" s="150"/>
      <c r="BK429" s="150"/>
      <c r="BL429" s="150"/>
      <c r="BM429" s="150"/>
      <c r="BN429" s="72"/>
      <c r="BO429" s="72"/>
      <c r="BP429" s="72"/>
      <c r="BQ429" s="72"/>
      <c r="BR429" s="72"/>
      <c r="BS429" s="72"/>
      <c r="BT429" s="72"/>
      <c r="BU429" s="72"/>
      <c r="BV429" s="72"/>
      <c r="BW429" s="72"/>
      <c r="BX429" s="72"/>
      <c r="BY429" s="72"/>
      <c r="BZ429" s="72"/>
      <c r="CA429" s="72"/>
      <c r="CB429" s="72"/>
      <c r="CC429" s="72"/>
      <c r="CD429" s="72"/>
      <c r="CE429" s="72"/>
      <c r="CF429" s="72"/>
      <c r="CG429" s="72"/>
      <c r="CH429" s="72"/>
      <c r="CI429" s="72"/>
      <c r="CJ429" s="72"/>
      <c r="CK429" s="72"/>
      <c r="CL429" s="72"/>
      <c r="CM429" s="72"/>
      <c r="CN429" s="72"/>
      <c r="CO429" s="72"/>
      <c r="CP429" s="72"/>
      <c r="CQ429" s="72"/>
      <c r="CR429" s="72"/>
      <c r="CS429" s="72"/>
      <c r="CT429" s="150"/>
      <c r="CU429" s="152"/>
      <c r="CV429" s="72"/>
      <c r="CW429" s="72"/>
      <c r="CX429" s="72"/>
      <c r="CY429" s="72"/>
      <c r="CZ429" s="72"/>
      <c r="DA429" s="72"/>
      <c r="DB429" s="72"/>
      <c r="DC429" s="72"/>
      <c r="DD429" s="72"/>
      <c r="DE429" s="72"/>
      <c r="DF429" s="72"/>
      <c r="DG429" s="72"/>
      <c r="DH429" s="72"/>
      <c r="DI429" s="72"/>
      <c r="DJ429" s="72"/>
      <c r="DK429" s="72"/>
      <c r="DL429" s="72"/>
      <c r="DM429" s="72"/>
      <c r="DN429" s="72"/>
      <c r="DO429" s="72"/>
      <c r="DP429" s="72"/>
      <c r="DQ429" s="72"/>
      <c r="DR429" s="72"/>
      <c r="DS429" s="72"/>
      <c r="DT429" s="72"/>
      <c r="DU429" s="72"/>
      <c r="DV429" s="72"/>
      <c r="DW429" s="72"/>
      <c r="DX429" s="72"/>
      <c r="DY429" s="72"/>
      <c r="DZ429" s="72"/>
      <c r="EA429" s="72"/>
      <c r="EB429" s="72"/>
      <c r="EC429" s="72"/>
      <c r="ED429" s="72"/>
      <c r="EE429" s="72"/>
      <c r="EF429" s="72"/>
      <c r="EG429" s="72"/>
      <c r="EH429" s="72"/>
      <c r="EI429" s="72"/>
      <c r="EJ429" s="72"/>
      <c r="EK429" s="72"/>
      <c r="EL429" s="72"/>
      <c r="EM429" s="72"/>
      <c r="EN429" s="72"/>
      <c r="EO429" s="72"/>
      <c r="EP429" s="72"/>
      <c r="EQ429" s="72"/>
      <c r="ER429" s="72"/>
      <c r="ES429" s="72"/>
      <c r="ET429" s="72"/>
      <c r="EU429" s="72"/>
      <c r="EV429" s="72"/>
      <c r="EW429" s="72"/>
      <c r="EX429" s="72"/>
      <c r="EY429" s="72"/>
      <c r="EZ429" s="72"/>
      <c r="FA429" s="72"/>
      <c r="FB429" s="72"/>
      <c r="FC429" s="72"/>
      <c r="FD429" s="72"/>
    </row>
    <row r="430" spans="1:160">
      <c r="A430" s="145"/>
      <c r="B430" s="145"/>
      <c r="C430" s="145"/>
      <c r="D430" s="145"/>
      <c r="E430" s="146"/>
      <c r="F430" s="145"/>
      <c r="G430" s="145"/>
      <c r="H430" s="145"/>
      <c r="I430" s="317"/>
      <c r="J430" s="145"/>
      <c r="K430" s="145"/>
      <c r="L430" s="72"/>
      <c r="M430" s="318"/>
      <c r="N430" s="146"/>
      <c r="O430" s="72"/>
      <c r="P430" s="72"/>
      <c r="Q430" s="145"/>
      <c r="R430" s="145"/>
      <c r="S430" s="145"/>
      <c r="T430" s="145"/>
      <c r="U430" s="145"/>
      <c r="V430" s="145"/>
      <c r="W430" s="145"/>
      <c r="X430" s="145"/>
      <c r="Y430" s="145"/>
      <c r="Z430" s="145"/>
      <c r="AA430" s="150"/>
      <c r="AB430" s="151"/>
      <c r="AC430" s="150"/>
      <c r="AD430" s="150"/>
      <c r="AE430" s="150"/>
      <c r="AF430" s="150"/>
      <c r="AG430" s="150"/>
      <c r="AH430" s="150"/>
      <c r="AI430" s="150"/>
      <c r="AJ430" s="150"/>
      <c r="AK430" s="150"/>
      <c r="AL430" s="150"/>
      <c r="AM430" s="150"/>
      <c r="AN430" s="150"/>
      <c r="AO430" s="150"/>
      <c r="AP430" s="150"/>
      <c r="AQ430" s="150"/>
      <c r="AR430" s="150"/>
      <c r="AS430" s="150"/>
      <c r="AT430" s="150"/>
      <c r="AU430" s="150"/>
      <c r="AV430" s="150"/>
      <c r="AW430" s="150"/>
      <c r="AX430" s="150"/>
      <c r="AY430" s="150"/>
      <c r="AZ430" s="150"/>
      <c r="BA430" s="150"/>
      <c r="BB430" s="150"/>
      <c r="BC430" s="150"/>
      <c r="BD430" s="150"/>
      <c r="BE430" s="150"/>
      <c r="BF430" s="150"/>
      <c r="BG430" s="150"/>
      <c r="BH430" s="150"/>
      <c r="BI430" s="150"/>
      <c r="BJ430" s="150"/>
      <c r="BK430" s="150"/>
      <c r="BL430" s="150"/>
      <c r="BM430" s="150"/>
      <c r="BN430" s="72"/>
      <c r="BO430" s="72"/>
      <c r="BP430" s="72"/>
      <c r="BQ430" s="72"/>
      <c r="BR430" s="72"/>
      <c r="BS430" s="72"/>
      <c r="BT430" s="72"/>
      <c r="BU430" s="72"/>
      <c r="BV430" s="72"/>
      <c r="BW430" s="72"/>
      <c r="BX430" s="72"/>
      <c r="BY430" s="72"/>
      <c r="BZ430" s="72"/>
      <c r="CA430" s="72"/>
      <c r="CB430" s="72"/>
      <c r="CC430" s="72"/>
      <c r="CD430" s="72"/>
      <c r="CE430" s="72"/>
      <c r="CF430" s="72"/>
      <c r="CG430" s="72"/>
      <c r="CH430" s="72"/>
      <c r="CI430" s="72"/>
      <c r="CJ430" s="72"/>
      <c r="CK430" s="72"/>
      <c r="CL430" s="72"/>
      <c r="CM430" s="72"/>
      <c r="CN430" s="72"/>
      <c r="CO430" s="72"/>
      <c r="CP430" s="72"/>
      <c r="CQ430" s="72"/>
      <c r="CR430" s="72"/>
      <c r="CS430" s="72"/>
      <c r="CT430" s="150"/>
      <c r="CU430" s="152"/>
      <c r="CV430" s="72"/>
      <c r="CW430" s="72"/>
      <c r="CX430" s="72"/>
      <c r="CY430" s="72"/>
      <c r="CZ430" s="72"/>
      <c r="DA430" s="72"/>
      <c r="DB430" s="72"/>
      <c r="DC430" s="72"/>
      <c r="DD430" s="72"/>
      <c r="DE430" s="72"/>
      <c r="DF430" s="72"/>
      <c r="DG430" s="72"/>
      <c r="DH430" s="72"/>
      <c r="DI430" s="72"/>
      <c r="DJ430" s="72"/>
      <c r="DK430" s="72"/>
      <c r="DL430" s="72"/>
      <c r="DM430" s="72"/>
      <c r="DN430" s="72"/>
      <c r="DO430" s="72"/>
      <c r="DP430" s="72"/>
      <c r="DQ430" s="72"/>
      <c r="DR430" s="72"/>
      <c r="DS430" s="72"/>
      <c r="DT430" s="72"/>
      <c r="DU430" s="72"/>
      <c r="DV430" s="72"/>
      <c r="DW430" s="72"/>
      <c r="DX430" s="72"/>
      <c r="DY430" s="72"/>
      <c r="DZ430" s="72"/>
      <c r="EA430" s="72"/>
      <c r="EB430" s="72"/>
      <c r="EC430" s="72"/>
      <c r="ED430" s="72"/>
      <c r="EE430" s="72"/>
      <c r="EF430" s="72"/>
      <c r="EG430" s="72"/>
      <c r="EH430" s="72"/>
      <c r="EI430" s="72"/>
      <c r="EJ430" s="72"/>
      <c r="EK430" s="72"/>
      <c r="EL430" s="72"/>
      <c r="EM430" s="72"/>
      <c r="EN430" s="72"/>
      <c r="EO430" s="72"/>
      <c r="EP430" s="72"/>
      <c r="EQ430" s="72"/>
      <c r="ER430" s="72"/>
      <c r="ES430" s="72"/>
      <c r="ET430" s="72"/>
      <c r="EU430" s="72"/>
      <c r="EV430" s="72"/>
      <c r="EW430" s="72"/>
      <c r="EX430" s="72"/>
      <c r="EY430" s="72"/>
      <c r="EZ430" s="72"/>
      <c r="FA430" s="72"/>
      <c r="FB430" s="72"/>
      <c r="FC430" s="72"/>
      <c r="FD430" s="72"/>
    </row>
    <row r="431" spans="1:160">
      <c r="A431" s="145"/>
      <c r="B431" s="145"/>
      <c r="C431" s="145"/>
      <c r="D431" s="145"/>
      <c r="E431" s="146"/>
      <c r="F431" s="145"/>
      <c r="G431" s="145"/>
      <c r="H431" s="145"/>
      <c r="I431" s="317"/>
      <c r="J431" s="145"/>
      <c r="K431" s="145"/>
      <c r="L431" s="72"/>
      <c r="M431" s="318"/>
      <c r="N431" s="146"/>
      <c r="O431" s="72"/>
      <c r="P431" s="72"/>
      <c r="Q431" s="145"/>
      <c r="R431" s="145"/>
      <c r="S431" s="145"/>
      <c r="T431" s="145"/>
      <c r="U431" s="145"/>
      <c r="V431" s="145"/>
      <c r="W431" s="145"/>
      <c r="X431" s="145"/>
      <c r="Y431" s="145"/>
      <c r="Z431" s="145"/>
      <c r="AA431" s="150"/>
      <c r="AB431" s="151"/>
      <c r="AC431" s="150"/>
      <c r="AD431" s="150"/>
      <c r="AE431" s="150"/>
      <c r="AF431" s="150"/>
      <c r="AG431" s="150"/>
      <c r="AH431" s="150"/>
      <c r="AI431" s="150"/>
      <c r="AJ431" s="150"/>
      <c r="AK431" s="150"/>
      <c r="AL431" s="150"/>
      <c r="AM431" s="150"/>
      <c r="AN431" s="150"/>
      <c r="AO431" s="150"/>
      <c r="AP431" s="150"/>
      <c r="AQ431" s="150"/>
      <c r="AR431" s="150"/>
      <c r="AS431" s="150"/>
      <c r="AT431" s="150"/>
      <c r="AU431" s="150"/>
      <c r="AV431" s="150"/>
      <c r="AW431" s="150"/>
      <c r="AX431" s="150"/>
      <c r="AY431" s="150"/>
      <c r="AZ431" s="150"/>
      <c r="BA431" s="150"/>
      <c r="BB431" s="150"/>
      <c r="BC431" s="150"/>
      <c r="BD431" s="150"/>
      <c r="BE431" s="150"/>
      <c r="BF431" s="150"/>
      <c r="BG431" s="150"/>
      <c r="BH431" s="150"/>
      <c r="BI431" s="150"/>
      <c r="BJ431" s="150"/>
      <c r="BK431" s="150"/>
      <c r="BL431" s="150"/>
      <c r="BM431" s="150"/>
      <c r="BN431" s="72"/>
      <c r="BO431" s="72"/>
      <c r="BP431" s="72"/>
      <c r="BQ431" s="72"/>
      <c r="BR431" s="72"/>
      <c r="BS431" s="72"/>
      <c r="BT431" s="72"/>
      <c r="BU431" s="72"/>
      <c r="BV431" s="72"/>
      <c r="BW431" s="72"/>
      <c r="BX431" s="72"/>
      <c r="BY431" s="72"/>
      <c r="BZ431" s="72"/>
      <c r="CA431" s="72"/>
      <c r="CB431" s="72"/>
      <c r="CC431" s="72"/>
      <c r="CD431" s="72"/>
      <c r="CE431" s="72"/>
      <c r="CF431" s="72"/>
      <c r="CG431" s="72"/>
      <c r="CH431" s="72"/>
      <c r="CI431" s="72"/>
      <c r="CJ431" s="72"/>
      <c r="CK431" s="72"/>
      <c r="CL431" s="72"/>
      <c r="CM431" s="72"/>
      <c r="CN431" s="72"/>
      <c r="CO431" s="72"/>
      <c r="CP431" s="72"/>
      <c r="CQ431" s="72"/>
      <c r="CR431" s="72"/>
      <c r="CS431" s="72"/>
      <c r="CT431" s="150"/>
      <c r="CU431" s="152"/>
      <c r="CV431" s="72"/>
      <c r="CW431" s="72"/>
      <c r="CX431" s="72"/>
      <c r="CY431" s="72"/>
      <c r="CZ431" s="72"/>
      <c r="DA431" s="72"/>
      <c r="DB431" s="72"/>
      <c r="DC431" s="72"/>
      <c r="DD431" s="72"/>
      <c r="DE431" s="72"/>
      <c r="DF431" s="72"/>
      <c r="DG431" s="72"/>
      <c r="DH431" s="72"/>
      <c r="DI431" s="72"/>
      <c r="DJ431" s="72"/>
      <c r="DK431" s="72"/>
      <c r="DL431" s="72"/>
      <c r="DM431" s="72"/>
      <c r="DN431" s="72"/>
      <c r="DO431" s="72"/>
      <c r="DP431" s="72"/>
      <c r="DQ431" s="72"/>
      <c r="DR431" s="72"/>
      <c r="DS431" s="72"/>
      <c r="DT431" s="72"/>
      <c r="DU431" s="72"/>
      <c r="DV431" s="72"/>
      <c r="DW431" s="72"/>
      <c r="DX431" s="72"/>
      <c r="DY431" s="72"/>
      <c r="DZ431" s="72"/>
      <c r="EA431" s="72"/>
      <c r="EB431" s="72"/>
      <c r="EC431" s="72"/>
      <c r="ED431" s="72"/>
      <c r="EE431" s="72"/>
      <c r="EF431" s="72"/>
      <c r="EG431" s="72"/>
      <c r="EH431" s="72"/>
      <c r="EI431" s="72"/>
      <c r="EJ431" s="72"/>
      <c r="EK431" s="72"/>
      <c r="EL431" s="72"/>
      <c r="EM431" s="72"/>
      <c r="EN431" s="72"/>
      <c r="EO431" s="72"/>
      <c r="EP431" s="72"/>
      <c r="EQ431" s="72"/>
      <c r="ER431" s="72"/>
      <c r="ES431" s="72"/>
      <c r="ET431" s="72"/>
      <c r="EU431" s="72"/>
      <c r="EV431" s="72"/>
      <c r="EW431" s="72"/>
      <c r="EX431" s="72"/>
      <c r="EY431" s="72"/>
      <c r="EZ431" s="72"/>
      <c r="FA431" s="72"/>
      <c r="FB431" s="72"/>
      <c r="FC431" s="72"/>
      <c r="FD431" s="72"/>
    </row>
    <row r="432" spans="1:160">
      <c r="A432" s="145"/>
      <c r="B432" s="145"/>
      <c r="C432" s="145"/>
      <c r="D432" s="145"/>
      <c r="E432" s="146"/>
      <c r="F432" s="145"/>
      <c r="G432" s="145"/>
      <c r="H432" s="145"/>
      <c r="I432" s="317"/>
      <c r="J432" s="145"/>
      <c r="K432" s="145"/>
      <c r="L432" s="72"/>
      <c r="M432" s="318"/>
      <c r="N432" s="146"/>
      <c r="O432" s="72"/>
      <c r="P432" s="72"/>
      <c r="Q432" s="145"/>
      <c r="R432" s="145"/>
      <c r="S432" s="145"/>
      <c r="T432" s="145"/>
      <c r="U432" s="145"/>
      <c r="V432" s="145"/>
      <c r="W432" s="145"/>
      <c r="X432" s="145"/>
      <c r="Y432" s="145"/>
      <c r="Z432" s="145"/>
      <c r="AA432" s="150"/>
      <c r="AB432" s="151"/>
      <c r="AC432" s="150"/>
      <c r="AD432" s="150"/>
      <c r="AE432" s="150"/>
      <c r="AF432" s="150"/>
      <c r="AG432" s="150"/>
      <c r="AH432" s="150"/>
      <c r="AI432" s="150"/>
      <c r="AJ432" s="150"/>
      <c r="AK432" s="150"/>
      <c r="AL432" s="150"/>
      <c r="AM432" s="150"/>
      <c r="AN432" s="150"/>
      <c r="AO432" s="150"/>
      <c r="AP432" s="150"/>
      <c r="AQ432" s="150"/>
      <c r="AR432" s="150"/>
      <c r="AS432" s="150"/>
      <c r="AT432" s="150"/>
      <c r="AU432" s="150"/>
      <c r="AV432" s="150"/>
      <c r="AW432" s="150"/>
      <c r="AX432" s="150"/>
      <c r="AY432" s="150"/>
      <c r="AZ432" s="150"/>
      <c r="BA432" s="150"/>
      <c r="BB432" s="150"/>
      <c r="BC432" s="150"/>
      <c r="BD432" s="150"/>
      <c r="BE432" s="150"/>
      <c r="BF432" s="150"/>
      <c r="BG432" s="150"/>
      <c r="BH432" s="150"/>
      <c r="BI432" s="150"/>
      <c r="BJ432" s="150"/>
      <c r="BK432" s="150"/>
      <c r="BL432" s="150"/>
      <c r="BM432" s="150"/>
      <c r="BN432" s="72"/>
      <c r="BO432" s="72"/>
      <c r="BP432" s="72"/>
      <c r="BQ432" s="72"/>
      <c r="BR432" s="72"/>
      <c r="BS432" s="72"/>
      <c r="BT432" s="72"/>
      <c r="BU432" s="72"/>
      <c r="BV432" s="72"/>
      <c r="BW432" s="72"/>
      <c r="BX432" s="72"/>
      <c r="BY432" s="72"/>
      <c r="BZ432" s="72"/>
      <c r="CA432" s="72"/>
      <c r="CB432" s="72"/>
      <c r="CC432" s="72"/>
      <c r="CD432" s="72"/>
      <c r="CE432" s="72"/>
      <c r="CF432" s="72"/>
      <c r="CG432" s="72"/>
      <c r="CH432" s="72"/>
      <c r="CI432" s="72"/>
      <c r="CJ432" s="72"/>
      <c r="CK432" s="72"/>
      <c r="CL432" s="72"/>
      <c r="CM432" s="72"/>
      <c r="CN432" s="72"/>
      <c r="CO432" s="72"/>
      <c r="CP432" s="72"/>
      <c r="CQ432" s="72"/>
      <c r="CR432" s="72"/>
      <c r="CS432" s="72"/>
      <c r="CT432" s="150"/>
      <c r="CU432" s="152"/>
      <c r="CV432" s="72"/>
      <c r="CW432" s="72"/>
      <c r="CX432" s="72"/>
      <c r="CY432" s="72"/>
      <c r="CZ432" s="72"/>
      <c r="DA432" s="72"/>
      <c r="DB432" s="72"/>
      <c r="DC432" s="72"/>
      <c r="DD432" s="72"/>
      <c r="DE432" s="72"/>
      <c r="DF432" s="72"/>
      <c r="DG432" s="72"/>
      <c r="DH432" s="72"/>
      <c r="DI432" s="72"/>
      <c r="DJ432" s="72"/>
      <c r="DK432" s="72"/>
      <c r="DL432" s="72"/>
      <c r="DM432" s="72"/>
      <c r="DN432" s="72"/>
      <c r="DO432" s="72"/>
      <c r="DP432" s="72"/>
      <c r="DQ432" s="72"/>
      <c r="DR432" s="72"/>
      <c r="DS432" s="72"/>
      <c r="DT432" s="72"/>
      <c r="DU432" s="72"/>
      <c r="DV432" s="72"/>
      <c r="DW432" s="72"/>
      <c r="DX432" s="72"/>
      <c r="DY432" s="72"/>
      <c r="DZ432" s="72"/>
      <c r="EA432" s="72"/>
      <c r="EB432" s="72"/>
      <c r="EC432" s="72"/>
      <c r="ED432" s="72"/>
      <c r="EE432" s="72"/>
      <c r="EF432" s="72"/>
      <c r="EG432" s="72"/>
      <c r="EH432" s="72"/>
      <c r="EI432" s="72"/>
      <c r="EJ432" s="72"/>
      <c r="EK432" s="72"/>
      <c r="EL432" s="72"/>
      <c r="EM432" s="72"/>
      <c r="EN432" s="72"/>
      <c r="EO432" s="72"/>
      <c r="EP432" s="72"/>
      <c r="EQ432" s="72"/>
      <c r="ER432" s="72"/>
      <c r="ES432" s="72"/>
      <c r="ET432" s="72"/>
      <c r="EU432" s="72"/>
      <c r="EV432" s="72"/>
      <c r="EW432" s="72"/>
      <c r="EX432" s="72"/>
      <c r="EY432" s="72"/>
      <c r="EZ432" s="72"/>
      <c r="FA432" s="72"/>
      <c r="FB432" s="72"/>
      <c r="FC432" s="72"/>
      <c r="FD432" s="72"/>
    </row>
    <row r="433" spans="1:160">
      <c r="A433" s="145"/>
      <c r="B433" s="145"/>
      <c r="C433" s="145"/>
      <c r="D433" s="145"/>
      <c r="E433" s="146"/>
      <c r="F433" s="145"/>
      <c r="G433" s="145"/>
      <c r="H433" s="145"/>
      <c r="I433" s="317"/>
      <c r="J433" s="145"/>
      <c r="K433" s="145"/>
      <c r="L433" s="72"/>
      <c r="M433" s="318"/>
      <c r="N433" s="146"/>
      <c r="O433" s="72"/>
      <c r="P433" s="72"/>
      <c r="Q433" s="145"/>
      <c r="R433" s="145"/>
      <c r="S433" s="145"/>
      <c r="T433" s="145"/>
      <c r="U433" s="145"/>
      <c r="V433" s="145"/>
      <c r="W433" s="145"/>
      <c r="X433" s="145"/>
      <c r="Y433" s="145"/>
      <c r="Z433" s="145"/>
      <c r="AA433" s="150"/>
      <c r="AB433" s="151"/>
      <c r="AC433" s="150"/>
      <c r="AD433" s="150"/>
      <c r="AE433" s="150"/>
      <c r="AF433" s="150"/>
      <c r="AG433" s="150"/>
      <c r="AH433" s="150"/>
      <c r="AI433" s="150"/>
      <c r="AJ433" s="150"/>
      <c r="AK433" s="150"/>
      <c r="AL433" s="150"/>
      <c r="AM433" s="150"/>
      <c r="AN433" s="150"/>
      <c r="AO433" s="150"/>
      <c r="AP433" s="150"/>
      <c r="AQ433" s="150"/>
      <c r="AR433" s="150"/>
      <c r="AS433" s="150"/>
      <c r="AT433" s="150"/>
      <c r="AU433" s="150"/>
      <c r="AV433" s="150"/>
      <c r="AW433" s="150"/>
      <c r="AX433" s="150"/>
      <c r="AY433" s="150"/>
      <c r="AZ433" s="150"/>
      <c r="BA433" s="150"/>
      <c r="BB433" s="150"/>
      <c r="BC433" s="150"/>
      <c r="BD433" s="150"/>
      <c r="BE433" s="150"/>
      <c r="BF433" s="150"/>
      <c r="BG433" s="150"/>
      <c r="BH433" s="150"/>
      <c r="BI433" s="150"/>
      <c r="BJ433" s="150"/>
      <c r="BK433" s="150"/>
      <c r="BL433" s="150"/>
      <c r="BM433" s="150"/>
      <c r="BN433" s="72"/>
      <c r="BO433" s="72"/>
      <c r="BP433" s="72"/>
      <c r="BQ433" s="72"/>
      <c r="BR433" s="72"/>
      <c r="BS433" s="72"/>
      <c r="BT433" s="72"/>
      <c r="BU433" s="72"/>
      <c r="BV433" s="72"/>
      <c r="BW433" s="72"/>
      <c r="BX433" s="72"/>
      <c r="BY433" s="72"/>
      <c r="BZ433" s="72"/>
      <c r="CA433" s="72"/>
      <c r="CB433" s="72"/>
      <c r="CC433" s="72"/>
      <c r="CD433" s="72"/>
      <c r="CE433" s="72"/>
      <c r="CF433" s="72"/>
      <c r="CG433" s="72"/>
      <c r="CH433" s="72"/>
      <c r="CI433" s="72"/>
      <c r="CJ433" s="72"/>
      <c r="CK433" s="72"/>
      <c r="CL433" s="72"/>
      <c r="CM433" s="72"/>
      <c r="CN433" s="72"/>
      <c r="CO433" s="72"/>
      <c r="CP433" s="72"/>
      <c r="CQ433" s="72"/>
      <c r="CR433" s="72"/>
      <c r="CS433" s="72"/>
      <c r="CT433" s="150"/>
      <c r="CU433" s="152"/>
      <c r="CV433" s="72"/>
      <c r="CW433" s="72"/>
      <c r="CX433" s="72"/>
      <c r="CY433" s="72"/>
      <c r="CZ433" s="72"/>
      <c r="DA433" s="72"/>
      <c r="DB433" s="72"/>
      <c r="DC433" s="72"/>
      <c r="DD433" s="72"/>
      <c r="DE433" s="72"/>
      <c r="DF433" s="72"/>
      <c r="DG433" s="72"/>
      <c r="DH433" s="72"/>
      <c r="DI433" s="72"/>
      <c r="DJ433" s="72"/>
      <c r="DK433" s="72"/>
      <c r="DL433" s="72"/>
      <c r="DM433" s="72"/>
      <c r="DN433" s="72"/>
      <c r="DO433" s="72"/>
      <c r="DP433" s="72"/>
      <c r="DQ433" s="72"/>
      <c r="DR433" s="72"/>
      <c r="DS433" s="72"/>
      <c r="DT433" s="72"/>
      <c r="DU433" s="72"/>
      <c r="DV433" s="72"/>
      <c r="DW433" s="72"/>
      <c r="DX433" s="72"/>
      <c r="DY433" s="72"/>
      <c r="DZ433" s="72"/>
      <c r="EA433" s="72"/>
      <c r="EB433" s="72"/>
      <c r="EC433" s="72"/>
      <c r="ED433" s="72"/>
      <c r="EE433" s="72"/>
      <c r="EF433" s="72"/>
      <c r="EG433" s="72"/>
      <c r="EH433" s="72"/>
      <c r="EI433" s="72"/>
      <c r="EJ433" s="72"/>
      <c r="EK433" s="72"/>
      <c r="EL433" s="72"/>
      <c r="EM433" s="72"/>
      <c r="EN433" s="72"/>
      <c r="EO433" s="72"/>
      <c r="EP433" s="72"/>
      <c r="EQ433" s="72"/>
      <c r="ER433" s="72"/>
      <c r="ES433" s="72"/>
      <c r="ET433" s="72"/>
      <c r="EU433" s="72"/>
      <c r="EV433" s="72"/>
      <c r="EW433" s="72"/>
      <c r="EX433" s="72"/>
      <c r="EY433" s="72"/>
      <c r="EZ433" s="72"/>
      <c r="FA433" s="72"/>
      <c r="FB433" s="72"/>
      <c r="FC433" s="72"/>
      <c r="FD433" s="72"/>
    </row>
    <row r="434" spans="1:160">
      <c r="A434" s="145"/>
      <c r="B434" s="145"/>
      <c r="C434" s="145"/>
      <c r="D434" s="145"/>
      <c r="E434" s="146"/>
      <c r="F434" s="145"/>
      <c r="G434" s="145"/>
      <c r="H434" s="145"/>
      <c r="I434" s="317"/>
      <c r="J434" s="145"/>
      <c r="K434" s="145"/>
      <c r="L434" s="72"/>
      <c r="M434" s="318"/>
      <c r="N434" s="146"/>
      <c r="O434" s="72"/>
      <c r="P434" s="72"/>
      <c r="Q434" s="145"/>
      <c r="R434" s="145"/>
      <c r="S434" s="145"/>
      <c r="T434" s="145"/>
      <c r="U434" s="145"/>
      <c r="V434" s="145"/>
      <c r="W434" s="145"/>
      <c r="X434" s="145"/>
      <c r="Y434" s="145"/>
      <c r="Z434" s="145"/>
      <c r="AA434" s="150"/>
      <c r="AB434" s="151"/>
      <c r="AC434" s="150"/>
      <c r="AD434" s="150"/>
      <c r="AE434" s="150"/>
      <c r="AF434" s="150"/>
      <c r="AG434" s="150"/>
      <c r="AH434" s="150"/>
      <c r="AI434" s="150"/>
      <c r="AJ434" s="150"/>
      <c r="AK434" s="150"/>
      <c r="AL434" s="150"/>
      <c r="AM434" s="150"/>
      <c r="AN434" s="150"/>
      <c r="AO434" s="150"/>
      <c r="AP434" s="150"/>
      <c r="AQ434" s="150"/>
      <c r="AR434" s="150"/>
      <c r="AS434" s="150"/>
      <c r="AT434" s="150"/>
      <c r="AU434" s="150"/>
      <c r="AV434" s="150"/>
      <c r="AW434" s="150"/>
      <c r="AX434" s="150"/>
      <c r="AY434" s="150"/>
      <c r="AZ434" s="150"/>
      <c r="BA434" s="150"/>
      <c r="BB434" s="150"/>
      <c r="BC434" s="150"/>
      <c r="BD434" s="150"/>
      <c r="BE434" s="150"/>
      <c r="BF434" s="150"/>
      <c r="BG434" s="150"/>
      <c r="BH434" s="150"/>
      <c r="BI434" s="150"/>
      <c r="BJ434" s="150"/>
      <c r="BK434" s="150"/>
      <c r="BL434" s="150"/>
      <c r="BM434" s="150"/>
      <c r="BN434" s="72"/>
      <c r="BO434" s="72"/>
      <c r="BP434" s="72"/>
      <c r="BQ434" s="72"/>
      <c r="BR434" s="72"/>
      <c r="BS434" s="72"/>
      <c r="BT434" s="72"/>
      <c r="BU434" s="72"/>
      <c r="BV434" s="72"/>
      <c r="BW434" s="72"/>
      <c r="BX434" s="72"/>
      <c r="BY434" s="72"/>
      <c r="BZ434" s="72"/>
      <c r="CA434" s="72"/>
      <c r="CB434" s="72"/>
      <c r="CC434" s="72"/>
      <c r="CD434" s="72"/>
      <c r="CE434" s="72"/>
      <c r="CF434" s="72"/>
      <c r="CG434" s="72"/>
      <c r="CH434" s="72"/>
      <c r="CI434" s="72"/>
      <c r="CJ434" s="72"/>
      <c r="CK434" s="72"/>
      <c r="CL434" s="72"/>
      <c r="CM434" s="72"/>
      <c r="CN434" s="72"/>
      <c r="CO434" s="72"/>
      <c r="CP434" s="72"/>
      <c r="CQ434" s="72"/>
      <c r="CR434" s="72"/>
      <c r="CS434" s="72"/>
      <c r="CT434" s="150"/>
      <c r="CU434" s="152"/>
      <c r="CV434" s="72"/>
      <c r="CW434" s="72"/>
      <c r="CX434" s="72"/>
      <c r="CY434" s="72"/>
      <c r="CZ434" s="72"/>
      <c r="DA434" s="72"/>
      <c r="DB434" s="72"/>
      <c r="DC434" s="72"/>
      <c r="DD434" s="72"/>
      <c r="DE434" s="72"/>
      <c r="DF434" s="72"/>
      <c r="DG434" s="72"/>
      <c r="DH434" s="72"/>
      <c r="DI434" s="72"/>
      <c r="DJ434" s="72"/>
      <c r="DK434" s="72"/>
      <c r="DL434" s="72"/>
      <c r="DM434" s="72"/>
      <c r="DN434" s="72"/>
      <c r="DO434" s="72"/>
      <c r="DP434" s="72"/>
      <c r="DQ434" s="72"/>
      <c r="DR434" s="72"/>
      <c r="DS434" s="72"/>
      <c r="DT434" s="72"/>
      <c r="DU434" s="72"/>
      <c r="DV434" s="72"/>
      <c r="DW434" s="72"/>
      <c r="DX434" s="72"/>
      <c r="DY434" s="72"/>
      <c r="DZ434" s="72"/>
      <c r="EA434" s="72"/>
      <c r="EB434" s="72"/>
      <c r="EC434" s="72"/>
      <c r="ED434" s="72"/>
      <c r="EE434" s="72"/>
      <c r="EF434" s="72"/>
      <c r="EG434" s="72"/>
      <c r="EH434" s="72"/>
      <c r="EI434" s="72"/>
      <c r="EJ434" s="72"/>
      <c r="EK434" s="72"/>
      <c r="EL434" s="72"/>
      <c r="EM434" s="72"/>
      <c r="EN434" s="72"/>
      <c r="EO434" s="72"/>
      <c r="EP434" s="72"/>
      <c r="EQ434" s="72"/>
      <c r="ER434" s="72"/>
      <c r="ES434" s="72"/>
      <c r="ET434" s="72"/>
      <c r="EU434" s="72"/>
      <c r="EV434" s="72"/>
      <c r="EW434" s="72"/>
      <c r="EX434" s="72"/>
      <c r="EY434" s="72"/>
      <c r="EZ434" s="72"/>
      <c r="FA434" s="72"/>
      <c r="FB434" s="72"/>
      <c r="FC434" s="72"/>
      <c r="FD434" s="72"/>
    </row>
    <row r="435" spans="1:160">
      <c r="A435" s="145"/>
      <c r="B435" s="145"/>
      <c r="C435" s="145"/>
      <c r="D435" s="145"/>
      <c r="E435" s="146"/>
      <c r="F435" s="145"/>
      <c r="G435" s="145"/>
      <c r="H435" s="145"/>
      <c r="I435" s="317"/>
      <c r="J435" s="145"/>
      <c r="K435" s="145"/>
      <c r="L435" s="72"/>
      <c r="M435" s="318"/>
      <c r="N435" s="146"/>
      <c r="O435" s="72"/>
      <c r="P435" s="72"/>
      <c r="Q435" s="145"/>
      <c r="R435" s="145"/>
      <c r="S435" s="145"/>
      <c r="T435" s="145"/>
      <c r="U435" s="145"/>
      <c r="V435" s="145"/>
      <c r="W435" s="145"/>
      <c r="X435" s="145"/>
      <c r="Y435" s="145"/>
      <c r="Z435" s="145"/>
      <c r="AA435" s="150"/>
      <c r="AB435" s="151"/>
      <c r="AC435" s="150"/>
      <c r="AD435" s="150"/>
      <c r="AE435" s="150"/>
      <c r="AF435" s="150"/>
      <c r="AG435" s="150"/>
      <c r="AH435" s="150"/>
      <c r="AI435" s="150"/>
      <c r="AJ435" s="150"/>
      <c r="AK435" s="150"/>
      <c r="AL435" s="150"/>
      <c r="AM435" s="150"/>
      <c r="AN435" s="150"/>
      <c r="AO435" s="150"/>
      <c r="AP435" s="150"/>
      <c r="AQ435" s="150"/>
      <c r="AR435" s="150"/>
      <c r="AS435" s="150"/>
      <c r="AT435" s="150"/>
      <c r="AU435" s="150"/>
      <c r="AV435" s="150"/>
      <c r="AW435" s="150"/>
      <c r="AX435" s="150"/>
      <c r="AY435" s="150"/>
      <c r="AZ435" s="150"/>
      <c r="BA435" s="150"/>
      <c r="BB435" s="150"/>
      <c r="BC435" s="150"/>
      <c r="BD435" s="150"/>
      <c r="BE435" s="150"/>
      <c r="BF435" s="150"/>
      <c r="BG435" s="150"/>
      <c r="BH435" s="150"/>
      <c r="BI435" s="150"/>
      <c r="BJ435" s="150"/>
      <c r="BK435" s="150"/>
      <c r="BL435" s="150"/>
      <c r="BM435" s="150"/>
      <c r="BN435" s="72"/>
      <c r="BO435" s="72"/>
      <c r="BP435" s="72"/>
      <c r="BQ435" s="72"/>
      <c r="BR435" s="72"/>
      <c r="BS435" s="72"/>
      <c r="BT435" s="72"/>
      <c r="BU435" s="72"/>
      <c r="BV435" s="72"/>
      <c r="BW435" s="72"/>
      <c r="BX435" s="72"/>
      <c r="BY435" s="72"/>
      <c r="BZ435" s="72"/>
      <c r="CA435" s="72"/>
      <c r="CB435" s="72"/>
      <c r="CC435" s="72"/>
      <c r="CD435" s="72"/>
      <c r="CE435" s="72"/>
      <c r="CF435" s="72"/>
      <c r="CG435" s="72"/>
      <c r="CH435" s="72"/>
      <c r="CI435" s="72"/>
      <c r="CJ435" s="72"/>
      <c r="CK435" s="72"/>
      <c r="CL435" s="72"/>
      <c r="CM435" s="72"/>
      <c r="CN435" s="72"/>
      <c r="CO435" s="72"/>
      <c r="CP435" s="72"/>
      <c r="CQ435" s="72"/>
      <c r="CR435" s="72"/>
      <c r="CS435" s="72"/>
      <c r="CT435" s="150"/>
      <c r="CU435" s="152"/>
      <c r="CV435" s="72"/>
      <c r="CW435" s="72"/>
      <c r="CX435" s="72"/>
      <c r="CY435" s="72"/>
      <c r="CZ435" s="72"/>
      <c r="DA435" s="72"/>
      <c r="DB435" s="72"/>
      <c r="DC435" s="72"/>
      <c r="DD435" s="72"/>
      <c r="DE435" s="72"/>
      <c r="DF435" s="72"/>
      <c r="DG435" s="72"/>
      <c r="DH435" s="72"/>
      <c r="DI435" s="72"/>
      <c r="DJ435" s="72"/>
      <c r="DK435" s="72"/>
      <c r="DL435" s="72"/>
      <c r="DM435" s="72"/>
      <c r="DN435" s="72"/>
      <c r="DO435" s="72"/>
      <c r="DP435" s="72"/>
      <c r="DQ435" s="72"/>
      <c r="DR435" s="72"/>
      <c r="DS435" s="72"/>
      <c r="DT435" s="72"/>
      <c r="DU435" s="72"/>
      <c r="DV435" s="72"/>
      <c r="DW435" s="72"/>
      <c r="DX435" s="72"/>
      <c r="DY435" s="72"/>
      <c r="DZ435" s="72"/>
      <c r="EA435" s="72"/>
      <c r="EB435" s="72"/>
      <c r="EC435" s="72"/>
      <c r="ED435" s="72"/>
      <c r="EE435" s="72"/>
      <c r="EF435" s="72"/>
      <c r="EG435" s="72"/>
      <c r="EH435" s="72"/>
      <c r="EI435" s="72"/>
      <c r="EJ435" s="72"/>
      <c r="EK435" s="72"/>
      <c r="EL435" s="72"/>
      <c r="EM435" s="72"/>
      <c r="EN435" s="72"/>
      <c r="EO435" s="72"/>
      <c r="EP435" s="72"/>
      <c r="EQ435" s="72"/>
      <c r="ER435" s="72"/>
      <c r="ES435" s="72"/>
      <c r="ET435" s="72"/>
      <c r="EU435" s="72"/>
      <c r="EV435" s="72"/>
      <c r="EW435" s="72"/>
      <c r="EX435" s="72"/>
      <c r="EY435" s="72"/>
      <c r="EZ435" s="72"/>
      <c r="FA435" s="72"/>
      <c r="FB435" s="72"/>
      <c r="FC435" s="72"/>
      <c r="FD435" s="72"/>
    </row>
    <row r="436" spans="1:160">
      <c r="A436" s="145"/>
      <c r="B436" s="145"/>
      <c r="C436" s="145"/>
      <c r="D436" s="145"/>
      <c r="E436" s="146"/>
      <c r="F436" s="145"/>
      <c r="G436" s="145"/>
      <c r="H436" s="145"/>
      <c r="I436" s="317"/>
      <c r="J436" s="145"/>
      <c r="K436" s="145"/>
      <c r="L436" s="72"/>
      <c r="M436" s="318"/>
      <c r="N436" s="146"/>
      <c r="O436" s="72"/>
      <c r="P436" s="72"/>
      <c r="Q436" s="145"/>
      <c r="R436" s="145"/>
      <c r="S436" s="145"/>
      <c r="T436" s="145"/>
      <c r="U436" s="145"/>
      <c r="V436" s="145"/>
      <c r="W436" s="145"/>
      <c r="X436" s="145"/>
      <c r="Y436" s="145"/>
      <c r="Z436" s="145"/>
      <c r="AA436" s="150"/>
      <c r="AB436" s="151"/>
      <c r="AC436" s="150"/>
      <c r="AD436" s="150"/>
      <c r="AE436" s="150"/>
      <c r="AF436" s="150"/>
      <c r="AG436" s="150"/>
      <c r="AH436" s="150"/>
      <c r="AI436" s="150"/>
      <c r="AJ436" s="150"/>
      <c r="AK436" s="150"/>
      <c r="AL436" s="150"/>
      <c r="AM436" s="150"/>
      <c r="AN436" s="150"/>
      <c r="AO436" s="150"/>
      <c r="AP436" s="150"/>
      <c r="AQ436" s="150"/>
      <c r="AR436" s="150"/>
      <c r="AS436" s="150"/>
      <c r="AT436" s="150"/>
      <c r="AU436" s="150"/>
      <c r="AV436" s="150"/>
      <c r="AW436" s="150"/>
      <c r="AX436" s="150"/>
      <c r="AY436" s="150"/>
      <c r="AZ436" s="150"/>
      <c r="BA436" s="150"/>
      <c r="BB436" s="150"/>
      <c r="BC436" s="150"/>
      <c r="BD436" s="150"/>
      <c r="BE436" s="150"/>
      <c r="BF436" s="150"/>
      <c r="BG436" s="150"/>
      <c r="BH436" s="150"/>
      <c r="BI436" s="150"/>
      <c r="BJ436" s="150"/>
      <c r="BK436" s="150"/>
      <c r="BL436" s="150"/>
      <c r="BM436" s="150"/>
      <c r="BN436" s="72"/>
      <c r="BO436" s="72"/>
      <c r="BP436" s="72"/>
      <c r="BQ436" s="72"/>
      <c r="BR436" s="72"/>
      <c r="BS436" s="72"/>
      <c r="BT436" s="72"/>
      <c r="BU436" s="72"/>
      <c r="BV436" s="72"/>
      <c r="BW436" s="72"/>
      <c r="BX436" s="72"/>
      <c r="BY436" s="72"/>
      <c r="BZ436" s="72"/>
      <c r="CA436" s="72"/>
      <c r="CB436" s="72"/>
      <c r="CC436" s="72"/>
      <c r="CD436" s="72"/>
      <c r="CE436" s="72"/>
      <c r="CF436" s="72"/>
      <c r="CG436" s="72"/>
      <c r="CH436" s="72"/>
      <c r="CI436" s="72"/>
      <c r="CJ436" s="72"/>
      <c r="CK436" s="72"/>
      <c r="CL436" s="72"/>
      <c r="CM436" s="72"/>
      <c r="CN436" s="72"/>
      <c r="CO436" s="72"/>
      <c r="CP436" s="72"/>
      <c r="CQ436" s="72"/>
      <c r="CR436" s="72"/>
      <c r="CS436" s="72"/>
      <c r="CT436" s="150"/>
      <c r="CU436" s="152"/>
      <c r="CV436" s="72"/>
      <c r="CW436" s="72"/>
      <c r="CX436" s="72"/>
      <c r="CY436" s="72"/>
      <c r="CZ436" s="72"/>
      <c r="DA436" s="72"/>
      <c r="DB436" s="72"/>
      <c r="DC436" s="72"/>
      <c r="DD436" s="72"/>
      <c r="DE436" s="72"/>
      <c r="DF436" s="72"/>
      <c r="DG436" s="72"/>
      <c r="DH436" s="72"/>
      <c r="DI436" s="72"/>
      <c r="DJ436" s="72"/>
      <c r="DK436" s="72"/>
      <c r="DL436" s="72"/>
      <c r="DM436" s="72"/>
      <c r="DN436" s="72"/>
      <c r="DO436" s="72"/>
      <c r="DP436" s="72"/>
      <c r="DQ436" s="72"/>
      <c r="DR436" s="72"/>
      <c r="DS436" s="72"/>
      <c r="DT436" s="72"/>
      <c r="DU436" s="72"/>
      <c r="DV436" s="72"/>
      <c r="DW436" s="72"/>
      <c r="DX436" s="72"/>
      <c r="DY436" s="72"/>
      <c r="DZ436" s="72"/>
      <c r="EA436" s="72"/>
      <c r="EB436" s="72"/>
      <c r="EC436" s="72"/>
      <c r="ED436" s="72"/>
      <c r="EE436" s="72"/>
      <c r="EF436" s="72"/>
      <c r="EG436" s="72"/>
      <c r="EH436" s="72"/>
      <c r="EI436" s="72"/>
      <c r="EJ436" s="72"/>
      <c r="EK436" s="72"/>
      <c r="EL436" s="72"/>
      <c r="EM436" s="72"/>
      <c r="EN436" s="72"/>
      <c r="EO436" s="72"/>
      <c r="EP436" s="72"/>
      <c r="EQ436" s="72"/>
      <c r="ER436" s="72"/>
      <c r="ES436" s="72"/>
      <c r="ET436" s="72"/>
      <c r="EU436" s="72"/>
      <c r="EV436" s="72"/>
      <c r="EW436" s="72"/>
      <c r="EX436" s="72"/>
      <c r="EY436" s="72"/>
      <c r="EZ436" s="72"/>
      <c r="FA436" s="72"/>
      <c r="FB436" s="72"/>
      <c r="FC436" s="72"/>
      <c r="FD436" s="72"/>
    </row>
    <row r="437" spans="1:160">
      <c r="A437" s="145"/>
      <c r="B437" s="145"/>
      <c r="C437" s="145"/>
      <c r="D437" s="145"/>
      <c r="E437" s="146"/>
      <c r="F437" s="145"/>
      <c r="G437" s="145"/>
      <c r="H437" s="145"/>
      <c r="I437" s="317"/>
      <c r="J437" s="145"/>
      <c r="K437" s="145"/>
      <c r="L437" s="72"/>
      <c r="M437" s="318"/>
      <c r="N437" s="146"/>
      <c r="O437" s="72"/>
      <c r="P437" s="72"/>
      <c r="Q437" s="145"/>
      <c r="R437" s="145"/>
      <c r="S437" s="145"/>
      <c r="T437" s="145"/>
      <c r="U437" s="145"/>
      <c r="V437" s="145"/>
      <c r="W437" s="145"/>
      <c r="X437" s="145"/>
      <c r="Y437" s="145"/>
      <c r="Z437" s="145"/>
      <c r="AA437" s="150"/>
      <c r="AB437" s="151"/>
      <c r="AC437" s="150"/>
      <c r="AD437" s="150"/>
      <c r="AE437" s="150"/>
      <c r="AF437" s="150"/>
      <c r="AG437" s="150"/>
      <c r="AH437" s="150"/>
      <c r="AI437" s="150"/>
      <c r="AJ437" s="150"/>
      <c r="AK437" s="150"/>
      <c r="AL437" s="150"/>
      <c r="AM437" s="150"/>
      <c r="AN437" s="150"/>
      <c r="AO437" s="150"/>
      <c r="AP437" s="150"/>
      <c r="AQ437" s="150"/>
      <c r="AR437" s="150"/>
      <c r="AS437" s="150"/>
      <c r="AT437" s="150"/>
      <c r="AU437" s="150"/>
      <c r="AV437" s="150"/>
      <c r="AW437" s="150"/>
      <c r="AX437" s="150"/>
      <c r="AY437" s="150"/>
      <c r="AZ437" s="150"/>
      <c r="BA437" s="150"/>
      <c r="BB437" s="150"/>
      <c r="BC437" s="150"/>
      <c r="BD437" s="150"/>
      <c r="BE437" s="150"/>
      <c r="BF437" s="150"/>
      <c r="BG437" s="150"/>
      <c r="BH437" s="150"/>
      <c r="BI437" s="150"/>
      <c r="BJ437" s="150"/>
      <c r="BK437" s="150"/>
      <c r="BL437" s="150"/>
      <c r="BM437" s="150"/>
      <c r="BN437" s="72"/>
      <c r="BO437" s="72"/>
      <c r="BP437" s="72"/>
      <c r="BQ437" s="72"/>
      <c r="BR437" s="72"/>
      <c r="BS437" s="72"/>
      <c r="BT437" s="72"/>
      <c r="BU437" s="72"/>
      <c r="BV437" s="72"/>
      <c r="BW437" s="72"/>
      <c r="BX437" s="72"/>
      <c r="BY437" s="72"/>
      <c r="BZ437" s="72"/>
      <c r="CA437" s="72"/>
      <c r="CB437" s="72"/>
      <c r="CC437" s="72"/>
      <c r="CD437" s="72"/>
      <c r="CE437" s="72"/>
      <c r="CF437" s="72"/>
      <c r="CG437" s="72"/>
      <c r="CH437" s="72"/>
      <c r="CI437" s="72"/>
      <c r="CJ437" s="72"/>
      <c r="CK437" s="72"/>
      <c r="CL437" s="72"/>
      <c r="CM437" s="72"/>
      <c r="CN437" s="72"/>
      <c r="CO437" s="72"/>
      <c r="CP437" s="72"/>
      <c r="CQ437" s="72"/>
      <c r="CR437" s="72"/>
      <c r="CS437" s="72"/>
      <c r="CT437" s="150"/>
      <c r="CU437" s="152"/>
      <c r="CV437" s="72"/>
      <c r="CW437" s="72"/>
      <c r="CX437" s="72"/>
      <c r="CY437" s="72"/>
      <c r="CZ437" s="72"/>
      <c r="DA437" s="72"/>
      <c r="DB437" s="72"/>
      <c r="DC437" s="72"/>
      <c r="DD437" s="72"/>
      <c r="DE437" s="72"/>
      <c r="DF437" s="72"/>
      <c r="DG437" s="72"/>
      <c r="DH437" s="72"/>
      <c r="DI437" s="72"/>
      <c r="DJ437" s="72"/>
      <c r="DK437" s="72"/>
      <c r="DL437" s="72"/>
      <c r="DM437" s="72"/>
      <c r="DN437" s="72"/>
      <c r="DO437" s="72"/>
      <c r="DP437" s="72"/>
      <c r="DQ437" s="72"/>
      <c r="DR437" s="72"/>
      <c r="DS437" s="72"/>
      <c r="DT437" s="72"/>
      <c r="DU437" s="72"/>
      <c r="DV437" s="72"/>
      <c r="DW437" s="72"/>
      <c r="DX437" s="72"/>
      <c r="DY437" s="72"/>
      <c r="DZ437" s="72"/>
      <c r="EA437" s="72"/>
      <c r="EB437" s="72"/>
      <c r="EC437" s="72"/>
      <c r="ED437" s="72"/>
      <c r="EE437" s="72"/>
      <c r="EF437" s="72"/>
      <c r="EG437" s="72"/>
      <c r="EH437" s="72"/>
      <c r="EI437" s="72"/>
      <c r="EJ437" s="72"/>
      <c r="EK437" s="72"/>
      <c r="EL437" s="72"/>
      <c r="EM437" s="72"/>
      <c r="EN437" s="72"/>
      <c r="EO437" s="72"/>
      <c r="EP437" s="72"/>
      <c r="EQ437" s="72"/>
      <c r="ER437" s="72"/>
      <c r="ES437" s="72"/>
      <c r="ET437" s="72"/>
      <c r="EU437" s="72"/>
      <c r="EV437" s="72"/>
      <c r="EW437" s="72"/>
      <c r="EX437" s="72"/>
      <c r="EY437" s="72"/>
      <c r="EZ437" s="72"/>
      <c r="FA437" s="72"/>
      <c r="FB437" s="72"/>
      <c r="FC437" s="72"/>
      <c r="FD437" s="72"/>
    </row>
    <row r="438" spans="1:160">
      <c r="A438" s="145"/>
      <c r="B438" s="145"/>
      <c r="C438" s="145"/>
      <c r="D438" s="145"/>
      <c r="E438" s="146"/>
      <c r="F438" s="145"/>
      <c r="G438" s="145"/>
      <c r="H438" s="145"/>
      <c r="I438" s="317"/>
      <c r="J438" s="145"/>
      <c r="K438" s="145"/>
      <c r="L438" s="72"/>
      <c r="M438" s="318"/>
      <c r="N438" s="146"/>
      <c r="O438" s="72"/>
      <c r="P438" s="72"/>
      <c r="Q438" s="145"/>
      <c r="R438" s="145"/>
      <c r="S438" s="145"/>
      <c r="T438" s="145"/>
      <c r="U438" s="145"/>
      <c r="V438" s="145"/>
      <c r="W438" s="145"/>
      <c r="X438" s="145"/>
      <c r="Y438" s="145"/>
      <c r="Z438" s="145"/>
      <c r="AA438" s="150"/>
      <c r="AB438" s="151"/>
      <c r="AC438" s="150"/>
      <c r="AD438" s="150"/>
      <c r="AE438" s="150"/>
      <c r="AF438" s="150"/>
      <c r="AG438" s="150"/>
      <c r="AH438" s="150"/>
      <c r="AI438" s="150"/>
      <c r="AJ438" s="150"/>
      <c r="AK438" s="150"/>
      <c r="AL438" s="150"/>
      <c r="AM438" s="150"/>
      <c r="AN438" s="150"/>
      <c r="AO438" s="150"/>
      <c r="AP438" s="150"/>
      <c r="AQ438" s="150"/>
      <c r="AR438" s="150"/>
      <c r="AS438" s="150"/>
      <c r="AT438" s="150"/>
      <c r="AU438" s="150"/>
      <c r="AV438" s="150"/>
      <c r="AW438" s="150"/>
      <c r="AX438" s="150"/>
      <c r="AY438" s="150"/>
      <c r="AZ438" s="150"/>
      <c r="BA438" s="150"/>
      <c r="BB438" s="150"/>
      <c r="BC438" s="150"/>
      <c r="BD438" s="150"/>
      <c r="BE438" s="150"/>
      <c r="BF438" s="150"/>
      <c r="BG438" s="150"/>
      <c r="BH438" s="150"/>
      <c r="BI438" s="150"/>
      <c r="BJ438" s="150"/>
      <c r="BK438" s="150"/>
      <c r="BL438" s="150"/>
      <c r="BM438" s="150"/>
      <c r="BN438" s="72"/>
      <c r="BO438" s="72"/>
      <c r="BP438" s="72"/>
      <c r="BQ438" s="72"/>
      <c r="BR438" s="72"/>
      <c r="BS438" s="72"/>
      <c r="BT438" s="72"/>
      <c r="BU438" s="72"/>
      <c r="BV438" s="72"/>
      <c r="BW438" s="72"/>
      <c r="BX438" s="72"/>
      <c r="BY438" s="72"/>
      <c r="BZ438" s="72"/>
      <c r="CA438" s="72"/>
      <c r="CB438" s="72"/>
      <c r="CC438" s="72"/>
      <c r="CD438" s="72"/>
      <c r="CE438" s="72"/>
      <c r="CF438" s="72"/>
      <c r="CG438" s="72"/>
      <c r="CH438" s="72"/>
      <c r="CI438" s="72"/>
      <c r="CJ438" s="72"/>
      <c r="CK438" s="72"/>
      <c r="CL438" s="72"/>
      <c r="CM438" s="72"/>
      <c r="CN438" s="72"/>
      <c r="CO438" s="72"/>
      <c r="CP438" s="72"/>
      <c r="CQ438" s="72"/>
      <c r="CR438" s="72"/>
      <c r="CS438" s="72"/>
      <c r="CT438" s="150"/>
      <c r="CU438" s="152"/>
      <c r="CV438" s="72"/>
      <c r="CW438" s="72"/>
      <c r="CX438" s="72"/>
      <c r="CY438" s="72"/>
      <c r="CZ438" s="72"/>
      <c r="DA438" s="72"/>
      <c r="DB438" s="72"/>
      <c r="DC438" s="72"/>
      <c r="DD438" s="72"/>
      <c r="DE438" s="72"/>
      <c r="DF438" s="72"/>
      <c r="DG438" s="72"/>
      <c r="DH438" s="72"/>
      <c r="DI438" s="72"/>
      <c r="DJ438" s="72"/>
      <c r="DK438" s="72"/>
      <c r="DL438" s="72"/>
      <c r="DM438" s="72"/>
      <c r="DN438" s="72"/>
      <c r="DO438" s="72"/>
      <c r="DP438" s="72"/>
      <c r="DQ438" s="72"/>
      <c r="DR438" s="72"/>
      <c r="DS438" s="72"/>
      <c r="DT438" s="72"/>
      <c r="DU438" s="72"/>
      <c r="DV438" s="72"/>
      <c r="DW438" s="72"/>
      <c r="DX438" s="72"/>
      <c r="DY438" s="72"/>
      <c r="DZ438" s="72"/>
      <c r="EA438" s="72"/>
      <c r="EB438" s="72"/>
      <c r="EC438" s="72"/>
      <c r="ED438" s="72"/>
      <c r="EE438" s="72"/>
      <c r="EF438" s="72"/>
      <c r="EG438" s="72"/>
      <c r="EH438" s="72"/>
      <c r="EI438" s="72"/>
      <c r="EJ438" s="72"/>
      <c r="EK438" s="72"/>
      <c r="EL438" s="72"/>
      <c r="EM438" s="72"/>
      <c r="EN438" s="72"/>
      <c r="EO438" s="72"/>
      <c r="EP438" s="72"/>
      <c r="EQ438" s="72"/>
      <c r="ER438" s="72"/>
      <c r="ES438" s="72"/>
      <c r="ET438" s="72"/>
      <c r="EU438" s="72"/>
      <c r="EV438" s="72"/>
      <c r="EW438" s="72"/>
      <c r="EX438" s="72"/>
      <c r="EY438" s="72"/>
      <c r="EZ438" s="72"/>
      <c r="FA438" s="72"/>
      <c r="FB438" s="72"/>
      <c r="FC438" s="72"/>
      <c r="FD438" s="72"/>
    </row>
    <row r="439" spans="1:160">
      <c r="A439" s="145"/>
      <c r="B439" s="145"/>
      <c r="C439" s="145"/>
      <c r="D439" s="145"/>
      <c r="E439" s="146"/>
      <c r="F439" s="145"/>
      <c r="G439" s="145"/>
      <c r="H439" s="145"/>
      <c r="I439" s="317"/>
      <c r="J439" s="145"/>
      <c r="K439" s="145"/>
      <c r="L439" s="72"/>
      <c r="M439" s="318"/>
      <c r="N439" s="146"/>
      <c r="O439" s="72"/>
      <c r="P439" s="72"/>
      <c r="Q439" s="145"/>
      <c r="R439" s="145"/>
      <c r="S439" s="145"/>
      <c r="T439" s="145"/>
      <c r="U439" s="145"/>
      <c r="V439" s="145"/>
      <c r="W439" s="145"/>
      <c r="X439" s="145"/>
      <c r="Y439" s="145"/>
      <c r="Z439" s="145"/>
      <c r="AA439" s="150"/>
      <c r="AB439" s="151"/>
      <c r="AC439" s="150"/>
      <c r="AD439" s="150"/>
      <c r="AE439" s="150"/>
      <c r="AF439" s="150"/>
      <c r="AG439" s="150"/>
      <c r="AH439" s="150"/>
      <c r="AI439" s="150"/>
      <c r="AJ439" s="150"/>
      <c r="AK439" s="150"/>
      <c r="AL439" s="150"/>
      <c r="AM439" s="150"/>
      <c r="AN439" s="150"/>
      <c r="AO439" s="150"/>
      <c r="AP439" s="150"/>
      <c r="AQ439" s="150"/>
      <c r="AR439" s="150"/>
      <c r="AS439" s="150"/>
      <c r="AT439" s="150"/>
      <c r="AU439" s="150"/>
      <c r="AV439" s="150"/>
      <c r="AW439" s="150"/>
      <c r="AX439" s="150"/>
      <c r="AY439" s="150"/>
      <c r="AZ439" s="150"/>
      <c r="BA439" s="150"/>
      <c r="BB439" s="150"/>
      <c r="BC439" s="150"/>
      <c r="BD439" s="150"/>
      <c r="BE439" s="150"/>
      <c r="BF439" s="150"/>
      <c r="BG439" s="150"/>
      <c r="BH439" s="150"/>
      <c r="BI439" s="150"/>
      <c r="BJ439" s="150"/>
      <c r="BK439" s="150"/>
      <c r="BL439" s="150"/>
      <c r="BM439" s="150"/>
      <c r="BN439" s="72"/>
      <c r="BO439" s="72"/>
      <c r="BP439" s="72"/>
      <c r="BQ439" s="72"/>
      <c r="BR439" s="72"/>
      <c r="BS439" s="72"/>
      <c r="BT439" s="72"/>
      <c r="BU439" s="72"/>
      <c r="BV439" s="72"/>
      <c r="BW439" s="72"/>
      <c r="BX439" s="72"/>
      <c r="BY439" s="72"/>
      <c r="BZ439" s="72"/>
      <c r="CA439" s="72"/>
      <c r="CB439" s="72"/>
      <c r="CC439" s="72"/>
      <c r="CD439" s="72"/>
      <c r="CE439" s="72"/>
      <c r="CF439" s="72"/>
      <c r="CG439" s="72"/>
      <c r="CH439" s="72"/>
      <c r="CI439" s="72"/>
      <c r="CJ439" s="72"/>
      <c r="CK439" s="72"/>
      <c r="CL439" s="72"/>
      <c r="CM439" s="72"/>
      <c r="CN439" s="72"/>
      <c r="CO439" s="72"/>
      <c r="CP439" s="72"/>
      <c r="CQ439" s="72"/>
      <c r="CR439" s="72"/>
      <c r="CS439" s="72"/>
      <c r="CT439" s="150"/>
      <c r="CU439" s="152"/>
      <c r="CV439" s="72"/>
      <c r="CW439" s="72"/>
      <c r="CX439" s="72"/>
      <c r="CY439" s="72"/>
      <c r="CZ439" s="72"/>
      <c r="DA439" s="72"/>
      <c r="DB439" s="72"/>
      <c r="DC439" s="72"/>
      <c r="DD439" s="72"/>
      <c r="DE439" s="72"/>
      <c r="DF439" s="72"/>
      <c r="DG439" s="72"/>
      <c r="DH439" s="72"/>
      <c r="DI439" s="72"/>
      <c r="DJ439" s="72"/>
      <c r="DK439" s="72"/>
      <c r="DL439" s="72"/>
      <c r="DM439" s="72"/>
      <c r="DN439" s="72"/>
      <c r="DO439" s="72"/>
      <c r="DP439" s="72"/>
      <c r="DQ439" s="72"/>
      <c r="DR439" s="72"/>
      <c r="DS439" s="72"/>
      <c r="DT439" s="72"/>
      <c r="DU439" s="72"/>
      <c r="DV439" s="72"/>
      <c r="DW439" s="72"/>
      <c r="DX439" s="72"/>
      <c r="DY439" s="72"/>
      <c r="DZ439" s="72"/>
      <c r="EA439" s="72"/>
      <c r="EB439" s="72"/>
      <c r="EC439" s="72"/>
      <c r="ED439" s="72"/>
      <c r="EE439" s="72"/>
      <c r="EF439" s="72"/>
      <c r="EG439" s="72"/>
      <c r="EH439" s="72"/>
      <c r="EI439" s="72"/>
      <c r="EJ439" s="72"/>
      <c r="EK439" s="72"/>
      <c r="EL439" s="72"/>
      <c r="EM439" s="72"/>
      <c r="EN439" s="72"/>
      <c r="EO439" s="72"/>
      <c r="EP439" s="72"/>
      <c r="EQ439" s="72"/>
      <c r="ER439" s="72"/>
      <c r="ES439" s="72"/>
      <c r="ET439" s="72"/>
      <c r="EU439" s="72"/>
      <c r="EV439" s="72"/>
      <c r="EW439" s="72"/>
      <c r="EX439" s="72"/>
      <c r="EY439" s="72"/>
      <c r="EZ439" s="72"/>
      <c r="FA439" s="72"/>
      <c r="FB439" s="72"/>
      <c r="FC439" s="72"/>
      <c r="FD439" s="72"/>
    </row>
    <row r="440" spans="1:160">
      <c r="A440" s="145"/>
      <c r="B440" s="145"/>
      <c r="C440" s="145"/>
      <c r="D440" s="145"/>
      <c r="E440" s="146"/>
      <c r="F440" s="145"/>
      <c r="G440" s="145"/>
      <c r="H440" s="145"/>
      <c r="I440" s="317"/>
      <c r="J440" s="145"/>
      <c r="K440" s="145"/>
      <c r="L440" s="72"/>
      <c r="M440" s="318"/>
      <c r="N440" s="146"/>
      <c r="O440" s="72"/>
      <c r="P440" s="72"/>
      <c r="Q440" s="145"/>
      <c r="R440" s="145"/>
      <c r="S440" s="145"/>
      <c r="T440" s="145"/>
      <c r="U440" s="145"/>
      <c r="V440" s="145"/>
      <c r="W440" s="145"/>
      <c r="X440" s="145"/>
      <c r="Y440" s="145"/>
      <c r="Z440" s="145"/>
      <c r="AA440" s="150"/>
      <c r="AB440" s="151"/>
      <c r="AC440" s="150"/>
      <c r="AD440" s="150"/>
      <c r="AE440" s="150"/>
      <c r="AF440" s="150"/>
      <c r="AG440" s="150"/>
      <c r="AH440" s="150"/>
      <c r="AI440" s="150"/>
      <c r="AJ440" s="150"/>
      <c r="AK440" s="150"/>
      <c r="AL440" s="150"/>
      <c r="AM440" s="150"/>
      <c r="AN440" s="150"/>
      <c r="AO440" s="150"/>
      <c r="AP440" s="150"/>
      <c r="AQ440" s="150"/>
      <c r="AR440" s="150"/>
      <c r="AS440" s="150"/>
      <c r="AT440" s="150"/>
      <c r="AU440" s="150"/>
      <c r="AV440" s="150"/>
      <c r="AW440" s="150"/>
      <c r="AX440" s="150"/>
      <c r="AY440" s="150"/>
      <c r="AZ440" s="150"/>
      <c r="BA440" s="150"/>
      <c r="BB440" s="150"/>
      <c r="BC440" s="150"/>
      <c r="BD440" s="150"/>
      <c r="BE440" s="150"/>
      <c r="BF440" s="150"/>
      <c r="BG440" s="150"/>
      <c r="BH440" s="150"/>
      <c r="BI440" s="150"/>
      <c r="BJ440" s="150"/>
      <c r="BK440" s="150"/>
      <c r="BL440" s="150"/>
      <c r="BM440" s="150"/>
      <c r="BN440" s="72"/>
      <c r="BO440" s="72"/>
      <c r="BP440" s="72"/>
      <c r="BQ440" s="72"/>
      <c r="BR440" s="72"/>
      <c r="BS440" s="72"/>
      <c r="BT440" s="72"/>
      <c r="BU440" s="72"/>
      <c r="BV440" s="72"/>
      <c r="BW440" s="72"/>
      <c r="BX440" s="72"/>
      <c r="BY440" s="72"/>
      <c r="BZ440" s="72"/>
      <c r="CA440" s="72"/>
      <c r="CB440" s="72"/>
      <c r="CC440" s="72"/>
      <c r="CD440" s="72"/>
      <c r="CE440" s="72"/>
      <c r="CF440" s="72"/>
      <c r="CG440" s="72"/>
      <c r="CH440" s="72"/>
      <c r="CI440" s="72"/>
      <c r="CJ440" s="72"/>
      <c r="CK440" s="72"/>
      <c r="CL440" s="72"/>
      <c r="CM440" s="72"/>
      <c r="CN440" s="72"/>
      <c r="CO440" s="72"/>
      <c r="CP440" s="72"/>
      <c r="CQ440" s="72"/>
      <c r="CR440" s="72"/>
      <c r="CS440" s="72"/>
      <c r="CT440" s="150"/>
      <c r="CU440" s="152"/>
      <c r="CV440" s="72"/>
      <c r="CW440" s="72"/>
      <c r="CX440" s="72"/>
      <c r="CY440" s="72"/>
      <c r="CZ440" s="72"/>
      <c r="DA440" s="72"/>
      <c r="DB440" s="72"/>
      <c r="DC440" s="72"/>
      <c r="DD440" s="72"/>
      <c r="DE440" s="72"/>
      <c r="DF440" s="72"/>
      <c r="DG440" s="72"/>
      <c r="DH440" s="72"/>
      <c r="DI440" s="72"/>
      <c r="DJ440" s="72"/>
      <c r="DK440" s="72"/>
      <c r="DL440" s="72"/>
      <c r="DM440" s="72"/>
      <c r="DN440" s="72"/>
      <c r="DO440" s="72"/>
      <c r="DP440" s="72"/>
      <c r="DQ440" s="72"/>
      <c r="DR440" s="72"/>
      <c r="DS440" s="72"/>
      <c r="DT440" s="72"/>
      <c r="DU440" s="72"/>
      <c r="DV440" s="72"/>
      <c r="DW440" s="72"/>
      <c r="DX440" s="72"/>
      <c r="DY440" s="72"/>
      <c r="DZ440" s="72"/>
      <c r="EA440" s="72"/>
      <c r="EB440" s="72"/>
      <c r="EC440" s="72"/>
      <c r="ED440" s="72"/>
      <c r="EE440" s="72"/>
      <c r="EF440" s="72"/>
      <c r="EG440" s="72"/>
      <c r="EH440" s="72"/>
      <c r="EI440" s="72"/>
      <c r="EJ440" s="72"/>
      <c r="EK440" s="72"/>
      <c r="EL440" s="72"/>
      <c r="EM440" s="72"/>
      <c r="EN440" s="72"/>
      <c r="EO440" s="72"/>
      <c r="EP440" s="72"/>
      <c r="EQ440" s="72"/>
      <c r="ER440" s="72"/>
      <c r="ES440" s="72"/>
      <c r="ET440" s="72"/>
      <c r="EU440" s="72"/>
      <c r="EV440" s="72"/>
      <c r="EW440" s="72"/>
      <c r="EX440" s="72"/>
      <c r="EY440" s="72"/>
      <c r="EZ440" s="72"/>
      <c r="FA440" s="72"/>
      <c r="FB440" s="72"/>
      <c r="FC440" s="72"/>
      <c r="FD440" s="72"/>
    </row>
    <row r="441" spans="1:160">
      <c r="A441" s="145"/>
      <c r="B441" s="145"/>
      <c r="C441" s="145"/>
      <c r="D441" s="145"/>
      <c r="E441" s="146"/>
      <c r="F441" s="145"/>
      <c r="G441" s="145"/>
      <c r="H441" s="145"/>
      <c r="I441" s="317"/>
      <c r="J441" s="145"/>
      <c r="K441" s="145"/>
      <c r="L441" s="72"/>
      <c r="M441" s="318"/>
      <c r="N441" s="146"/>
      <c r="O441" s="72"/>
      <c r="P441" s="72"/>
      <c r="Q441" s="145"/>
      <c r="R441" s="145"/>
      <c r="S441" s="145"/>
      <c r="T441" s="145"/>
      <c r="U441" s="145"/>
      <c r="V441" s="145"/>
      <c r="W441" s="145"/>
      <c r="X441" s="145"/>
      <c r="Y441" s="145"/>
      <c r="Z441" s="145"/>
      <c r="AA441" s="150"/>
      <c r="AB441" s="151"/>
      <c r="AC441" s="150"/>
      <c r="AD441" s="150"/>
      <c r="AE441" s="150"/>
      <c r="AF441" s="150"/>
      <c r="AG441" s="150"/>
      <c r="AH441" s="150"/>
      <c r="AI441" s="150"/>
      <c r="AJ441" s="150"/>
      <c r="AK441" s="150"/>
      <c r="AL441" s="150"/>
      <c r="AM441" s="150"/>
      <c r="AN441" s="150"/>
      <c r="AO441" s="150"/>
      <c r="AP441" s="150"/>
      <c r="AQ441" s="150"/>
      <c r="AR441" s="150"/>
      <c r="AS441" s="150"/>
      <c r="AT441" s="150"/>
      <c r="AU441" s="150"/>
      <c r="AV441" s="150"/>
      <c r="AW441" s="150"/>
      <c r="AX441" s="150"/>
      <c r="AY441" s="150"/>
      <c r="AZ441" s="150"/>
      <c r="BA441" s="150"/>
      <c r="BB441" s="150"/>
      <c r="BC441" s="150"/>
      <c r="BD441" s="150"/>
      <c r="BE441" s="150"/>
      <c r="BF441" s="150"/>
      <c r="BG441" s="150"/>
      <c r="BH441" s="150"/>
      <c r="BI441" s="150"/>
      <c r="BJ441" s="150"/>
      <c r="BK441" s="150"/>
      <c r="BL441" s="150"/>
      <c r="BM441" s="150"/>
      <c r="BN441" s="72"/>
      <c r="BO441" s="72"/>
      <c r="BP441" s="72"/>
      <c r="BQ441" s="72"/>
      <c r="BR441" s="72"/>
      <c r="BS441" s="72"/>
      <c r="BT441" s="72"/>
      <c r="BU441" s="72"/>
      <c r="BV441" s="72"/>
      <c r="BW441" s="72"/>
      <c r="BX441" s="72"/>
      <c r="BY441" s="72"/>
      <c r="BZ441" s="72"/>
      <c r="CA441" s="72"/>
      <c r="CB441" s="72"/>
      <c r="CC441" s="72"/>
      <c r="CD441" s="72"/>
      <c r="CE441" s="72"/>
      <c r="CF441" s="72"/>
      <c r="CG441" s="72"/>
      <c r="CH441" s="72"/>
      <c r="CI441" s="72"/>
      <c r="CJ441" s="72"/>
      <c r="CK441" s="72"/>
      <c r="CL441" s="72"/>
      <c r="CM441" s="72"/>
      <c r="CN441" s="72"/>
      <c r="CO441" s="72"/>
      <c r="CP441" s="72"/>
      <c r="CQ441" s="72"/>
      <c r="CR441" s="72"/>
      <c r="CS441" s="72"/>
      <c r="CT441" s="150"/>
      <c r="CU441" s="152"/>
      <c r="CV441" s="72"/>
      <c r="CW441" s="72"/>
      <c r="CX441" s="72"/>
      <c r="CY441" s="72"/>
      <c r="CZ441" s="72"/>
      <c r="DA441" s="72"/>
      <c r="DB441" s="72"/>
      <c r="DC441" s="72"/>
      <c r="DD441" s="72"/>
      <c r="DE441" s="72"/>
      <c r="DF441" s="72"/>
      <c r="DG441" s="72"/>
      <c r="DH441" s="72"/>
      <c r="DI441" s="72"/>
      <c r="DJ441" s="72"/>
      <c r="DK441" s="72"/>
      <c r="DL441" s="72"/>
      <c r="DM441" s="72"/>
      <c r="DN441" s="72"/>
      <c r="DO441" s="72"/>
      <c r="DP441" s="72"/>
      <c r="DQ441" s="72"/>
      <c r="DR441" s="72"/>
      <c r="DS441" s="72"/>
      <c r="DT441" s="72"/>
      <c r="DU441" s="72"/>
      <c r="DV441" s="72"/>
      <c r="DW441" s="72"/>
      <c r="DX441" s="72"/>
      <c r="DY441" s="72"/>
      <c r="DZ441" s="72"/>
      <c r="EA441" s="72"/>
      <c r="EB441" s="72"/>
      <c r="EC441" s="72"/>
      <c r="ED441" s="72"/>
      <c r="EE441" s="72"/>
      <c r="EF441" s="72"/>
      <c r="EG441" s="72"/>
      <c r="EH441" s="72"/>
      <c r="EI441" s="72"/>
      <c r="EJ441" s="72"/>
      <c r="EK441" s="72"/>
      <c r="EL441" s="72"/>
      <c r="EM441" s="72"/>
      <c r="EN441" s="72"/>
      <c r="EO441" s="72"/>
      <c r="EP441" s="72"/>
      <c r="EQ441" s="72"/>
      <c r="ER441" s="72"/>
      <c r="ES441" s="72"/>
      <c r="ET441" s="72"/>
      <c r="EU441" s="72"/>
      <c r="EV441" s="72"/>
      <c r="EW441" s="72"/>
      <c r="EX441" s="72"/>
      <c r="EY441" s="72"/>
      <c r="EZ441" s="72"/>
      <c r="FA441" s="72"/>
      <c r="FB441" s="72"/>
      <c r="FC441" s="72"/>
      <c r="FD441" s="72"/>
    </row>
    <row r="442" spans="1:160">
      <c r="A442" s="145"/>
      <c r="B442" s="145"/>
      <c r="C442" s="145"/>
      <c r="D442" s="145"/>
      <c r="E442" s="146"/>
      <c r="F442" s="145"/>
      <c r="G442" s="145"/>
      <c r="H442" s="145"/>
      <c r="I442" s="317"/>
      <c r="J442" s="145"/>
      <c r="K442" s="145"/>
      <c r="L442" s="72"/>
      <c r="M442" s="318"/>
      <c r="N442" s="146"/>
      <c r="O442" s="72"/>
      <c r="P442" s="72"/>
      <c r="Q442" s="145"/>
      <c r="R442" s="145"/>
      <c r="S442" s="145"/>
      <c r="T442" s="145"/>
      <c r="U442" s="145"/>
      <c r="V442" s="145"/>
      <c r="W442" s="145"/>
      <c r="X442" s="145"/>
      <c r="Y442" s="145"/>
      <c r="Z442" s="145"/>
      <c r="AA442" s="150"/>
      <c r="AB442" s="151"/>
      <c r="AC442" s="150"/>
      <c r="AD442" s="150"/>
      <c r="AE442" s="150"/>
      <c r="AF442" s="150"/>
      <c r="AG442" s="150"/>
      <c r="AH442" s="150"/>
      <c r="AI442" s="150"/>
      <c r="AJ442" s="150"/>
      <c r="AK442" s="150"/>
      <c r="AL442" s="150"/>
      <c r="AM442" s="150"/>
      <c r="AN442" s="150"/>
      <c r="AO442" s="150"/>
      <c r="AP442" s="150"/>
      <c r="AQ442" s="150"/>
      <c r="AR442" s="150"/>
      <c r="AS442" s="150"/>
      <c r="AT442" s="150"/>
      <c r="AU442" s="150"/>
      <c r="AV442" s="150"/>
      <c r="AW442" s="150"/>
      <c r="AX442" s="150"/>
      <c r="AY442" s="150"/>
      <c r="AZ442" s="150"/>
      <c r="BA442" s="150"/>
      <c r="BB442" s="150"/>
      <c r="BC442" s="150"/>
      <c r="BD442" s="150"/>
      <c r="BE442" s="150"/>
      <c r="BF442" s="150"/>
      <c r="BG442" s="150"/>
      <c r="BH442" s="150"/>
      <c r="BI442" s="150"/>
      <c r="BJ442" s="150"/>
      <c r="BK442" s="150"/>
      <c r="BL442" s="150"/>
      <c r="BM442" s="150"/>
      <c r="BN442" s="72"/>
      <c r="BO442" s="72"/>
      <c r="BP442" s="72"/>
      <c r="BQ442" s="72"/>
      <c r="BR442" s="72"/>
      <c r="BS442" s="72"/>
      <c r="BT442" s="72"/>
      <c r="BU442" s="72"/>
      <c r="BV442" s="72"/>
      <c r="BW442" s="72"/>
      <c r="BX442" s="72"/>
      <c r="BY442" s="72"/>
      <c r="BZ442" s="72"/>
      <c r="CA442" s="72"/>
      <c r="CB442" s="72"/>
      <c r="CC442" s="72"/>
      <c r="CD442" s="72"/>
      <c r="CE442" s="72"/>
      <c r="CF442" s="72"/>
      <c r="CG442" s="72"/>
      <c r="CH442" s="72"/>
      <c r="CI442" s="72"/>
      <c r="CJ442" s="72"/>
      <c r="CK442" s="72"/>
      <c r="CL442" s="72"/>
      <c r="CM442" s="72"/>
      <c r="CN442" s="72"/>
      <c r="CO442" s="72"/>
      <c r="CP442" s="72"/>
      <c r="CQ442" s="72"/>
      <c r="CR442" s="72"/>
      <c r="CS442" s="72"/>
      <c r="CT442" s="150"/>
      <c r="CU442" s="152"/>
      <c r="CV442" s="72"/>
      <c r="CW442" s="72"/>
      <c r="CX442" s="72"/>
      <c r="CY442" s="72"/>
      <c r="CZ442" s="72"/>
      <c r="DA442" s="72"/>
      <c r="DB442" s="72"/>
      <c r="DC442" s="72"/>
      <c r="DD442" s="72"/>
      <c r="DE442" s="72"/>
      <c r="DF442" s="72"/>
      <c r="DG442" s="72"/>
      <c r="DH442" s="72"/>
      <c r="DI442" s="72"/>
      <c r="DJ442" s="72"/>
      <c r="DK442" s="72"/>
      <c r="DL442" s="72"/>
      <c r="DM442" s="72"/>
      <c r="DN442" s="72"/>
      <c r="DO442" s="72"/>
      <c r="DP442" s="72"/>
      <c r="DQ442" s="72"/>
      <c r="DR442" s="72"/>
      <c r="DS442" s="72"/>
      <c r="DT442" s="72"/>
      <c r="DU442" s="72"/>
      <c r="DV442" s="72"/>
      <c r="DW442" s="72"/>
      <c r="DX442" s="72"/>
      <c r="DY442" s="72"/>
      <c r="DZ442" s="72"/>
      <c r="EA442" s="72"/>
      <c r="EB442" s="72"/>
      <c r="EC442" s="72"/>
      <c r="ED442" s="72"/>
      <c r="EE442" s="72"/>
      <c r="EF442" s="72"/>
      <c r="EG442" s="72"/>
      <c r="EH442" s="72"/>
      <c r="EI442" s="72"/>
      <c r="EJ442" s="72"/>
      <c r="EK442" s="72"/>
      <c r="EL442" s="72"/>
      <c r="EM442" s="72"/>
      <c r="EN442" s="72"/>
      <c r="EO442" s="72"/>
      <c r="EP442" s="72"/>
      <c r="EQ442" s="72"/>
      <c r="ER442" s="72"/>
      <c r="ES442" s="72"/>
      <c r="ET442" s="72"/>
      <c r="EU442" s="72"/>
      <c r="EV442" s="72"/>
      <c r="EW442" s="72"/>
      <c r="EX442" s="72"/>
      <c r="EY442" s="72"/>
      <c r="EZ442" s="72"/>
      <c r="FA442" s="72"/>
      <c r="FB442" s="72"/>
      <c r="FC442" s="72"/>
      <c r="FD442" s="72"/>
    </row>
    <row r="443" spans="1:160">
      <c r="A443" s="145"/>
      <c r="B443" s="145"/>
      <c r="C443" s="145"/>
      <c r="D443" s="145"/>
      <c r="E443" s="146"/>
      <c r="F443" s="145"/>
      <c r="G443" s="145"/>
      <c r="H443" s="145"/>
      <c r="I443" s="317"/>
      <c r="J443" s="145"/>
      <c r="K443" s="145"/>
      <c r="L443" s="72"/>
      <c r="M443" s="318"/>
      <c r="N443" s="146"/>
      <c r="O443" s="72"/>
      <c r="P443" s="72"/>
      <c r="Q443" s="145"/>
      <c r="R443" s="145"/>
      <c r="S443" s="145"/>
      <c r="T443" s="145"/>
      <c r="U443" s="145"/>
      <c r="V443" s="145"/>
      <c r="W443" s="145"/>
      <c r="X443" s="145"/>
      <c r="Y443" s="145"/>
      <c r="Z443" s="145"/>
      <c r="AA443" s="150"/>
      <c r="AB443" s="151"/>
      <c r="AC443" s="150"/>
      <c r="AD443" s="150"/>
      <c r="AE443" s="150"/>
      <c r="AF443" s="150"/>
      <c r="AG443" s="150"/>
      <c r="AH443" s="150"/>
      <c r="AI443" s="150"/>
      <c r="AJ443" s="150"/>
      <c r="AK443" s="150"/>
      <c r="AL443" s="150"/>
      <c r="AM443" s="150"/>
      <c r="AN443" s="150"/>
      <c r="AO443" s="150"/>
      <c r="AP443" s="150"/>
      <c r="AQ443" s="150"/>
      <c r="AR443" s="150"/>
      <c r="AS443" s="150"/>
      <c r="AT443" s="150"/>
      <c r="AU443" s="150"/>
      <c r="AV443" s="150"/>
      <c r="AW443" s="150"/>
      <c r="AX443" s="150"/>
      <c r="AY443" s="150"/>
      <c r="AZ443" s="150"/>
      <c r="BA443" s="150"/>
      <c r="BB443" s="150"/>
      <c r="BC443" s="150"/>
      <c r="BD443" s="150"/>
      <c r="BE443" s="150"/>
      <c r="BF443" s="150"/>
      <c r="BG443" s="150"/>
      <c r="BH443" s="150"/>
      <c r="BI443" s="150"/>
      <c r="BJ443" s="150"/>
      <c r="BK443" s="150"/>
      <c r="BL443" s="150"/>
      <c r="BM443" s="150"/>
      <c r="BN443" s="72"/>
      <c r="BO443" s="72"/>
      <c r="BP443" s="72"/>
      <c r="BQ443" s="72"/>
      <c r="BR443" s="72"/>
      <c r="BS443" s="72"/>
      <c r="BT443" s="72"/>
      <c r="BU443" s="72"/>
      <c r="BV443" s="72"/>
      <c r="BW443" s="72"/>
      <c r="BX443" s="72"/>
      <c r="BY443" s="72"/>
      <c r="BZ443" s="72"/>
      <c r="CA443" s="72"/>
      <c r="CB443" s="72"/>
      <c r="CC443" s="72"/>
      <c r="CD443" s="72"/>
      <c r="CE443" s="72"/>
      <c r="CF443" s="72"/>
      <c r="CG443" s="72"/>
      <c r="CH443" s="72"/>
      <c r="CI443" s="72"/>
      <c r="CJ443" s="72"/>
      <c r="CK443" s="72"/>
      <c r="CL443" s="72"/>
      <c r="CM443" s="72"/>
      <c r="CN443" s="72"/>
      <c r="CO443" s="72"/>
      <c r="CP443" s="72"/>
      <c r="CQ443" s="72"/>
      <c r="CR443" s="72"/>
      <c r="CS443" s="72"/>
      <c r="CT443" s="150"/>
      <c r="CU443" s="152"/>
      <c r="CV443" s="72"/>
      <c r="CW443" s="72"/>
      <c r="CX443" s="72"/>
      <c r="CY443" s="72"/>
      <c r="CZ443" s="72"/>
      <c r="DA443" s="72"/>
      <c r="DB443" s="72"/>
      <c r="DC443" s="72"/>
      <c r="DD443" s="72"/>
      <c r="DE443" s="72"/>
      <c r="DF443" s="72"/>
      <c r="DG443" s="72"/>
      <c r="DH443" s="72"/>
      <c r="DI443" s="72"/>
      <c r="DJ443" s="72"/>
      <c r="DK443" s="72"/>
      <c r="DL443" s="72"/>
      <c r="DM443" s="72"/>
      <c r="DN443" s="72"/>
      <c r="DO443" s="72"/>
      <c r="DP443" s="72"/>
      <c r="DQ443" s="72"/>
      <c r="DR443" s="72"/>
      <c r="DS443" s="72"/>
      <c r="DT443" s="72"/>
      <c r="DU443" s="72"/>
      <c r="DV443" s="72"/>
      <c r="DW443" s="72"/>
      <c r="DX443" s="72"/>
      <c r="DY443" s="72"/>
      <c r="DZ443" s="72"/>
      <c r="EA443" s="72"/>
      <c r="EB443" s="72"/>
      <c r="EC443" s="72"/>
      <c r="ED443" s="72"/>
      <c r="EE443" s="72"/>
      <c r="EF443" s="72"/>
      <c r="EG443" s="72"/>
      <c r="EH443" s="72"/>
      <c r="EI443" s="72"/>
      <c r="EJ443" s="72"/>
      <c r="EK443" s="72"/>
      <c r="EL443" s="72"/>
      <c r="EM443" s="72"/>
      <c r="EN443" s="72"/>
      <c r="EO443" s="72"/>
      <c r="EP443" s="72"/>
      <c r="EQ443" s="72"/>
      <c r="ER443" s="72"/>
      <c r="ES443" s="72"/>
      <c r="ET443" s="72"/>
      <c r="EU443" s="72"/>
      <c r="EV443" s="72"/>
      <c r="EW443" s="72"/>
      <c r="EX443" s="72"/>
      <c r="EY443" s="72"/>
      <c r="EZ443" s="72"/>
      <c r="FA443" s="72"/>
      <c r="FB443" s="72"/>
      <c r="FC443" s="72"/>
      <c r="FD443" s="72"/>
    </row>
    <row r="444" spans="1:160">
      <c r="A444" s="145"/>
      <c r="B444" s="145"/>
      <c r="C444" s="145"/>
      <c r="D444" s="145"/>
      <c r="E444" s="146"/>
      <c r="F444" s="145"/>
      <c r="G444" s="145"/>
      <c r="H444" s="145"/>
      <c r="I444" s="317"/>
      <c r="J444" s="145"/>
      <c r="K444" s="145"/>
      <c r="L444" s="72"/>
      <c r="M444" s="318"/>
      <c r="N444" s="146"/>
      <c r="O444" s="72"/>
      <c r="P444" s="72"/>
      <c r="Q444" s="145"/>
      <c r="R444" s="145"/>
      <c r="S444" s="145"/>
      <c r="T444" s="145"/>
      <c r="U444" s="145"/>
      <c r="V444" s="145"/>
      <c r="W444" s="145"/>
      <c r="X444" s="145"/>
      <c r="Y444" s="145"/>
      <c r="Z444" s="145"/>
      <c r="AA444" s="150"/>
      <c r="AB444" s="151"/>
      <c r="AC444" s="150"/>
      <c r="AD444" s="150"/>
      <c r="AE444" s="150"/>
      <c r="AF444" s="150"/>
      <c r="AG444" s="150"/>
      <c r="AH444" s="150"/>
      <c r="AI444" s="150"/>
      <c r="AJ444" s="150"/>
      <c r="AK444" s="150"/>
      <c r="AL444" s="150"/>
      <c r="AM444" s="150"/>
      <c r="AN444" s="150"/>
      <c r="AO444" s="150"/>
      <c r="AP444" s="150"/>
      <c r="AQ444" s="150"/>
      <c r="AR444" s="150"/>
      <c r="AS444" s="150"/>
      <c r="AT444" s="150"/>
      <c r="AU444" s="150"/>
      <c r="AV444" s="150"/>
      <c r="AW444" s="150"/>
      <c r="AX444" s="150"/>
      <c r="AY444" s="150"/>
      <c r="AZ444" s="150"/>
      <c r="BA444" s="150"/>
      <c r="BB444" s="150"/>
      <c r="BC444" s="150"/>
      <c r="BD444" s="150"/>
      <c r="BE444" s="150"/>
      <c r="BF444" s="150"/>
      <c r="BG444" s="150"/>
      <c r="BH444" s="150"/>
      <c r="BI444" s="150"/>
      <c r="BJ444" s="150"/>
      <c r="BK444" s="150"/>
      <c r="BL444" s="150"/>
      <c r="BM444" s="150"/>
      <c r="BN444" s="72"/>
      <c r="BO444" s="72"/>
      <c r="BP444" s="72"/>
      <c r="BQ444" s="72"/>
      <c r="BR444" s="72"/>
      <c r="BS444" s="72"/>
      <c r="BT444" s="72"/>
      <c r="BU444" s="72"/>
      <c r="BV444" s="72"/>
      <c r="BW444" s="72"/>
      <c r="BX444" s="72"/>
      <c r="BY444" s="72"/>
      <c r="BZ444" s="72"/>
      <c r="CA444" s="72"/>
      <c r="CB444" s="72"/>
      <c r="CC444" s="72"/>
      <c r="CD444" s="72"/>
      <c r="CE444" s="72"/>
      <c r="CF444" s="72"/>
      <c r="CG444" s="72"/>
      <c r="CH444" s="72"/>
      <c r="CI444" s="72"/>
      <c r="CJ444" s="72"/>
      <c r="CK444" s="72"/>
      <c r="CL444" s="72"/>
      <c r="CM444" s="72"/>
      <c r="CN444" s="72"/>
      <c r="CO444" s="72"/>
      <c r="CP444" s="72"/>
      <c r="CQ444" s="72"/>
      <c r="CR444" s="72"/>
      <c r="CS444" s="72"/>
      <c r="CT444" s="150"/>
      <c r="CU444" s="152"/>
      <c r="CV444" s="72"/>
      <c r="CW444" s="72"/>
      <c r="CX444" s="72"/>
      <c r="CY444" s="72"/>
      <c r="CZ444" s="72"/>
      <c r="DA444" s="72"/>
      <c r="DB444" s="72"/>
      <c r="DC444" s="72"/>
      <c r="DD444" s="72"/>
      <c r="DE444" s="72"/>
      <c r="DF444" s="72"/>
      <c r="DG444" s="72"/>
      <c r="DH444" s="72"/>
      <c r="DI444" s="72"/>
      <c r="DJ444" s="72"/>
      <c r="DK444" s="72"/>
      <c r="DL444" s="72"/>
      <c r="DM444" s="72"/>
      <c r="DN444" s="72"/>
      <c r="DO444" s="72"/>
      <c r="DP444" s="72"/>
      <c r="DQ444" s="72"/>
      <c r="DR444" s="72"/>
      <c r="DS444" s="72"/>
      <c r="DT444" s="72"/>
      <c r="DU444" s="72"/>
      <c r="DV444" s="72"/>
      <c r="DW444" s="72"/>
      <c r="DX444" s="72"/>
      <c r="DY444" s="72"/>
      <c r="DZ444" s="72"/>
      <c r="EA444" s="72"/>
      <c r="EB444" s="72"/>
      <c r="EC444" s="72"/>
      <c r="ED444" s="72"/>
      <c r="EE444" s="72"/>
      <c r="EF444" s="72"/>
      <c r="EG444" s="72"/>
      <c r="EH444" s="72"/>
      <c r="EI444" s="72"/>
      <c r="EJ444" s="72"/>
      <c r="EK444" s="72"/>
      <c r="EL444" s="72"/>
      <c r="EM444" s="72"/>
      <c r="EN444" s="72"/>
      <c r="EO444" s="72"/>
      <c r="EP444" s="72"/>
      <c r="EQ444" s="72"/>
      <c r="ER444" s="72"/>
      <c r="ES444" s="72"/>
      <c r="ET444" s="72"/>
      <c r="EU444" s="72"/>
      <c r="EV444" s="72"/>
      <c r="EW444" s="72"/>
      <c r="EX444" s="72"/>
      <c r="EY444" s="72"/>
      <c r="EZ444" s="72"/>
      <c r="FA444" s="72"/>
      <c r="FB444" s="72"/>
      <c r="FC444" s="72"/>
      <c r="FD444" s="72"/>
    </row>
    <row r="445" spans="1:160">
      <c r="A445" s="145"/>
      <c r="B445" s="145"/>
      <c r="C445" s="145"/>
      <c r="D445" s="145"/>
      <c r="E445" s="146"/>
      <c r="F445" s="145"/>
      <c r="G445" s="145"/>
      <c r="H445" s="145"/>
      <c r="I445" s="317"/>
      <c r="J445" s="145"/>
      <c r="K445" s="145"/>
      <c r="L445" s="72"/>
      <c r="M445" s="318"/>
      <c r="N445" s="146"/>
      <c r="O445" s="72"/>
      <c r="P445" s="72"/>
      <c r="Q445" s="145"/>
      <c r="R445" s="145"/>
      <c r="S445" s="145"/>
      <c r="T445" s="145"/>
      <c r="U445" s="145"/>
      <c r="V445" s="145"/>
      <c r="W445" s="145"/>
      <c r="X445" s="145"/>
      <c r="Y445" s="145"/>
      <c r="Z445" s="145"/>
      <c r="AA445" s="150"/>
      <c r="AB445" s="151"/>
      <c r="AC445" s="150"/>
      <c r="AD445" s="150"/>
      <c r="AE445" s="150"/>
      <c r="AF445" s="150"/>
      <c r="AG445" s="150"/>
      <c r="AH445" s="150"/>
      <c r="AI445" s="150"/>
      <c r="AJ445" s="150"/>
      <c r="AK445" s="150"/>
      <c r="AL445" s="150"/>
      <c r="AM445" s="150"/>
      <c r="AN445" s="150"/>
      <c r="AO445" s="150"/>
      <c r="AP445" s="150"/>
      <c r="AQ445" s="150"/>
      <c r="AR445" s="150"/>
      <c r="AS445" s="150"/>
      <c r="AT445" s="150"/>
      <c r="AU445" s="150"/>
      <c r="AV445" s="150"/>
      <c r="AW445" s="150"/>
      <c r="AX445" s="150"/>
      <c r="AY445" s="150"/>
      <c r="AZ445" s="150"/>
      <c r="BA445" s="150"/>
      <c r="BB445" s="150"/>
      <c r="BC445" s="150"/>
      <c r="BD445" s="150"/>
      <c r="BE445" s="150"/>
      <c r="BF445" s="150"/>
      <c r="BG445" s="150"/>
      <c r="BH445" s="150"/>
      <c r="BI445" s="150"/>
      <c r="BJ445" s="150"/>
      <c r="BK445" s="150"/>
      <c r="BL445" s="150"/>
      <c r="BM445" s="150"/>
      <c r="BN445" s="72"/>
      <c r="BO445" s="72"/>
      <c r="BP445" s="72"/>
      <c r="BQ445" s="72"/>
      <c r="BR445" s="72"/>
      <c r="BS445" s="72"/>
      <c r="BT445" s="72"/>
      <c r="BU445" s="72"/>
      <c r="BV445" s="72"/>
      <c r="BW445" s="72"/>
      <c r="BX445" s="72"/>
      <c r="BY445" s="72"/>
      <c r="BZ445" s="72"/>
      <c r="CA445" s="72"/>
      <c r="CB445" s="72"/>
      <c r="CC445" s="72"/>
      <c r="CD445" s="72"/>
      <c r="CE445" s="72"/>
      <c r="CF445" s="72"/>
      <c r="CG445" s="72"/>
      <c r="CH445" s="72"/>
      <c r="CI445" s="72"/>
      <c r="CJ445" s="72"/>
      <c r="CK445" s="72"/>
      <c r="CL445" s="72"/>
      <c r="CM445" s="72"/>
      <c r="CN445" s="72"/>
      <c r="CO445" s="72"/>
      <c r="CP445" s="72"/>
      <c r="CQ445" s="72"/>
      <c r="CR445" s="72"/>
      <c r="CS445" s="72"/>
      <c r="CT445" s="150"/>
      <c r="CU445" s="152"/>
      <c r="CV445" s="72"/>
      <c r="CW445" s="72"/>
      <c r="CX445" s="72"/>
      <c r="CY445" s="72"/>
      <c r="CZ445" s="72"/>
      <c r="DA445" s="72"/>
      <c r="DB445" s="72"/>
      <c r="DC445" s="72"/>
      <c r="DD445" s="72"/>
      <c r="DE445" s="72"/>
      <c r="DF445" s="72"/>
      <c r="DG445" s="72"/>
      <c r="DH445" s="72"/>
      <c r="DI445" s="72"/>
      <c r="DJ445" s="72"/>
      <c r="DK445" s="72"/>
      <c r="DL445" s="72"/>
      <c r="DM445" s="72"/>
      <c r="DN445" s="72"/>
      <c r="DO445" s="72"/>
      <c r="DP445" s="72"/>
      <c r="DQ445" s="72"/>
      <c r="DR445" s="72"/>
      <c r="DS445" s="72"/>
      <c r="DT445" s="72"/>
      <c r="DU445" s="72"/>
      <c r="DV445" s="72"/>
      <c r="DW445" s="72"/>
      <c r="DX445" s="72"/>
      <c r="DY445" s="72"/>
      <c r="DZ445" s="72"/>
      <c r="EA445" s="72"/>
      <c r="EB445" s="72"/>
      <c r="EC445" s="72"/>
      <c r="ED445" s="72"/>
      <c r="EE445" s="72"/>
      <c r="EF445" s="72"/>
      <c r="EG445" s="72"/>
      <c r="EH445" s="72"/>
      <c r="EI445" s="72"/>
      <c r="EJ445" s="72"/>
      <c r="EK445" s="72"/>
      <c r="EL445" s="72"/>
      <c r="EM445" s="72"/>
      <c r="EN445" s="72"/>
      <c r="EO445" s="72"/>
      <c r="EP445" s="72"/>
      <c r="EQ445" s="72"/>
      <c r="ER445" s="72"/>
      <c r="ES445" s="72"/>
      <c r="ET445" s="72"/>
      <c r="EU445" s="72"/>
      <c r="EV445" s="72"/>
      <c r="EW445" s="72"/>
      <c r="EX445" s="72"/>
      <c r="EY445" s="72"/>
      <c r="EZ445" s="72"/>
      <c r="FA445" s="72"/>
      <c r="FB445" s="72"/>
      <c r="FC445" s="72"/>
      <c r="FD445" s="72"/>
    </row>
    <row r="446" spans="1:160" ht="15">
      <c r="A446" s="145"/>
      <c r="B446" s="145"/>
      <c r="C446" s="145"/>
      <c r="D446" s="145"/>
      <c r="E446" s="146"/>
      <c r="F446" s="145"/>
      <c r="G446" s="145"/>
      <c r="H446" s="145"/>
      <c r="I446" s="317"/>
      <c r="J446" s="145"/>
      <c r="K446" s="323"/>
      <c r="L446" s="72"/>
      <c r="M446" s="318"/>
      <c r="N446" s="146"/>
      <c r="O446" s="72"/>
      <c r="P446" s="72"/>
      <c r="Q446" s="145"/>
      <c r="R446" s="145"/>
      <c r="S446" s="145"/>
      <c r="T446" s="145"/>
      <c r="U446" s="145"/>
      <c r="V446" s="145"/>
      <c r="W446" s="145"/>
      <c r="X446" s="145"/>
      <c r="Y446" s="145"/>
      <c r="Z446" s="145"/>
      <c r="AA446" s="150"/>
      <c r="AB446" s="151"/>
      <c r="AC446" s="150"/>
      <c r="AD446" s="150"/>
      <c r="AE446" s="150"/>
      <c r="AF446" s="150"/>
      <c r="AG446" s="150"/>
      <c r="AH446" s="150"/>
      <c r="AI446" s="150"/>
      <c r="AJ446" s="150"/>
      <c r="AK446" s="150"/>
      <c r="AL446" s="150"/>
      <c r="AM446" s="150"/>
      <c r="AN446" s="150"/>
      <c r="AO446" s="150"/>
      <c r="AP446" s="150"/>
      <c r="AQ446" s="150"/>
      <c r="AR446" s="150"/>
      <c r="AS446" s="150"/>
      <c r="AT446" s="150"/>
      <c r="AU446" s="150"/>
      <c r="AV446" s="150"/>
      <c r="AW446" s="150"/>
      <c r="AX446" s="150"/>
      <c r="AY446" s="150"/>
      <c r="AZ446" s="150"/>
      <c r="BA446" s="150"/>
      <c r="BB446" s="150"/>
      <c r="BC446" s="150"/>
      <c r="BD446" s="150"/>
      <c r="BE446" s="150"/>
      <c r="BF446" s="150"/>
      <c r="BG446" s="150"/>
      <c r="BH446" s="150"/>
      <c r="BI446" s="150"/>
      <c r="BJ446" s="150"/>
      <c r="BK446" s="150"/>
      <c r="BL446" s="150"/>
      <c r="BM446" s="150"/>
      <c r="BN446" s="72"/>
      <c r="BO446" s="72"/>
      <c r="BP446" s="72"/>
      <c r="BQ446" s="72"/>
      <c r="BR446" s="72"/>
      <c r="BS446" s="72"/>
      <c r="BT446" s="72"/>
      <c r="BU446" s="72"/>
      <c r="BV446" s="72"/>
      <c r="BW446" s="72"/>
      <c r="BX446" s="72"/>
      <c r="BY446" s="72"/>
      <c r="BZ446" s="72"/>
      <c r="CA446" s="72"/>
      <c r="CB446" s="72"/>
      <c r="CC446" s="72"/>
      <c r="CD446" s="72"/>
      <c r="CE446" s="72"/>
      <c r="CF446" s="72"/>
      <c r="CG446" s="72"/>
      <c r="CH446" s="72"/>
      <c r="CI446" s="72"/>
      <c r="CJ446" s="72"/>
      <c r="CK446" s="72"/>
      <c r="CL446" s="72"/>
      <c r="CM446" s="72"/>
      <c r="CN446" s="72"/>
      <c r="CO446" s="72"/>
      <c r="CP446" s="72"/>
      <c r="CQ446" s="72"/>
      <c r="CR446" s="72"/>
      <c r="CS446" s="72"/>
      <c r="CT446" s="150"/>
      <c r="CU446" s="152"/>
      <c r="CV446" s="72"/>
      <c r="CW446" s="72"/>
      <c r="CX446" s="72"/>
      <c r="CY446" s="72"/>
      <c r="CZ446" s="72"/>
      <c r="DA446" s="72"/>
      <c r="DB446" s="72"/>
      <c r="DC446" s="72"/>
      <c r="DD446" s="72"/>
      <c r="DE446" s="72"/>
      <c r="DF446" s="72"/>
      <c r="DG446" s="72"/>
      <c r="DH446" s="72"/>
      <c r="DI446" s="72"/>
      <c r="DJ446" s="72"/>
      <c r="DK446" s="72"/>
      <c r="DL446" s="72"/>
      <c r="DM446" s="72"/>
      <c r="DN446" s="72"/>
      <c r="DO446" s="72"/>
      <c r="DP446" s="72"/>
      <c r="DQ446" s="72"/>
      <c r="DR446" s="72"/>
      <c r="DS446" s="72"/>
      <c r="DT446" s="72"/>
      <c r="DU446" s="72"/>
      <c r="DV446" s="72"/>
      <c r="DW446" s="72"/>
      <c r="DX446" s="72"/>
      <c r="DY446" s="72"/>
      <c r="DZ446" s="72"/>
      <c r="EA446" s="72"/>
      <c r="EB446" s="72"/>
      <c r="EC446" s="72"/>
      <c r="ED446" s="72"/>
      <c r="EE446" s="72"/>
      <c r="EF446" s="72"/>
      <c r="EG446" s="72"/>
      <c r="EH446" s="72"/>
      <c r="EI446" s="72"/>
      <c r="EJ446" s="72"/>
      <c r="EK446" s="72"/>
      <c r="EL446" s="72"/>
      <c r="EM446" s="72"/>
      <c r="EN446" s="72"/>
      <c r="EO446" s="72"/>
      <c r="EP446" s="72"/>
      <c r="EQ446" s="72"/>
      <c r="ER446" s="72"/>
      <c r="ES446" s="72"/>
      <c r="ET446" s="72"/>
      <c r="EU446" s="72"/>
      <c r="EV446" s="72"/>
      <c r="EW446" s="72"/>
      <c r="EX446" s="72"/>
      <c r="EY446" s="72"/>
      <c r="EZ446" s="72"/>
      <c r="FA446" s="72"/>
      <c r="FB446" s="72"/>
      <c r="FC446" s="72"/>
      <c r="FD446" s="72"/>
    </row>
    <row r="447" spans="1:160" ht="15">
      <c r="A447" s="145"/>
      <c r="B447" s="145"/>
      <c r="C447" s="145"/>
      <c r="D447" s="145"/>
      <c r="E447" s="146"/>
      <c r="F447" s="145"/>
      <c r="G447" s="145"/>
      <c r="H447" s="145"/>
      <c r="I447" s="317"/>
      <c r="J447" s="145"/>
      <c r="K447" s="323"/>
      <c r="L447" s="72"/>
      <c r="M447" s="324"/>
      <c r="N447" s="146"/>
      <c r="O447" s="72"/>
      <c r="P447" s="72"/>
      <c r="Q447" s="145"/>
      <c r="R447" s="145"/>
      <c r="S447" s="145"/>
      <c r="T447" s="145"/>
      <c r="U447" s="145"/>
      <c r="V447" s="145"/>
      <c r="W447" s="145"/>
      <c r="X447" s="145"/>
      <c r="Y447" s="145"/>
      <c r="Z447" s="145"/>
      <c r="AA447" s="150"/>
      <c r="AB447" s="151"/>
      <c r="AC447" s="150"/>
      <c r="AD447" s="150"/>
      <c r="AE447" s="150"/>
      <c r="AF447" s="150"/>
      <c r="AG447" s="150"/>
      <c r="AH447" s="150"/>
      <c r="AI447" s="150"/>
      <c r="AJ447" s="150"/>
      <c r="AK447" s="150"/>
      <c r="AL447" s="150"/>
      <c r="AM447" s="150"/>
      <c r="AN447" s="150"/>
      <c r="AO447" s="150"/>
      <c r="AP447" s="150"/>
      <c r="AQ447" s="150"/>
      <c r="AR447" s="150"/>
      <c r="AS447" s="150"/>
      <c r="AT447" s="150"/>
      <c r="AU447" s="150"/>
      <c r="AV447" s="150"/>
      <c r="AW447" s="150"/>
      <c r="AX447" s="150"/>
      <c r="AY447" s="150"/>
      <c r="AZ447" s="150"/>
      <c r="BA447" s="150"/>
      <c r="BB447" s="150"/>
      <c r="BC447" s="150"/>
      <c r="BD447" s="150"/>
      <c r="BE447" s="150"/>
      <c r="BF447" s="150"/>
      <c r="BG447" s="150"/>
      <c r="BH447" s="150"/>
      <c r="BI447" s="150"/>
      <c r="BJ447" s="150"/>
      <c r="BK447" s="150"/>
      <c r="BL447" s="150"/>
      <c r="BM447" s="150"/>
      <c r="BN447" s="72"/>
      <c r="BO447" s="72"/>
      <c r="BP447" s="72"/>
      <c r="BQ447" s="72"/>
      <c r="BR447" s="72"/>
      <c r="BS447" s="72"/>
      <c r="BT447" s="72"/>
      <c r="BU447" s="72"/>
      <c r="BV447" s="72"/>
      <c r="BW447" s="72"/>
      <c r="BX447" s="72"/>
      <c r="BY447" s="72"/>
      <c r="BZ447" s="72"/>
      <c r="CA447" s="72"/>
      <c r="CB447" s="72"/>
      <c r="CC447" s="72"/>
      <c r="CD447" s="72"/>
      <c r="CE447" s="72"/>
      <c r="CF447" s="72"/>
      <c r="CG447" s="72"/>
      <c r="CH447" s="72"/>
      <c r="CI447" s="72"/>
      <c r="CJ447" s="72"/>
      <c r="CK447" s="72"/>
      <c r="CL447" s="72"/>
      <c r="CM447" s="72"/>
      <c r="CN447" s="72"/>
      <c r="CO447" s="72"/>
      <c r="CP447" s="72"/>
      <c r="CQ447" s="72"/>
      <c r="CR447" s="72"/>
      <c r="CS447" s="72"/>
      <c r="CT447" s="150"/>
      <c r="CU447" s="152"/>
      <c r="CV447" s="72"/>
      <c r="CW447" s="72"/>
      <c r="CX447" s="72"/>
      <c r="CY447" s="72"/>
      <c r="CZ447" s="72"/>
      <c r="DA447" s="72"/>
      <c r="DB447" s="72"/>
      <c r="DC447" s="72"/>
      <c r="DD447" s="72"/>
      <c r="DE447" s="72"/>
      <c r="DF447" s="72"/>
      <c r="DG447" s="72"/>
      <c r="DH447" s="72"/>
      <c r="DI447" s="72"/>
      <c r="DJ447" s="72"/>
      <c r="DK447" s="72"/>
      <c r="DL447" s="72"/>
      <c r="DM447" s="72"/>
      <c r="DN447" s="72"/>
      <c r="DO447" s="72"/>
      <c r="DP447" s="72"/>
      <c r="DQ447" s="72"/>
      <c r="DR447" s="72"/>
      <c r="DS447" s="72"/>
      <c r="DT447" s="72"/>
      <c r="DU447" s="72"/>
      <c r="DV447" s="72"/>
      <c r="DW447" s="72"/>
      <c r="DX447" s="72"/>
      <c r="DY447" s="72"/>
      <c r="DZ447" s="72"/>
      <c r="EA447" s="72"/>
      <c r="EB447" s="72"/>
      <c r="EC447" s="72"/>
      <c r="ED447" s="72"/>
      <c r="EE447" s="72"/>
      <c r="EF447" s="72"/>
      <c r="EG447" s="72"/>
      <c r="EH447" s="72"/>
      <c r="EI447" s="72"/>
      <c r="EJ447" s="72"/>
      <c r="EK447" s="72"/>
      <c r="EL447" s="72"/>
      <c r="EM447" s="72"/>
      <c r="EN447" s="72"/>
      <c r="EO447" s="72"/>
      <c r="EP447" s="72"/>
      <c r="EQ447" s="72"/>
      <c r="ER447" s="72"/>
      <c r="ES447" s="72"/>
      <c r="ET447" s="72"/>
      <c r="EU447" s="72"/>
      <c r="EV447" s="72"/>
      <c r="EW447" s="72"/>
      <c r="EX447" s="72"/>
      <c r="EY447" s="72"/>
      <c r="EZ447" s="72"/>
      <c r="FA447" s="72"/>
      <c r="FB447" s="72"/>
      <c r="FC447" s="72"/>
      <c r="FD447" s="72"/>
    </row>
    <row r="448" spans="1:160" ht="15">
      <c r="A448" s="145"/>
      <c r="B448" s="145"/>
      <c r="C448" s="145"/>
      <c r="D448" s="145"/>
      <c r="E448" s="146"/>
      <c r="F448" s="145"/>
      <c r="G448" s="145"/>
      <c r="H448" s="145"/>
      <c r="I448" s="317"/>
      <c r="J448" s="145"/>
      <c r="K448" s="323"/>
      <c r="L448" s="72"/>
      <c r="M448" s="324"/>
      <c r="N448" s="146"/>
      <c r="O448" s="72"/>
      <c r="P448" s="72"/>
      <c r="Q448" s="145"/>
      <c r="R448" s="145"/>
      <c r="S448" s="145"/>
      <c r="T448" s="145"/>
      <c r="U448" s="145"/>
      <c r="V448" s="145"/>
      <c r="W448" s="145"/>
      <c r="X448" s="145"/>
      <c r="Y448" s="145"/>
      <c r="Z448" s="145"/>
      <c r="AA448" s="150"/>
      <c r="AB448" s="151"/>
      <c r="AC448" s="150"/>
      <c r="AD448" s="150"/>
      <c r="AE448" s="150"/>
      <c r="AF448" s="150"/>
      <c r="AG448" s="150"/>
      <c r="AH448" s="150"/>
      <c r="AI448" s="150"/>
      <c r="AJ448" s="150"/>
      <c r="AK448" s="150"/>
      <c r="AL448" s="150"/>
      <c r="AM448" s="150"/>
      <c r="AN448" s="150"/>
      <c r="AO448" s="150"/>
      <c r="AP448" s="150"/>
      <c r="AQ448" s="150"/>
      <c r="AR448" s="150"/>
      <c r="AS448" s="150"/>
      <c r="AT448" s="150"/>
      <c r="AU448" s="150"/>
      <c r="AV448" s="150"/>
      <c r="AW448" s="150"/>
      <c r="AX448" s="150"/>
      <c r="AY448" s="150"/>
      <c r="AZ448" s="150"/>
      <c r="BA448" s="150"/>
      <c r="BB448" s="150"/>
      <c r="BC448" s="150"/>
      <c r="BD448" s="150"/>
      <c r="BE448" s="150"/>
      <c r="BF448" s="150"/>
      <c r="BG448" s="150"/>
      <c r="BH448" s="150"/>
      <c r="BI448" s="150"/>
      <c r="BJ448" s="150"/>
      <c r="BK448" s="150"/>
      <c r="BL448" s="150"/>
      <c r="BM448" s="150"/>
      <c r="BN448" s="72"/>
      <c r="BO448" s="72"/>
      <c r="BP448" s="72"/>
      <c r="BQ448" s="72"/>
      <c r="BR448" s="72"/>
      <c r="BS448" s="72"/>
      <c r="BT448" s="72"/>
      <c r="BU448" s="72"/>
      <c r="BV448" s="72"/>
      <c r="BW448" s="72"/>
      <c r="BX448" s="72"/>
      <c r="BY448" s="72"/>
      <c r="BZ448" s="72"/>
      <c r="CA448" s="72"/>
      <c r="CB448" s="72"/>
      <c r="CC448" s="72"/>
      <c r="CD448" s="72"/>
      <c r="CE448" s="72"/>
      <c r="CF448" s="72"/>
      <c r="CG448" s="72"/>
      <c r="CH448" s="72"/>
      <c r="CI448" s="72"/>
      <c r="CJ448" s="72"/>
      <c r="CK448" s="72"/>
      <c r="CL448" s="72"/>
      <c r="CM448" s="72"/>
      <c r="CN448" s="72"/>
      <c r="CO448" s="72"/>
      <c r="CP448" s="72"/>
      <c r="CQ448" s="72"/>
      <c r="CR448" s="72"/>
      <c r="CS448" s="72"/>
      <c r="CT448" s="150"/>
      <c r="CU448" s="152"/>
      <c r="CV448" s="72"/>
      <c r="CW448" s="72"/>
      <c r="CX448" s="72"/>
      <c r="CY448" s="72"/>
      <c r="CZ448" s="72"/>
      <c r="DA448" s="72"/>
      <c r="DB448" s="72"/>
      <c r="DC448" s="72"/>
      <c r="DD448" s="72"/>
      <c r="DE448" s="72"/>
      <c r="DF448" s="72"/>
      <c r="DG448" s="72"/>
      <c r="DH448" s="72"/>
      <c r="DI448" s="72"/>
      <c r="DJ448" s="72"/>
      <c r="DK448" s="72"/>
      <c r="DL448" s="72"/>
      <c r="DM448" s="72"/>
      <c r="DN448" s="72"/>
      <c r="DO448" s="72"/>
      <c r="DP448" s="72"/>
      <c r="DQ448" s="72"/>
      <c r="DR448" s="72"/>
      <c r="DS448" s="72"/>
      <c r="DT448" s="72"/>
      <c r="DU448" s="72"/>
      <c r="DV448" s="72"/>
      <c r="DW448" s="72"/>
      <c r="DX448" s="72"/>
      <c r="DY448" s="72"/>
      <c r="DZ448" s="72"/>
      <c r="EA448" s="72"/>
      <c r="EB448" s="72"/>
      <c r="EC448" s="72"/>
      <c r="ED448" s="72"/>
      <c r="EE448" s="72"/>
      <c r="EF448" s="72"/>
      <c r="EG448" s="72"/>
      <c r="EH448" s="72"/>
      <c r="EI448" s="72"/>
      <c r="EJ448" s="72"/>
      <c r="EK448" s="72"/>
      <c r="EL448" s="72"/>
      <c r="EM448" s="72"/>
      <c r="EN448" s="72"/>
      <c r="EO448" s="72"/>
      <c r="EP448" s="72"/>
      <c r="EQ448" s="72"/>
      <c r="ER448" s="72"/>
      <c r="ES448" s="72"/>
      <c r="ET448" s="72"/>
      <c r="EU448" s="72"/>
      <c r="EV448" s="72"/>
      <c r="EW448" s="72"/>
      <c r="EX448" s="72"/>
      <c r="EY448" s="72"/>
      <c r="EZ448" s="72"/>
      <c r="FA448" s="72"/>
      <c r="FB448" s="72"/>
      <c r="FC448" s="72"/>
      <c r="FD448" s="72"/>
    </row>
    <row r="449" spans="1:160" ht="15">
      <c r="A449" s="145"/>
      <c r="B449" s="145"/>
      <c r="C449" s="145"/>
      <c r="D449" s="145"/>
      <c r="E449" s="146"/>
      <c r="F449" s="145"/>
      <c r="G449" s="145"/>
      <c r="H449" s="145"/>
      <c r="I449" s="317"/>
      <c r="J449" s="145"/>
      <c r="K449" s="323"/>
      <c r="L449" s="72"/>
      <c r="M449" s="324"/>
      <c r="N449" s="146"/>
      <c r="O449" s="72"/>
      <c r="P449" s="72"/>
      <c r="Q449" s="145"/>
      <c r="R449" s="145"/>
      <c r="S449" s="145"/>
      <c r="T449" s="145"/>
      <c r="U449" s="145"/>
      <c r="V449" s="145"/>
      <c r="W449" s="145"/>
      <c r="X449" s="145"/>
      <c r="Y449" s="145"/>
      <c r="Z449" s="145"/>
      <c r="AA449" s="150"/>
      <c r="AB449" s="151"/>
      <c r="AC449" s="150"/>
      <c r="AD449" s="150"/>
      <c r="AE449" s="150"/>
      <c r="AF449" s="150"/>
      <c r="AG449" s="150"/>
      <c r="AH449" s="150"/>
      <c r="AI449" s="150"/>
      <c r="AJ449" s="150"/>
      <c r="AK449" s="150"/>
      <c r="AL449" s="150"/>
      <c r="AM449" s="150"/>
      <c r="AN449" s="150"/>
      <c r="AO449" s="150"/>
      <c r="AP449" s="150"/>
      <c r="AQ449" s="150"/>
      <c r="AR449" s="150"/>
      <c r="AS449" s="150"/>
      <c r="AT449" s="150"/>
      <c r="AU449" s="150"/>
      <c r="AV449" s="150"/>
      <c r="AW449" s="150"/>
      <c r="AX449" s="150"/>
      <c r="AY449" s="150"/>
      <c r="AZ449" s="150"/>
      <c r="BA449" s="150"/>
      <c r="BB449" s="150"/>
      <c r="BC449" s="150"/>
      <c r="BD449" s="150"/>
      <c r="BE449" s="150"/>
      <c r="BF449" s="150"/>
      <c r="BG449" s="150"/>
      <c r="BH449" s="150"/>
      <c r="BI449" s="150"/>
      <c r="BJ449" s="150"/>
      <c r="BK449" s="150"/>
      <c r="BL449" s="150"/>
      <c r="BM449" s="150"/>
      <c r="BN449" s="72"/>
      <c r="BO449" s="72"/>
      <c r="BP449" s="72"/>
      <c r="BQ449" s="72"/>
      <c r="BR449" s="72"/>
      <c r="BS449" s="72"/>
      <c r="BT449" s="72"/>
      <c r="BU449" s="72"/>
      <c r="BV449" s="72"/>
      <c r="BW449" s="72"/>
      <c r="BX449" s="72"/>
      <c r="BY449" s="72"/>
      <c r="BZ449" s="72"/>
      <c r="CA449" s="72"/>
      <c r="CB449" s="72"/>
      <c r="CC449" s="72"/>
      <c r="CD449" s="72"/>
      <c r="CE449" s="72"/>
      <c r="CF449" s="72"/>
      <c r="CG449" s="72"/>
      <c r="CH449" s="72"/>
      <c r="CI449" s="72"/>
      <c r="CJ449" s="72"/>
      <c r="CK449" s="72"/>
      <c r="CL449" s="72"/>
      <c r="CM449" s="72"/>
      <c r="CN449" s="72"/>
      <c r="CO449" s="72"/>
      <c r="CP449" s="72"/>
      <c r="CQ449" s="72"/>
      <c r="CR449" s="72"/>
      <c r="CS449" s="72"/>
      <c r="CT449" s="150"/>
      <c r="CU449" s="152"/>
      <c r="CV449" s="72"/>
      <c r="CW449" s="72"/>
      <c r="CX449" s="72"/>
      <c r="CY449" s="72"/>
      <c r="CZ449" s="72"/>
      <c r="DA449" s="72"/>
      <c r="DB449" s="72"/>
      <c r="DC449" s="72"/>
      <c r="DD449" s="72"/>
      <c r="DE449" s="72"/>
      <c r="DF449" s="72"/>
      <c r="DG449" s="72"/>
      <c r="DH449" s="72"/>
      <c r="DI449" s="72"/>
      <c r="DJ449" s="72"/>
      <c r="DK449" s="72"/>
      <c r="DL449" s="72"/>
      <c r="DM449" s="72"/>
      <c r="DN449" s="72"/>
      <c r="DO449" s="72"/>
      <c r="DP449" s="72"/>
      <c r="DQ449" s="72"/>
      <c r="DR449" s="72"/>
      <c r="DS449" s="72"/>
      <c r="DT449" s="72"/>
      <c r="DU449" s="72"/>
      <c r="DV449" s="72"/>
      <c r="DW449" s="72"/>
      <c r="DX449" s="72"/>
      <c r="DY449" s="72"/>
      <c r="DZ449" s="72"/>
      <c r="EA449" s="72"/>
      <c r="EB449" s="72"/>
      <c r="EC449" s="72"/>
      <c r="ED449" s="72"/>
      <c r="EE449" s="72"/>
      <c r="EF449" s="72"/>
      <c r="EG449" s="72"/>
      <c r="EH449" s="72"/>
      <c r="EI449" s="72"/>
      <c r="EJ449" s="72"/>
      <c r="EK449" s="72"/>
      <c r="EL449" s="72"/>
      <c r="EM449" s="72"/>
      <c r="EN449" s="72"/>
      <c r="EO449" s="72"/>
      <c r="EP449" s="72"/>
      <c r="EQ449" s="72"/>
      <c r="ER449" s="72"/>
      <c r="ES449" s="72"/>
      <c r="ET449" s="72"/>
      <c r="EU449" s="72"/>
      <c r="EV449" s="72"/>
      <c r="EW449" s="72"/>
      <c r="EX449" s="72"/>
      <c r="EY449" s="72"/>
      <c r="EZ449" s="72"/>
      <c r="FA449" s="72"/>
      <c r="FB449" s="72"/>
      <c r="FC449" s="72"/>
      <c r="FD449" s="72"/>
    </row>
    <row r="450" spans="1:160" ht="15">
      <c r="A450" s="145"/>
      <c r="B450" s="145"/>
      <c r="C450" s="145"/>
      <c r="D450" s="145"/>
      <c r="E450" s="146"/>
      <c r="F450" s="145"/>
      <c r="G450" s="145"/>
      <c r="H450" s="145"/>
      <c r="I450" s="317"/>
      <c r="J450" s="145"/>
      <c r="K450" s="323"/>
      <c r="L450" s="72"/>
      <c r="M450" s="324"/>
      <c r="N450" s="146"/>
      <c r="O450" s="72"/>
      <c r="P450" s="72"/>
      <c r="Q450" s="145"/>
      <c r="R450" s="145"/>
      <c r="S450" s="145"/>
      <c r="T450" s="145"/>
      <c r="U450" s="145"/>
      <c r="V450" s="145"/>
      <c r="W450" s="145"/>
      <c r="X450" s="145"/>
      <c r="Y450" s="145"/>
      <c r="Z450" s="145"/>
      <c r="AA450" s="150"/>
      <c r="AB450" s="151"/>
      <c r="AC450" s="150"/>
      <c r="AD450" s="150"/>
      <c r="AE450" s="150"/>
      <c r="AF450" s="150"/>
      <c r="AG450" s="150"/>
      <c r="AH450" s="150"/>
      <c r="AI450" s="150"/>
      <c r="AJ450" s="150"/>
      <c r="AK450" s="150"/>
      <c r="AL450" s="150"/>
      <c r="AM450" s="150"/>
      <c r="AN450" s="150"/>
      <c r="AO450" s="150"/>
      <c r="AP450" s="150"/>
      <c r="AQ450" s="150"/>
      <c r="AR450" s="150"/>
      <c r="AS450" s="150"/>
      <c r="AT450" s="150"/>
      <c r="AU450" s="150"/>
      <c r="AV450" s="150"/>
      <c r="AW450" s="150"/>
      <c r="AX450" s="150"/>
      <c r="AY450" s="150"/>
      <c r="AZ450" s="150"/>
      <c r="BA450" s="150"/>
      <c r="BB450" s="150"/>
      <c r="BC450" s="150"/>
      <c r="BD450" s="150"/>
      <c r="BE450" s="150"/>
      <c r="BF450" s="150"/>
      <c r="BG450" s="150"/>
      <c r="BH450" s="150"/>
      <c r="BI450" s="150"/>
      <c r="BJ450" s="150"/>
      <c r="BK450" s="150"/>
      <c r="BL450" s="150"/>
      <c r="BM450" s="150"/>
      <c r="BN450" s="72"/>
      <c r="BO450" s="72"/>
      <c r="BP450" s="72"/>
      <c r="BQ450" s="72"/>
      <c r="BR450" s="72"/>
      <c r="BS450" s="72"/>
      <c r="BT450" s="72"/>
      <c r="BU450" s="72"/>
      <c r="BV450" s="72"/>
      <c r="BW450" s="72"/>
      <c r="BX450" s="72"/>
      <c r="BY450" s="72"/>
      <c r="BZ450" s="72"/>
      <c r="CA450" s="72"/>
      <c r="CB450" s="72"/>
      <c r="CC450" s="72"/>
      <c r="CD450" s="72"/>
      <c r="CE450" s="72"/>
      <c r="CF450" s="72"/>
      <c r="CG450" s="72"/>
      <c r="CH450" s="72"/>
      <c r="CI450" s="72"/>
      <c r="CJ450" s="72"/>
      <c r="CK450" s="72"/>
      <c r="CL450" s="72"/>
      <c r="CM450" s="72"/>
      <c r="CN450" s="72"/>
      <c r="CO450" s="72"/>
      <c r="CP450" s="72"/>
      <c r="CQ450" s="72"/>
      <c r="CR450" s="72"/>
      <c r="CS450" s="72"/>
      <c r="CT450" s="150"/>
      <c r="CU450" s="152"/>
      <c r="CV450" s="72"/>
      <c r="CW450" s="72"/>
      <c r="CX450" s="72"/>
      <c r="CY450" s="72"/>
      <c r="CZ450" s="72"/>
      <c r="DA450" s="72"/>
      <c r="DB450" s="72"/>
      <c r="DC450" s="72"/>
      <c r="DD450" s="72"/>
      <c r="DE450" s="72"/>
      <c r="DF450" s="72"/>
      <c r="DG450" s="72"/>
      <c r="DH450" s="72"/>
      <c r="DI450" s="72"/>
      <c r="DJ450" s="72"/>
      <c r="DK450" s="72"/>
      <c r="DL450" s="72"/>
      <c r="DM450" s="72"/>
      <c r="DN450" s="72"/>
      <c r="DO450" s="72"/>
      <c r="DP450" s="72"/>
      <c r="DQ450" s="72"/>
      <c r="DR450" s="72"/>
      <c r="DS450" s="72"/>
      <c r="DT450" s="72"/>
      <c r="DU450" s="72"/>
      <c r="DV450" s="72"/>
      <c r="DW450" s="72"/>
      <c r="DX450" s="72"/>
      <c r="DY450" s="72"/>
      <c r="DZ450" s="72"/>
      <c r="EA450" s="72"/>
      <c r="EB450" s="72"/>
      <c r="EC450" s="72"/>
      <c r="ED450" s="72"/>
      <c r="EE450" s="72"/>
      <c r="EF450" s="72"/>
      <c r="EG450" s="72"/>
      <c r="EH450" s="72"/>
      <c r="EI450" s="72"/>
      <c r="EJ450" s="72"/>
      <c r="EK450" s="72"/>
      <c r="EL450" s="72"/>
      <c r="EM450" s="72"/>
      <c r="EN450" s="72"/>
      <c r="EO450" s="72"/>
      <c r="EP450" s="72"/>
      <c r="EQ450" s="72"/>
      <c r="ER450" s="72"/>
      <c r="ES450" s="72"/>
      <c r="ET450" s="72"/>
      <c r="EU450" s="72"/>
      <c r="EV450" s="72"/>
      <c r="EW450" s="72"/>
      <c r="EX450" s="72"/>
      <c r="EY450" s="72"/>
      <c r="EZ450" s="72"/>
      <c r="FA450" s="72"/>
      <c r="FB450" s="72"/>
      <c r="FC450" s="72"/>
      <c r="FD450" s="72"/>
    </row>
    <row r="451" spans="1:160" ht="15">
      <c r="A451" s="145"/>
      <c r="B451" s="145"/>
      <c r="C451" s="145"/>
      <c r="D451" s="145"/>
      <c r="E451" s="146"/>
      <c r="F451" s="145"/>
      <c r="G451" s="145"/>
      <c r="H451" s="145"/>
      <c r="I451" s="317"/>
      <c r="J451" s="145"/>
      <c r="K451" s="323"/>
      <c r="L451" s="72"/>
      <c r="M451" s="324"/>
      <c r="N451" s="146"/>
      <c r="O451" s="72"/>
      <c r="P451" s="72"/>
      <c r="Q451" s="145"/>
      <c r="R451" s="145"/>
      <c r="S451" s="145"/>
      <c r="T451" s="145"/>
      <c r="U451" s="145"/>
      <c r="V451" s="145"/>
      <c r="W451" s="145"/>
      <c r="X451" s="145"/>
      <c r="Y451" s="145"/>
      <c r="Z451" s="145"/>
      <c r="AA451" s="150"/>
      <c r="AB451" s="151"/>
      <c r="AC451" s="150"/>
      <c r="AD451" s="150"/>
      <c r="AE451" s="150"/>
      <c r="AF451" s="150"/>
      <c r="AG451" s="150"/>
      <c r="AH451" s="150"/>
      <c r="AI451" s="150"/>
      <c r="AJ451" s="150"/>
      <c r="AK451" s="150"/>
      <c r="AL451" s="150"/>
      <c r="AM451" s="150"/>
      <c r="AN451" s="150"/>
      <c r="AO451" s="150"/>
      <c r="AP451" s="150"/>
      <c r="AQ451" s="150"/>
      <c r="AR451" s="150"/>
      <c r="AS451" s="150"/>
      <c r="AT451" s="150"/>
      <c r="AU451" s="150"/>
      <c r="AV451" s="150"/>
      <c r="AW451" s="150"/>
      <c r="AX451" s="150"/>
      <c r="AY451" s="150"/>
      <c r="AZ451" s="150"/>
      <c r="BA451" s="150"/>
      <c r="BB451" s="150"/>
      <c r="BC451" s="150"/>
      <c r="BD451" s="150"/>
      <c r="BE451" s="150"/>
      <c r="BF451" s="150"/>
      <c r="BG451" s="150"/>
      <c r="BH451" s="150"/>
      <c r="BI451" s="150"/>
      <c r="BJ451" s="150"/>
      <c r="BK451" s="150"/>
      <c r="BL451" s="150"/>
      <c r="BM451" s="150"/>
      <c r="BN451" s="72"/>
      <c r="BO451" s="72"/>
      <c r="BP451" s="72"/>
      <c r="BQ451" s="72"/>
      <c r="BR451" s="72"/>
      <c r="BS451" s="72"/>
      <c r="BT451" s="72"/>
      <c r="BU451" s="72"/>
      <c r="BV451" s="72"/>
      <c r="BW451" s="72"/>
      <c r="BX451" s="72"/>
      <c r="BY451" s="72"/>
      <c r="BZ451" s="72"/>
      <c r="CA451" s="72"/>
      <c r="CB451" s="72"/>
      <c r="CC451" s="72"/>
      <c r="CD451" s="72"/>
      <c r="CE451" s="72"/>
      <c r="CF451" s="72"/>
      <c r="CG451" s="72"/>
      <c r="CH451" s="72"/>
      <c r="CI451" s="72"/>
      <c r="CJ451" s="72"/>
      <c r="CK451" s="72"/>
      <c r="CL451" s="72"/>
      <c r="CM451" s="72"/>
      <c r="CN451" s="72"/>
      <c r="CO451" s="72"/>
      <c r="CP451" s="72"/>
      <c r="CQ451" s="72"/>
      <c r="CR451" s="72"/>
      <c r="CS451" s="72"/>
      <c r="CT451" s="150"/>
      <c r="CU451" s="152"/>
      <c r="CV451" s="72"/>
      <c r="CW451" s="72"/>
      <c r="CX451" s="72"/>
      <c r="CY451" s="72"/>
      <c r="CZ451" s="72"/>
      <c r="DA451" s="72"/>
      <c r="DB451" s="72"/>
      <c r="DC451" s="72"/>
      <c r="DD451" s="72"/>
      <c r="DE451" s="72"/>
      <c r="DF451" s="72"/>
      <c r="DG451" s="72"/>
      <c r="DH451" s="72"/>
      <c r="DI451" s="72"/>
      <c r="DJ451" s="72"/>
      <c r="DK451" s="72"/>
      <c r="DL451" s="72"/>
      <c r="DM451" s="72"/>
      <c r="DN451" s="72"/>
      <c r="DO451" s="72"/>
      <c r="DP451" s="72"/>
      <c r="DQ451" s="72"/>
      <c r="DR451" s="72"/>
      <c r="DS451" s="72"/>
      <c r="DT451" s="72"/>
      <c r="DU451" s="72"/>
      <c r="DV451" s="72"/>
      <c r="DW451" s="72"/>
      <c r="DX451" s="72"/>
      <c r="DY451" s="72"/>
      <c r="DZ451" s="72"/>
      <c r="EA451" s="72"/>
      <c r="EB451" s="72"/>
      <c r="EC451" s="72"/>
      <c r="ED451" s="72"/>
      <c r="EE451" s="72"/>
      <c r="EF451" s="72"/>
      <c r="EG451" s="72"/>
      <c r="EH451" s="72"/>
      <c r="EI451" s="72"/>
      <c r="EJ451" s="72"/>
      <c r="EK451" s="72"/>
      <c r="EL451" s="72"/>
      <c r="EM451" s="72"/>
      <c r="EN451" s="72"/>
      <c r="EO451" s="72"/>
      <c r="EP451" s="72"/>
      <c r="EQ451" s="72"/>
      <c r="ER451" s="72"/>
      <c r="ES451" s="72"/>
      <c r="ET451" s="72"/>
      <c r="EU451" s="72"/>
      <c r="EV451" s="72"/>
      <c r="EW451" s="72"/>
      <c r="EX451" s="72"/>
      <c r="EY451" s="72"/>
      <c r="EZ451" s="72"/>
      <c r="FA451" s="72"/>
      <c r="FB451" s="72"/>
      <c r="FC451" s="72"/>
      <c r="FD451" s="72"/>
    </row>
    <row r="452" spans="1:160" ht="15">
      <c r="A452" s="145"/>
      <c r="B452" s="145"/>
      <c r="C452" s="145"/>
      <c r="D452" s="145"/>
      <c r="E452" s="146"/>
      <c r="F452" s="145"/>
      <c r="G452" s="145"/>
      <c r="H452" s="145"/>
      <c r="I452" s="317"/>
      <c r="J452" s="145"/>
      <c r="K452" s="323"/>
      <c r="L452" s="72"/>
      <c r="M452" s="324"/>
      <c r="N452" s="146"/>
      <c r="O452" s="72"/>
      <c r="P452" s="72"/>
      <c r="Q452" s="145"/>
      <c r="R452" s="145"/>
      <c r="S452" s="145"/>
      <c r="T452" s="145"/>
      <c r="U452" s="145"/>
      <c r="V452" s="145"/>
      <c r="W452" s="145"/>
      <c r="X452" s="145"/>
      <c r="Y452" s="145"/>
      <c r="Z452" s="145"/>
      <c r="AA452" s="150"/>
      <c r="AB452" s="151"/>
      <c r="AC452" s="150"/>
      <c r="AD452" s="150"/>
      <c r="AE452" s="150"/>
      <c r="AF452" s="150"/>
      <c r="AG452" s="150"/>
      <c r="AH452" s="150"/>
      <c r="AI452" s="150"/>
      <c r="AJ452" s="150"/>
      <c r="AK452" s="150"/>
      <c r="AL452" s="150"/>
      <c r="AM452" s="150"/>
      <c r="AN452" s="150"/>
      <c r="AO452" s="150"/>
      <c r="AP452" s="150"/>
      <c r="AQ452" s="150"/>
      <c r="AR452" s="150"/>
      <c r="AS452" s="150"/>
      <c r="AT452" s="150"/>
      <c r="AU452" s="150"/>
      <c r="AV452" s="150"/>
      <c r="AW452" s="150"/>
      <c r="AX452" s="150"/>
      <c r="AY452" s="150"/>
      <c r="AZ452" s="150"/>
      <c r="BA452" s="150"/>
      <c r="BB452" s="150"/>
      <c r="BC452" s="150"/>
      <c r="BD452" s="150"/>
      <c r="BE452" s="150"/>
      <c r="BF452" s="150"/>
      <c r="BG452" s="150"/>
      <c r="BH452" s="150"/>
      <c r="BI452" s="150"/>
      <c r="BJ452" s="150"/>
      <c r="BK452" s="150"/>
      <c r="BL452" s="150"/>
      <c r="BM452" s="150"/>
      <c r="BN452" s="72"/>
      <c r="BO452" s="72"/>
      <c r="BP452" s="72"/>
      <c r="BQ452" s="72"/>
      <c r="BR452" s="72"/>
      <c r="BS452" s="72"/>
      <c r="BT452" s="72"/>
      <c r="BU452" s="72"/>
      <c r="BV452" s="72"/>
      <c r="BW452" s="72"/>
      <c r="BX452" s="72"/>
      <c r="BY452" s="72"/>
      <c r="BZ452" s="72"/>
      <c r="CA452" s="72"/>
      <c r="CB452" s="72"/>
      <c r="CC452" s="72"/>
      <c r="CD452" s="72"/>
      <c r="CE452" s="72"/>
      <c r="CF452" s="72"/>
      <c r="CG452" s="72"/>
      <c r="CH452" s="72"/>
      <c r="CI452" s="72"/>
      <c r="CJ452" s="72"/>
      <c r="CK452" s="72"/>
      <c r="CL452" s="72"/>
      <c r="CM452" s="72"/>
      <c r="CN452" s="72"/>
      <c r="CO452" s="72"/>
      <c r="CP452" s="72"/>
      <c r="CQ452" s="72"/>
      <c r="CR452" s="72"/>
      <c r="CS452" s="72"/>
      <c r="CT452" s="150"/>
      <c r="CU452" s="152"/>
      <c r="CV452" s="72"/>
      <c r="CW452" s="72"/>
      <c r="CX452" s="72"/>
      <c r="CY452" s="72"/>
      <c r="CZ452" s="72"/>
      <c r="DA452" s="72"/>
      <c r="DB452" s="72"/>
      <c r="DC452" s="72"/>
      <c r="DD452" s="72"/>
      <c r="DE452" s="72"/>
      <c r="DF452" s="72"/>
      <c r="DG452" s="72"/>
      <c r="DH452" s="72"/>
      <c r="DI452" s="72"/>
      <c r="DJ452" s="72"/>
      <c r="DK452" s="72"/>
      <c r="DL452" s="72"/>
      <c r="DM452" s="72"/>
      <c r="DN452" s="72"/>
      <c r="DO452" s="72"/>
      <c r="DP452" s="72"/>
      <c r="DQ452" s="72"/>
      <c r="DR452" s="72"/>
      <c r="DS452" s="72"/>
      <c r="DT452" s="72"/>
      <c r="DU452" s="72"/>
      <c r="DV452" s="72"/>
      <c r="DW452" s="72"/>
      <c r="DX452" s="72"/>
      <c r="DY452" s="72"/>
      <c r="DZ452" s="72"/>
      <c r="EA452" s="72"/>
      <c r="EB452" s="72"/>
      <c r="EC452" s="72"/>
      <c r="ED452" s="72"/>
      <c r="EE452" s="72"/>
      <c r="EF452" s="72"/>
      <c r="EG452" s="72"/>
      <c r="EH452" s="72"/>
      <c r="EI452" s="72"/>
      <c r="EJ452" s="72"/>
      <c r="EK452" s="72"/>
      <c r="EL452" s="72"/>
      <c r="EM452" s="72"/>
      <c r="EN452" s="72"/>
      <c r="EO452" s="72"/>
      <c r="EP452" s="72"/>
      <c r="EQ452" s="72"/>
      <c r="ER452" s="72"/>
      <c r="ES452" s="72"/>
      <c r="ET452" s="72"/>
      <c r="EU452" s="72"/>
      <c r="EV452" s="72"/>
      <c r="EW452" s="72"/>
      <c r="EX452" s="72"/>
      <c r="EY452" s="72"/>
      <c r="EZ452" s="72"/>
      <c r="FA452" s="72"/>
      <c r="FB452" s="72"/>
      <c r="FC452" s="72"/>
      <c r="FD452" s="72"/>
    </row>
    <row r="453" spans="1:160" ht="15">
      <c r="A453" s="145"/>
      <c r="B453" s="145"/>
      <c r="C453" s="145"/>
      <c r="D453" s="145"/>
      <c r="E453" s="146"/>
      <c r="F453" s="145"/>
      <c r="G453" s="145"/>
      <c r="H453" s="145"/>
      <c r="I453" s="317"/>
      <c r="J453" s="145"/>
      <c r="K453" s="323"/>
      <c r="L453" s="72"/>
      <c r="M453" s="324"/>
      <c r="N453" s="146"/>
      <c r="O453" s="72"/>
      <c r="P453" s="72"/>
      <c r="Q453" s="145"/>
      <c r="R453" s="145"/>
      <c r="S453" s="145"/>
      <c r="T453" s="145"/>
      <c r="U453" s="145"/>
      <c r="V453" s="145"/>
      <c r="W453" s="145"/>
      <c r="X453" s="145"/>
      <c r="Y453" s="145"/>
      <c r="Z453" s="145"/>
      <c r="AA453" s="150"/>
      <c r="AB453" s="151"/>
      <c r="AC453" s="150"/>
      <c r="AD453" s="150"/>
      <c r="AE453" s="150"/>
      <c r="AF453" s="150"/>
      <c r="AG453" s="150"/>
      <c r="AH453" s="150"/>
      <c r="AI453" s="150"/>
      <c r="AJ453" s="150"/>
      <c r="AK453" s="150"/>
      <c r="AL453" s="150"/>
      <c r="AM453" s="150"/>
      <c r="AN453" s="150"/>
      <c r="AO453" s="150"/>
      <c r="AP453" s="150"/>
      <c r="AQ453" s="150"/>
      <c r="AR453" s="150"/>
      <c r="AS453" s="150"/>
      <c r="AT453" s="150"/>
      <c r="AU453" s="150"/>
      <c r="AV453" s="150"/>
      <c r="AW453" s="150"/>
      <c r="AX453" s="150"/>
      <c r="AY453" s="150"/>
      <c r="AZ453" s="150"/>
      <c r="BA453" s="150"/>
      <c r="BB453" s="150"/>
      <c r="BC453" s="150"/>
      <c r="BD453" s="150"/>
      <c r="BE453" s="150"/>
      <c r="BF453" s="150"/>
      <c r="BG453" s="150"/>
      <c r="BH453" s="150"/>
      <c r="BI453" s="150"/>
      <c r="BJ453" s="150"/>
      <c r="BK453" s="150"/>
      <c r="BL453" s="150"/>
      <c r="BM453" s="150"/>
      <c r="BN453" s="72"/>
      <c r="BO453" s="72"/>
      <c r="BP453" s="72"/>
      <c r="BQ453" s="72"/>
      <c r="BR453" s="72"/>
      <c r="BS453" s="72"/>
      <c r="BT453" s="72"/>
      <c r="BU453" s="72"/>
      <c r="BV453" s="72"/>
      <c r="BW453" s="72"/>
      <c r="BX453" s="72"/>
      <c r="BY453" s="72"/>
      <c r="BZ453" s="72"/>
      <c r="CA453" s="72"/>
      <c r="CB453" s="72"/>
      <c r="CC453" s="72"/>
      <c r="CD453" s="72"/>
      <c r="CE453" s="72"/>
      <c r="CF453" s="72"/>
      <c r="CG453" s="72"/>
      <c r="CH453" s="72"/>
      <c r="CI453" s="72"/>
      <c r="CJ453" s="72"/>
      <c r="CK453" s="72"/>
      <c r="CL453" s="72"/>
      <c r="CM453" s="72"/>
      <c r="CN453" s="72"/>
      <c r="CO453" s="72"/>
      <c r="CP453" s="72"/>
      <c r="CQ453" s="72"/>
      <c r="CR453" s="72"/>
      <c r="CS453" s="72"/>
      <c r="CT453" s="150"/>
      <c r="CU453" s="152"/>
      <c r="CV453" s="72"/>
      <c r="CW453" s="72"/>
      <c r="CX453" s="72"/>
      <c r="CY453" s="72"/>
      <c r="CZ453" s="72"/>
      <c r="DA453" s="72"/>
      <c r="DB453" s="72"/>
      <c r="DC453" s="72"/>
      <c r="DD453" s="72"/>
      <c r="DE453" s="72"/>
      <c r="DF453" s="72"/>
      <c r="DG453" s="72"/>
      <c r="DH453" s="72"/>
      <c r="DI453" s="72"/>
      <c r="DJ453" s="72"/>
      <c r="DK453" s="72"/>
      <c r="DL453" s="72"/>
      <c r="DM453" s="72"/>
      <c r="DN453" s="72"/>
      <c r="DO453" s="72"/>
      <c r="DP453" s="72"/>
      <c r="DQ453" s="72"/>
      <c r="DR453" s="72"/>
      <c r="DS453" s="72"/>
      <c r="DT453" s="72"/>
      <c r="DU453" s="72"/>
      <c r="DV453" s="72"/>
      <c r="DW453" s="72"/>
      <c r="DX453" s="72"/>
      <c r="DY453" s="72"/>
      <c r="DZ453" s="72"/>
      <c r="EA453" s="72"/>
      <c r="EB453" s="72"/>
      <c r="EC453" s="72"/>
      <c r="ED453" s="72"/>
      <c r="EE453" s="72"/>
      <c r="EF453" s="72"/>
      <c r="EG453" s="72"/>
      <c r="EH453" s="72"/>
      <c r="EI453" s="72"/>
      <c r="EJ453" s="72"/>
      <c r="EK453" s="72"/>
      <c r="EL453" s="72"/>
      <c r="EM453" s="72"/>
      <c r="EN453" s="72"/>
      <c r="EO453" s="72"/>
      <c r="EP453" s="72"/>
      <c r="EQ453" s="72"/>
      <c r="ER453" s="72"/>
      <c r="ES453" s="72"/>
      <c r="ET453" s="72"/>
      <c r="EU453" s="72"/>
      <c r="EV453" s="72"/>
      <c r="EW453" s="72"/>
      <c r="EX453" s="72"/>
      <c r="EY453" s="72"/>
      <c r="EZ453" s="72"/>
      <c r="FA453" s="72"/>
      <c r="FB453" s="72"/>
      <c r="FC453" s="72"/>
      <c r="FD453" s="72"/>
    </row>
    <row r="454" spans="1:160" ht="15">
      <c r="A454" s="145"/>
      <c r="B454" s="145"/>
      <c r="C454" s="145"/>
      <c r="D454" s="145"/>
      <c r="E454" s="146"/>
      <c r="F454" s="145"/>
      <c r="G454" s="145"/>
      <c r="H454" s="145"/>
      <c r="I454" s="317"/>
      <c r="J454" s="145"/>
      <c r="K454" s="323"/>
      <c r="L454" s="72"/>
      <c r="M454" s="324"/>
      <c r="N454" s="146"/>
      <c r="O454" s="72"/>
      <c r="P454" s="72"/>
      <c r="Q454" s="145"/>
      <c r="R454" s="145"/>
      <c r="S454" s="145"/>
      <c r="T454" s="145"/>
      <c r="U454" s="145"/>
      <c r="V454" s="145"/>
      <c r="W454" s="145"/>
      <c r="X454" s="145"/>
      <c r="Y454" s="145"/>
      <c r="Z454" s="145"/>
      <c r="AA454" s="150"/>
      <c r="AB454" s="151"/>
      <c r="AC454" s="150"/>
      <c r="AD454" s="150"/>
      <c r="AE454" s="150"/>
      <c r="AF454" s="150"/>
      <c r="AG454" s="150"/>
      <c r="AH454" s="150"/>
      <c r="AI454" s="150"/>
      <c r="AJ454" s="150"/>
      <c r="AK454" s="150"/>
      <c r="AL454" s="150"/>
      <c r="AM454" s="150"/>
      <c r="AN454" s="150"/>
      <c r="AO454" s="150"/>
      <c r="AP454" s="150"/>
      <c r="AQ454" s="150"/>
      <c r="AR454" s="150"/>
      <c r="AS454" s="150"/>
      <c r="AT454" s="150"/>
      <c r="AU454" s="150"/>
      <c r="AV454" s="150"/>
      <c r="AW454" s="150"/>
      <c r="AX454" s="150"/>
      <c r="AY454" s="150"/>
      <c r="AZ454" s="150"/>
      <c r="BA454" s="150"/>
      <c r="BB454" s="150"/>
      <c r="BC454" s="150"/>
      <c r="BD454" s="150"/>
      <c r="BE454" s="150"/>
      <c r="BF454" s="150"/>
      <c r="BG454" s="150"/>
      <c r="BH454" s="150"/>
      <c r="BI454" s="150"/>
      <c r="BJ454" s="150"/>
      <c r="BK454" s="150"/>
      <c r="BL454" s="150"/>
      <c r="BM454" s="150"/>
      <c r="BN454" s="72"/>
      <c r="BO454" s="72"/>
      <c r="BP454" s="72"/>
      <c r="BQ454" s="72"/>
      <c r="BR454" s="72"/>
      <c r="BS454" s="72"/>
      <c r="BT454" s="72"/>
      <c r="BU454" s="72"/>
      <c r="BV454" s="72"/>
      <c r="BW454" s="72"/>
      <c r="BX454" s="72"/>
      <c r="BY454" s="72"/>
      <c r="BZ454" s="72"/>
      <c r="CA454" s="72"/>
      <c r="CB454" s="72"/>
      <c r="CC454" s="72"/>
      <c r="CD454" s="72"/>
      <c r="CE454" s="72"/>
      <c r="CF454" s="72"/>
      <c r="CG454" s="72"/>
      <c r="CH454" s="72"/>
      <c r="CI454" s="72"/>
      <c r="CJ454" s="72"/>
      <c r="CK454" s="72"/>
      <c r="CL454" s="72"/>
      <c r="CM454" s="72"/>
      <c r="CN454" s="72"/>
      <c r="CO454" s="72"/>
      <c r="CP454" s="72"/>
      <c r="CQ454" s="72"/>
      <c r="CR454" s="72"/>
      <c r="CS454" s="72"/>
      <c r="CT454" s="150"/>
      <c r="CU454" s="152"/>
      <c r="CV454" s="72"/>
      <c r="CW454" s="72"/>
      <c r="CX454" s="72"/>
      <c r="CY454" s="72"/>
      <c r="CZ454" s="72"/>
      <c r="DA454" s="72"/>
      <c r="DB454" s="72"/>
      <c r="DC454" s="72"/>
      <c r="DD454" s="72"/>
      <c r="DE454" s="72"/>
      <c r="DF454" s="72"/>
      <c r="DG454" s="72"/>
      <c r="DH454" s="72"/>
      <c r="DI454" s="72"/>
      <c r="DJ454" s="72"/>
      <c r="DK454" s="72"/>
      <c r="DL454" s="72"/>
      <c r="DM454" s="72"/>
      <c r="DN454" s="72"/>
      <c r="DO454" s="72"/>
      <c r="DP454" s="72"/>
      <c r="DQ454" s="72"/>
      <c r="DR454" s="72"/>
      <c r="DS454" s="72"/>
      <c r="DT454" s="72"/>
      <c r="DU454" s="72"/>
      <c r="DV454" s="72"/>
      <c r="DW454" s="72"/>
      <c r="DX454" s="72"/>
      <c r="DY454" s="72"/>
      <c r="DZ454" s="72"/>
      <c r="EA454" s="72"/>
      <c r="EB454" s="72"/>
      <c r="EC454" s="72"/>
      <c r="ED454" s="72"/>
      <c r="EE454" s="72"/>
      <c r="EF454" s="72"/>
      <c r="EG454" s="72"/>
      <c r="EH454" s="72"/>
      <c r="EI454" s="72"/>
      <c r="EJ454" s="72"/>
      <c r="EK454" s="72"/>
      <c r="EL454" s="72"/>
      <c r="EM454" s="72"/>
      <c r="EN454" s="72"/>
      <c r="EO454" s="72"/>
      <c r="EP454" s="72"/>
      <c r="EQ454" s="72"/>
      <c r="ER454" s="72"/>
      <c r="ES454" s="72"/>
      <c r="ET454" s="72"/>
      <c r="EU454" s="72"/>
      <c r="EV454" s="72"/>
      <c r="EW454" s="72"/>
      <c r="EX454" s="72"/>
      <c r="EY454" s="72"/>
      <c r="EZ454" s="72"/>
      <c r="FA454" s="72"/>
      <c r="FB454" s="72"/>
      <c r="FC454" s="72"/>
      <c r="FD454" s="72"/>
    </row>
    <row r="455" spans="1:160" ht="15">
      <c r="A455" s="145"/>
      <c r="B455" s="145"/>
      <c r="C455" s="145"/>
      <c r="D455" s="145"/>
      <c r="E455" s="146"/>
      <c r="F455" s="145"/>
      <c r="G455" s="145"/>
      <c r="H455" s="145"/>
      <c r="I455" s="317"/>
      <c r="J455" s="145"/>
      <c r="K455" s="323"/>
      <c r="L455" s="72"/>
      <c r="M455" s="324"/>
      <c r="N455" s="146"/>
      <c r="O455" s="72"/>
      <c r="P455" s="72"/>
      <c r="Q455" s="145"/>
      <c r="R455" s="145"/>
      <c r="S455" s="145"/>
      <c r="T455" s="145"/>
      <c r="U455" s="145"/>
      <c r="V455" s="145"/>
      <c r="W455" s="145"/>
      <c r="X455" s="145"/>
      <c r="Y455" s="145"/>
      <c r="Z455" s="145"/>
      <c r="AA455" s="150"/>
      <c r="AB455" s="151"/>
      <c r="AC455" s="150"/>
      <c r="AD455" s="150"/>
      <c r="AE455" s="150"/>
      <c r="AF455" s="150"/>
      <c r="AG455" s="150"/>
      <c r="AH455" s="150"/>
      <c r="AI455" s="150"/>
      <c r="AJ455" s="150"/>
      <c r="AK455" s="150"/>
      <c r="AL455" s="150"/>
      <c r="AM455" s="150"/>
      <c r="AN455" s="150"/>
      <c r="AO455" s="150"/>
      <c r="AP455" s="150"/>
      <c r="AQ455" s="150"/>
      <c r="AR455" s="150"/>
      <c r="AS455" s="150"/>
      <c r="AT455" s="150"/>
      <c r="AU455" s="150"/>
      <c r="AV455" s="150"/>
      <c r="AW455" s="150"/>
      <c r="AX455" s="150"/>
      <c r="AY455" s="150"/>
      <c r="AZ455" s="150"/>
      <c r="BA455" s="150"/>
      <c r="BB455" s="150"/>
      <c r="BC455" s="150"/>
      <c r="BD455" s="150"/>
      <c r="BE455" s="150"/>
      <c r="BF455" s="150"/>
      <c r="BG455" s="150"/>
      <c r="BH455" s="150"/>
      <c r="BI455" s="150"/>
      <c r="BJ455" s="150"/>
      <c r="BK455" s="150"/>
      <c r="BL455" s="150"/>
      <c r="BM455" s="150"/>
      <c r="BN455" s="72"/>
      <c r="BO455" s="72"/>
      <c r="BP455" s="72"/>
      <c r="BQ455" s="72"/>
      <c r="BR455" s="72"/>
      <c r="BS455" s="72"/>
      <c r="BT455" s="72"/>
      <c r="BU455" s="72"/>
      <c r="BV455" s="72"/>
      <c r="BW455" s="72"/>
      <c r="BX455" s="72"/>
      <c r="BY455" s="72"/>
      <c r="BZ455" s="72"/>
      <c r="CA455" s="72"/>
      <c r="CB455" s="72"/>
      <c r="CC455" s="72"/>
      <c r="CD455" s="72"/>
      <c r="CE455" s="72"/>
      <c r="CF455" s="72"/>
      <c r="CG455" s="72"/>
      <c r="CH455" s="72"/>
      <c r="CI455" s="72"/>
      <c r="CJ455" s="72"/>
      <c r="CK455" s="72"/>
      <c r="CL455" s="72"/>
      <c r="CM455" s="72"/>
      <c r="CN455" s="72"/>
      <c r="CO455" s="72"/>
      <c r="CP455" s="72"/>
      <c r="CQ455" s="72"/>
      <c r="CR455" s="72"/>
      <c r="CS455" s="72"/>
      <c r="CT455" s="150"/>
      <c r="CU455" s="152"/>
      <c r="CV455" s="72"/>
      <c r="CW455" s="72"/>
      <c r="CX455" s="72"/>
      <c r="CY455" s="72"/>
      <c r="CZ455" s="72"/>
      <c r="DA455" s="72"/>
      <c r="DB455" s="72"/>
      <c r="DC455" s="72"/>
      <c r="DD455" s="72"/>
      <c r="DE455" s="72"/>
      <c r="DF455" s="72"/>
      <c r="DG455" s="72"/>
      <c r="DH455" s="72"/>
      <c r="DI455" s="72"/>
      <c r="DJ455" s="72"/>
      <c r="DK455" s="72"/>
      <c r="DL455" s="72"/>
      <c r="DM455" s="72"/>
      <c r="DN455" s="72"/>
      <c r="DO455" s="72"/>
      <c r="DP455" s="72"/>
      <c r="DQ455" s="72"/>
      <c r="DR455" s="72"/>
      <c r="DS455" s="72"/>
      <c r="DT455" s="72"/>
      <c r="DU455" s="72"/>
      <c r="DV455" s="72"/>
      <c r="DW455" s="72"/>
      <c r="DX455" s="72"/>
      <c r="DY455" s="72"/>
      <c r="DZ455" s="72"/>
      <c r="EA455" s="72"/>
      <c r="EB455" s="72"/>
      <c r="EC455" s="72"/>
      <c r="ED455" s="72"/>
      <c r="EE455" s="72"/>
      <c r="EF455" s="72"/>
      <c r="EG455" s="72"/>
      <c r="EH455" s="72"/>
      <c r="EI455" s="72"/>
      <c r="EJ455" s="72"/>
      <c r="EK455" s="72"/>
      <c r="EL455" s="72"/>
      <c r="EM455" s="72"/>
      <c r="EN455" s="72"/>
      <c r="EO455" s="72"/>
      <c r="EP455" s="72"/>
      <c r="EQ455" s="72"/>
      <c r="ER455" s="72"/>
      <c r="ES455" s="72"/>
      <c r="ET455" s="72"/>
      <c r="EU455" s="72"/>
      <c r="EV455" s="72"/>
      <c r="EW455" s="72"/>
      <c r="EX455" s="72"/>
      <c r="EY455" s="72"/>
      <c r="EZ455" s="72"/>
      <c r="FA455" s="72"/>
      <c r="FB455" s="72"/>
      <c r="FC455" s="72"/>
      <c r="FD455" s="72"/>
    </row>
    <row r="456" spans="1:160" ht="15">
      <c r="A456" s="145"/>
      <c r="B456" s="145"/>
      <c r="C456" s="145"/>
      <c r="D456" s="145"/>
      <c r="E456" s="146"/>
      <c r="F456" s="145"/>
      <c r="G456" s="145"/>
      <c r="H456" s="145"/>
      <c r="I456" s="317"/>
      <c r="J456" s="145"/>
      <c r="K456" s="323"/>
      <c r="L456" s="72"/>
      <c r="M456" s="324"/>
      <c r="N456" s="146"/>
      <c r="O456" s="72"/>
      <c r="P456" s="72"/>
      <c r="Q456" s="145"/>
      <c r="R456" s="145"/>
      <c r="S456" s="145"/>
      <c r="T456" s="145"/>
      <c r="U456" s="145"/>
      <c r="V456" s="145"/>
      <c r="W456" s="145"/>
      <c r="X456" s="145"/>
      <c r="Y456" s="145"/>
      <c r="Z456" s="145"/>
      <c r="AA456" s="150"/>
      <c r="AB456" s="151"/>
      <c r="AC456" s="150"/>
      <c r="AD456" s="150"/>
      <c r="AE456" s="150"/>
      <c r="AF456" s="150"/>
      <c r="AG456" s="150"/>
      <c r="AH456" s="150"/>
      <c r="AI456" s="150"/>
      <c r="AJ456" s="150"/>
      <c r="AK456" s="150"/>
      <c r="AL456" s="150"/>
      <c r="AM456" s="150"/>
      <c r="AN456" s="150"/>
      <c r="AO456" s="150"/>
      <c r="AP456" s="150"/>
      <c r="AQ456" s="150"/>
      <c r="AR456" s="150"/>
      <c r="AS456" s="150"/>
      <c r="AT456" s="150"/>
      <c r="AU456" s="150"/>
      <c r="AV456" s="150"/>
      <c r="AW456" s="150"/>
      <c r="AX456" s="150"/>
      <c r="AY456" s="150"/>
      <c r="AZ456" s="150"/>
      <c r="BA456" s="150"/>
      <c r="BB456" s="150"/>
      <c r="BC456" s="150"/>
      <c r="BD456" s="150"/>
      <c r="BE456" s="150"/>
      <c r="BF456" s="150"/>
      <c r="BG456" s="150"/>
      <c r="BH456" s="150"/>
      <c r="BI456" s="150"/>
      <c r="BJ456" s="150"/>
      <c r="BK456" s="150"/>
      <c r="BL456" s="150"/>
      <c r="BM456" s="150"/>
      <c r="BN456" s="72"/>
      <c r="BO456" s="72"/>
      <c r="BP456" s="72"/>
      <c r="BQ456" s="72"/>
      <c r="BR456" s="72"/>
      <c r="BS456" s="72"/>
      <c r="BT456" s="72"/>
      <c r="BU456" s="72"/>
      <c r="BV456" s="72"/>
      <c r="BW456" s="72"/>
      <c r="BX456" s="72"/>
      <c r="BY456" s="72"/>
      <c r="BZ456" s="72"/>
      <c r="CA456" s="72"/>
      <c r="CB456" s="72"/>
      <c r="CC456" s="72"/>
      <c r="CD456" s="72"/>
      <c r="CE456" s="72"/>
      <c r="CF456" s="72"/>
      <c r="CG456" s="72"/>
      <c r="CH456" s="72"/>
      <c r="CI456" s="72"/>
      <c r="CJ456" s="72"/>
      <c r="CK456" s="72"/>
      <c r="CL456" s="72"/>
      <c r="CM456" s="72"/>
      <c r="CN456" s="72"/>
      <c r="CO456" s="72"/>
      <c r="CP456" s="72"/>
      <c r="CQ456" s="72"/>
      <c r="CR456" s="72"/>
      <c r="CS456" s="72"/>
      <c r="CT456" s="150"/>
      <c r="CU456" s="152"/>
      <c r="CV456" s="72"/>
      <c r="CW456" s="72"/>
      <c r="CX456" s="72"/>
      <c r="CY456" s="72"/>
      <c r="CZ456" s="72"/>
      <c r="DA456" s="72"/>
      <c r="DB456" s="72"/>
      <c r="DC456" s="72"/>
      <c r="DD456" s="72"/>
      <c r="DE456" s="72"/>
      <c r="DF456" s="72"/>
      <c r="DG456" s="72"/>
      <c r="DH456" s="72"/>
      <c r="DI456" s="72"/>
      <c r="DJ456" s="72"/>
      <c r="DK456" s="72"/>
      <c r="DL456" s="72"/>
      <c r="DM456" s="72"/>
      <c r="DN456" s="72"/>
      <c r="DO456" s="72"/>
      <c r="DP456" s="72"/>
      <c r="DQ456" s="72"/>
      <c r="DR456" s="72"/>
      <c r="DS456" s="72"/>
      <c r="DT456" s="72"/>
      <c r="DU456" s="72"/>
      <c r="DV456" s="72"/>
      <c r="DW456" s="72"/>
      <c r="DX456" s="72"/>
      <c r="DY456" s="72"/>
      <c r="DZ456" s="72"/>
      <c r="EA456" s="72"/>
      <c r="EB456" s="72"/>
      <c r="EC456" s="72"/>
      <c r="ED456" s="72"/>
      <c r="EE456" s="72"/>
      <c r="EF456" s="72"/>
      <c r="EG456" s="72"/>
      <c r="EH456" s="72"/>
      <c r="EI456" s="72"/>
      <c r="EJ456" s="72"/>
      <c r="EK456" s="72"/>
      <c r="EL456" s="72"/>
      <c r="EM456" s="72"/>
      <c r="EN456" s="72"/>
      <c r="EO456" s="72"/>
      <c r="EP456" s="72"/>
      <c r="EQ456" s="72"/>
      <c r="ER456" s="72"/>
      <c r="ES456" s="72"/>
      <c r="ET456" s="72"/>
      <c r="EU456" s="72"/>
      <c r="EV456" s="72"/>
      <c r="EW456" s="72"/>
      <c r="EX456" s="72"/>
      <c r="EY456" s="72"/>
      <c r="EZ456" s="72"/>
      <c r="FA456" s="72"/>
      <c r="FB456" s="72"/>
      <c r="FC456" s="72"/>
      <c r="FD456" s="72"/>
    </row>
    <row r="457" spans="1:160" ht="15">
      <c r="A457" s="145"/>
      <c r="B457" s="145"/>
      <c r="C457" s="145"/>
      <c r="D457" s="145"/>
      <c r="E457" s="146"/>
      <c r="F457" s="145"/>
      <c r="G457" s="145"/>
      <c r="H457" s="145"/>
      <c r="I457" s="317"/>
      <c r="J457" s="145"/>
      <c r="K457" s="323"/>
      <c r="L457" s="72"/>
      <c r="M457" s="324"/>
      <c r="N457" s="146"/>
      <c r="O457" s="72"/>
      <c r="P457" s="72"/>
      <c r="Q457" s="145"/>
      <c r="R457" s="145"/>
      <c r="S457" s="145"/>
      <c r="T457" s="145"/>
      <c r="U457" s="145"/>
      <c r="V457" s="145"/>
      <c r="W457" s="145"/>
      <c r="X457" s="145"/>
      <c r="Y457" s="145"/>
      <c r="Z457" s="145"/>
      <c r="AA457" s="150"/>
      <c r="AB457" s="151"/>
      <c r="AC457" s="150"/>
      <c r="AD457" s="150"/>
      <c r="AE457" s="150"/>
      <c r="AF457" s="150"/>
      <c r="AG457" s="150"/>
      <c r="AH457" s="150"/>
      <c r="AI457" s="150"/>
      <c r="AJ457" s="150"/>
      <c r="AK457" s="150"/>
      <c r="AL457" s="150"/>
      <c r="AM457" s="150"/>
      <c r="AN457" s="150"/>
      <c r="AO457" s="150"/>
      <c r="AP457" s="150"/>
      <c r="AQ457" s="150"/>
      <c r="AR457" s="150"/>
      <c r="AS457" s="150"/>
      <c r="AT457" s="150"/>
      <c r="AU457" s="150"/>
      <c r="AV457" s="150"/>
      <c r="AW457" s="150"/>
      <c r="AX457" s="150"/>
      <c r="AY457" s="150"/>
      <c r="AZ457" s="150"/>
      <c r="BA457" s="150"/>
      <c r="BB457" s="150"/>
      <c r="BC457" s="150"/>
      <c r="BD457" s="150"/>
      <c r="BE457" s="150"/>
      <c r="BF457" s="150"/>
      <c r="BG457" s="150"/>
      <c r="BH457" s="150"/>
      <c r="BI457" s="150"/>
      <c r="BJ457" s="150"/>
      <c r="BK457" s="150"/>
      <c r="BL457" s="150"/>
      <c r="BM457" s="150"/>
      <c r="BN457" s="72"/>
      <c r="BO457" s="72"/>
      <c r="BP457" s="72"/>
      <c r="BQ457" s="72"/>
      <c r="BR457" s="72"/>
      <c r="BS457" s="72"/>
      <c r="BT457" s="72"/>
      <c r="BU457" s="72"/>
      <c r="BV457" s="72"/>
      <c r="BW457" s="72"/>
      <c r="BX457" s="72"/>
      <c r="BY457" s="72"/>
      <c r="BZ457" s="72"/>
      <c r="CA457" s="72"/>
      <c r="CB457" s="72"/>
      <c r="CC457" s="72"/>
      <c r="CD457" s="72"/>
      <c r="CE457" s="72"/>
      <c r="CF457" s="72"/>
      <c r="CG457" s="72"/>
      <c r="CH457" s="72"/>
      <c r="CI457" s="72"/>
      <c r="CJ457" s="72"/>
      <c r="CK457" s="72"/>
      <c r="CL457" s="72"/>
      <c r="CM457" s="72"/>
      <c r="CN457" s="72"/>
      <c r="CO457" s="72"/>
      <c r="CP457" s="72"/>
      <c r="CQ457" s="72"/>
      <c r="CR457" s="72"/>
      <c r="CS457" s="72"/>
      <c r="CT457" s="150"/>
      <c r="CU457" s="152"/>
      <c r="CV457" s="72"/>
      <c r="CW457" s="72"/>
      <c r="CX457" s="72"/>
      <c r="CY457" s="72"/>
      <c r="CZ457" s="72"/>
      <c r="DA457" s="72"/>
      <c r="DB457" s="72"/>
      <c r="DC457" s="72"/>
      <c r="DD457" s="72"/>
      <c r="DE457" s="72"/>
      <c r="DF457" s="72"/>
      <c r="DG457" s="72"/>
      <c r="DH457" s="72"/>
      <c r="DI457" s="72"/>
      <c r="DJ457" s="72"/>
      <c r="DK457" s="72"/>
      <c r="DL457" s="72"/>
      <c r="DM457" s="72"/>
      <c r="DN457" s="72"/>
      <c r="DO457" s="72"/>
      <c r="DP457" s="72"/>
      <c r="DQ457" s="72"/>
      <c r="DR457" s="72"/>
      <c r="DS457" s="72"/>
      <c r="DT457" s="72"/>
      <c r="DU457" s="72"/>
      <c r="DV457" s="72"/>
      <c r="DW457" s="72"/>
      <c r="DX457" s="72"/>
      <c r="DY457" s="72"/>
      <c r="DZ457" s="72"/>
      <c r="EA457" s="72"/>
      <c r="EB457" s="72"/>
      <c r="EC457" s="72"/>
      <c r="ED457" s="72"/>
      <c r="EE457" s="72"/>
      <c r="EF457" s="72"/>
      <c r="EG457" s="72"/>
      <c r="EH457" s="72"/>
      <c r="EI457" s="72"/>
      <c r="EJ457" s="72"/>
      <c r="EK457" s="72"/>
      <c r="EL457" s="72"/>
      <c r="EM457" s="72"/>
      <c r="EN457" s="72"/>
      <c r="EO457" s="72"/>
      <c r="EP457" s="72"/>
      <c r="EQ457" s="72"/>
      <c r="ER457" s="72"/>
      <c r="ES457" s="72"/>
      <c r="ET457" s="72"/>
      <c r="EU457" s="72"/>
      <c r="EV457" s="72"/>
      <c r="EW457" s="72"/>
      <c r="EX457" s="72"/>
      <c r="EY457" s="72"/>
      <c r="EZ457" s="72"/>
      <c r="FA457" s="72"/>
      <c r="FB457" s="72"/>
      <c r="FC457" s="72"/>
      <c r="FD457" s="72"/>
    </row>
    <row r="458" spans="1:160" ht="15">
      <c r="A458" s="145"/>
      <c r="B458" s="145"/>
      <c r="C458" s="145"/>
      <c r="D458" s="145"/>
      <c r="E458" s="146"/>
      <c r="F458" s="145"/>
      <c r="G458" s="145"/>
      <c r="H458" s="145"/>
      <c r="I458" s="325"/>
      <c r="J458" s="145"/>
      <c r="K458" s="323"/>
      <c r="L458" s="72"/>
      <c r="M458" s="324"/>
      <c r="N458" s="146"/>
      <c r="O458" s="72"/>
      <c r="P458" s="72"/>
      <c r="Q458" s="145"/>
      <c r="R458" s="145"/>
      <c r="S458" s="145"/>
      <c r="T458" s="145"/>
      <c r="U458" s="145"/>
      <c r="V458" s="145"/>
      <c r="W458" s="145"/>
      <c r="X458" s="145"/>
      <c r="Y458" s="145"/>
      <c r="Z458" s="145"/>
      <c r="AA458" s="150"/>
      <c r="AB458" s="151"/>
      <c r="AC458" s="150"/>
      <c r="AD458" s="150"/>
      <c r="AE458" s="150"/>
      <c r="AF458" s="150"/>
      <c r="AG458" s="150"/>
      <c r="AH458" s="150"/>
      <c r="AI458" s="150"/>
      <c r="AJ458" s="150"/>
      <c r="AK458" s="150"/>
      <c r="AL458" s="150"/>
      <c r="AM458" s="150"/>
      <c r="AN458" s="150"/>
      <c r="AO458" s="150"/>
      <c r="AP458" s="150"/>
      <c r="AQ458" s="150"/>
      <c r="AR458" s="150"/>
      <c r="AS458" s="150"/>
      <c r="AT458" s="150"/>
      <c r="AU458" s="150"/>
      <c r="AV458" s="150"/>
      <c r="AW458" s="150"/>
      <c r="AX458" s="150"/>
      <c r="AY458" s="150"/>
      <c r="AZ458" s="150"/>
      <c r="BA458" s="150"/>
      <c r="BB458" s="150"/>
      <c r="BC458" s="150"/>
      <c r="BD458" s="150"/>
      <c r="BE458" s="150"/>
      <c r="BF458" s="150"/>
      <c r="BG458" s="150"/>
      <c r="BH458" s="150"/>
      <c r="BI458" s="150"/>
      <c r="BJ458" s="150"/>
      <c r="BK458" s="150"/>
      <c r="BL458" s="150"/>
      <c r="BM458" s="150"/>
      <c r="BN458" s="72"/>
      <c r="BO458" s="72"/>
      <c r="BP458" s="72"/>
      <c r="BQ458" s="72"/>
      <c r="BR458" s="72"/>
      <c r="BS458" s="72"/>
      <c r="BT458" s="72"/>
      <c r="BU458" s="72"/>
      <c r="BV458" s="72"/>
      <c r="BW458" s="72"/>
      <c r="BX458" s="72"/>
      <c r="BY458" s="72"/>
      <c r="BZ458" s="72"/>
      <c r="CA458" s="72"/>
      <c r="CB458" s="72"/>
      <c r="CC458" s="72"/>
      <c r="CD458" s="72"/>
      <c r="CE458" s="72"/>
      <c r="CF458" s="72"/>
      <c r="CG458" s="72"/>
      <c r="CH458" s="72"/>
      <c r="CI458" s="72"/>
      <c r="CJ458" s="72"/>
      <c r="CK458" s="72"/>
      <c r="CL458" s="72"/>
      <c r="CM458" s="72"/>
      <c r="CN458" s="72"/>
      <c r="CO458" s="72"/>
      <c r="CP458" s="72"/>
      <c r="CQ458" s="72"/>
      <c r="CR458" s="72"/>
      <c r="CS458" s="72"/>
      <c r="CT458" s="150"/>
      <c r="CU458" s="152"/>
      <c r="CV458" s="72"/>
      <c r="CW458" s="72"/>
      <c r="CX458" s="72"/>
      <c r="CY458" s="72"/>
      <c r="CZ458" s="72"/>
      <c r="DA458" s="72"/>
      <c r="DB458" s="72"/>
      <c r="DC458" s="72"/>
      <c r="DD458" s="72"/>
      <c r="DE458" s="72"/>
      <c r="DF458" s="72"/>
      <c r="DG458" s="72"/>
      <c r="DH458" s="72"/>
      <c r="DI458" s="72"/>
      <c r="DJ458" s="72"/>
      <c r="DK458" s="72"/>
      <c r="DL458" s="72"/>
      <c r="DM458" s="72"/>
      <c r="DN458" s="72"/>
      <c r="DO458" s="72"/>
      <c r="DP458" s="72"/>
      <c r="DQ458" s="72"/>
      <c r="DR458" s="72"/>
      <c r="DS458" s="72"/>
      <c r="DT458" s="72"/>
      <c r="DU458" s="72"/>
      <c r="DV458" s="72"/>
      <c r="DW458" s="72"/>
      <c r="DX458" s="72"/>
      <c r="DY458" s="72"/>
      <c r="DZ458" s="72"/>
      <c r="EA458" s="72"/>
      <c r="EB458" s="72"/>
      <c r="EC458" s="72"/>
      <c r="ED458" s="72"/>
      <c r="EE458" s="72"/>
      <c r="EF458" s="72"/>
      <c r="EG458" s="72"/>
      <c r="EH458" s="72"/>
      <c r="EI458" s="72"/>
      <c r="EJ458" s="72"/>
      <c r="EK458" s="72"/>
      <c r="EL458" s="72"/>
      <c r="EM458" s="72"/>
      <c r="EN458" s="72"/>
      <c r="EO458" s="72"/>
      <c r="EP458" s="72"/>
      <c r="EQ458" s="72"/>
      <c r="ER458" s="72"/>
      <c r="ES458" s="72"/>
      <c r="ET458" s="72"/>
      <c r="EU458" s="72"/>
      <c r="EV458" s="72"/>
      <c r="EW458" s="72"/>
      <c r="EX458" s="72"/>
      <c r="EY458" s="72"/>
      <c r="EZ458" s="72"/>
      <c r="FA458" s="72"/>
      <c r="FB458" s="72"/>
      <c r="FC458" s="72"/>
      <c r="FD458" s="72"/>
    </row>
    <row r="459" spans="1:160" ht="15">
      <c r="A459" s="145"/>
      <c r="B459" s="145"/>
      <c r="C459" s="145"/>
      <c r="D459" s="145"/>
      <c r="E459" s="146"/>
      <c r="F459" s="145"/>
      <c r="G459" s="145"/>
      <c r="H459" s="145"/>
      <c r="I459" s="325"/>
      <c r="J459" s="145"/>
      <c r="K459" s="323"/>
      <c r="L459" s="72"/>
      <c r="M459" s="324"/>
      <c r="N459" s="146"/>
      <c r="O459" s="72"/>
      <c r="P459" s="72"/>
      <c r="Q459" s="145"/>
      <c r="R459" s="145"/>
      <c r="S459" s="145"/>
      <c r="T459" s="145"/>
      <c r="U459" s="145"/>
      <c r="V459" s="145"/>
      <c r="W459" s="145"/>
      <c r="X459" s="145"/>
      <c r="Y459" s="145"/>
      <c r="Z459" s="145"/>
      <c r="AA459" s="150"/>
      <c r="AB459" s="151"/>
      <c r="AC459" s="150"/>
      <c r="AD459" s="150"/>
      <c r="AE459" s="150"/>
      <c r="AF459" s="150"/>
      <c r="AG459" s="150"/>
      <c r="AH459" s="150"/>
      <c r="AI459" s="150"/>
      <c r="AJ459" s="150"/>
      <c r="AK459" s="150"/>
      <c r="AL459" s="150"/>
      <c r="AM459" s="150"/>
      <c r="AN459" s="150"/>
      <c r="AO459" s="150"/>
      <c r="AP459" s="150"/>
      <c r="AQ459" s="150"/>
      <c r="AR459" s="150"/>
      <c r="AS459" s="150"/>
      <c r="AT459" s="150"/>
      <c r="AU459" s="150"/>
      <c r="AV459" s="150"/>
      <c r="AW459" s="150"/>
      <c r="AX459" s="150"/>
      <c r="AY459" s="150"/>
      <c r="AZ459" s="150"/>
      <c r="BA459" s="150"/>
      <c r="BB459" s="150"/>
      <c r="BC459" s="150"/>
      <c r="BD459" s="150"/>
      <c r="BE459" s="150"/>
      <c r="BF459" s="150"/>
      <c r="BG459" s="150"/>
      <c r="BH459" s="150"/>
      <c r="BI459" s="150"/>
      <c r="BJ459" s="150"/>
      <c r="BK459" s="150"/>
      <c r="BL459" s="150"/>
      <c r="BM459" s="150"/>
      <c r="BN459" s="72"/>
      <c r="BO459" s="72"/>
      <c r="BP459" s="72"/>
      <c r="BQ459" s="72"/>
      <c r="BR459" s="72"/>
      <c r="BS459" s="72"/>
      <c r="BT459" s="72"/>
      <c r="BU459" s="72"/>
      <c r="BV459" s="72"/>
      <c r="BW459" s="72"/>
      <c r="BX459" s="72"/>
      <c r="BY459" s="72"/>
      <c r="BZ459" s="72"/>
      <c r="CA459" s="72"/>
      <c r="CB459" s="72"/>
      <c r="CC459" s="72"/>
      <c r="CD459" s="72"/>
      <c r="CE459" s="72"/>
      <c r="CF459" s="72"/>
      <c r="CG459" s="72"/>
      <c r="CH459" s="72"/>
      <c r="CI459" s="72"/>
      <c r="CJ459" s="72"/>
      <c r="CK459" s="72"/>
      <c r="CL459" s="72"/>
      <c r="CM459" s="72"/>
      <c r="CN459" s="72"/>
      <c r="CO459" s="72"/>
      <c r="CP459" s="72"/>
      <c r="CQ459" s="72"/>
      <c r="CR459" s="72"/>
      <c r="CS459" s="72"/>
      <c r="CT459" s="150"/>
      <c r="CU459" s="152"/>
      <c r="CV459" s="72"/>
      <c r="CW459" s="72"/>
      <c r="CX459" s="72"/>
      <c r="CY459" s="72"/>
      <c r="CZ459" s="72"/>
      <c r="DA459" s="72"/>
      <c r="DB459" s="72"/>
      <c r="DC459" s="72"/>
      <c r="DD459" s="72"/>
      <c r="DE459" s="72"/>
      <c r="DF459" s="72"/>
      <c r="DG459" s="72"/>
      <c r="DH459" s="72"/>
      <c r="DI459" s="72"/>
      <c r="DJ459" s="72"/>
      <c r="DK459" s="72"/>
      <c r="DL459" s="72"/>
      <c r="DM459" s="72"/>
      <c r="DN459" s="72"/>
      <c r="DO459" s="72"/>
      <c r="DP459" s="72"/>
      <c r="DQ459" s="72"/>
      <c r="DR459" s="72"/>
      <c r="DS459" s="72"/>
      <c r="DT459" s="72"/>
      <c r="DU459" s="72"/>
      <c r="DV459" s="72"/>
      <c r="DW459" s="72"/>
      <c r="DX459" s="72"/>
      <c r="DY459" s="72"/>
      <c r="DZ459" s="72"/>
      <c r="EA459" s="72"/>
      <c r="EB459" s="72"/>
      <c r="EC459" s="72"/>
      <c r="ED459" s="72"/>
      <c r="EE459" s="72"/>
      <c r="EF459" s="72"/>
      <c r="EG459" s="72"/>
      <c r="EH459" s="72"/>
      <c r="EI459" s="72"/>
      <c r="EJ459" s="72"/>
      <c r="EK459" s="72"/>
      <c r="EL459" s="72"/>
      <c r="EM459" s="72"/>
      <c r="EN459" s="72"/>
      <c r="EO459" s="72"/>
      <c r="EP459" s="72"/>
      <c r="EQ459" s="72"/>
      <c r="ER459" s="72"/>
      <c r="ES459" s="72"/>
      <c r="ET459" s="72"/>
      <c r="EU459" s="72"/>
      <c r="EV459" s="72"/>
      <c r="EW459" s="72"/>
      <c r="EX459" s="72"/>
      <c r="EY459" s="72"/>
      <c r="EZ459" s="72"/>
      <c r="FA459" s="72"/>
      <c r="FB459" s="72"/>
      <c r="FC459" s="72"/>
      <c r="FD459" s="72"/>
    </row>
    <row r="460" spans="1:160" ht="15">
      <c r="A460" s="145"/>
      <c r="B460" s="145"/>
      <c r="C460" s="145"/>
      <c r="D460" s="145"/>
      <c r="E460" s="146"/>
      <c r="F460" s="145"/>
      <c r="G460" s="145"/>
      <c r="H460" s="145"/>
      <c r="I460" s="325"/>
      <c r="J460" s="145"/>
      <c r="K460" s="323"/>
      <c r="L460" s="72"/>
      <c r="M460" s="324"/>
      <c r="N460" s="146"/>
      <c r="O460" s="72"/>
      <c r="P460" s="72"/>
      <c r="Q460" s="145"/>
      <c r="R460" s="145"/>
      <c r="S460" s="145"/>
      <c r="T460" s="145"/>
      <c r="U460" s="145"/>
      <c r="V460" s="145"/>
      <c r="W460" s="145"/>
      <c r="X460" s="145"/>
      <c r="Y460" s="145"/>
      <c r="Z460" s="145"/>
      <c r="AA460" s="150"/>
      <c r="AB460" s="151"/>
      <c r="AC460" s="150"/>
      <c r="AD460" s="150"/>
      <c r="AE460" s="150"/>
      <c r="AF460" s="150"/>
      <c r="AG460" s="150"/>
      <c r="AH460" s="150"/>
      <c r="AI460" s="150"/>
      <c r="AJ460" s="150"/>
      <c r="AK460" s="150"/>
      <c r="AL460" s="150"/>
      <c r="AM460" s="150"/>
      <c r="AN460" s="150"/>
      <c r="AO460" s="150"/>
      <c r="AP460" s="150"/>
      <c r="AQ460" s="150"/>
      <c r="AR460" s="150"/>
      <c r="AS460" s="150"/>
      <c r="AT460" s="150"/>
      <c r="AU460" s="150"/>
      <c r="AV460" s="150"/>
      <c r="AW460" s="150"/>
      <c r="AX460" s="150"/>
      <c r="AY460" s="150"/>
      <c r="AZ460" s="150"/>
      <c r="BA460" s="150"/>
      <c r="BB460" s="150"/>
      <c r="BC460" s="150"/>
      <c r="BD460" s="150"/>
      <c r="BE460" s="150"/>
      <c r="BF460" s="150"/>
      <c r="BG460" s="150"/>
      <c r="BH460" s="150"/>
      <c r="BI460" s="150"/>
      <c r="BJ460" s="150"/>
      <c r="BK460" s="150"/>
      <c r="BL460" s="150"/>
      <c r="BM460" s="150"/>
      <c r="BN460" s="72"/>
      <c r="BO460" s="72"/>
      <c r="BP460" s="72"/>
      <c r="BQ460" s="72"/>
      <c r="BR460" s="72"/>
      <c r="BS460" s="72"/>
      <c r="BT460" s="72"/>
      <c r="BU460" s="72"/>
      <c r="BV460" s="72"/>
      <c r="BW460" s="72"/>
      <c r="BX460" s="72"/>
      <c r="BY460" s="72"/>
      <c r="BZ460" s="72"/>
      <c r="CA460" s="72"/>
      <c r="CB460" s="72"/>
      <c r="CC460" s="72"/>
      <c r="CD460" s="72"/>
      <c r="CE460" s="72"/>
      <c r="CF460" s="72"/>
      <c r="CG460" s="72"/>
      <c r="CH460" s="72"/>
      <c r="CI460" s="72"/>
      <c r="CJ460" s="72"/>
      <c r="CK460" s="72"/>
      <c r="CL460" s="72"/>
      <c r="CM460" s="72"/>
      <c r="CN460" s="72"/>
      <c r="CO460" s="72"/>
      <c r="CP460" s="72"/>
      <c r="CQ460" s="72"/>
      <c r="CR460" s="72"/>
      <c r="CS460" s="72"/>
      <c r="CT460" s="150"/>
      <c r="CU460" s="152"/>
      <c r="CV460" s="72"/>
      <c r="CW460" s="72"/>
      <c r="CX460" s="72"/>
      <c r="CY460" s="72"/>
      <c r="CZ460" s="72"/>
      <c r="DA460" s="72"/>
      <c r="DB460" s="72"/>
      <c r="DC460" s="72"/>
      <c r="DD460" s="72"/>
      <c r="DE460" s="72"/>
      <c r="DF460" s="72"/>
      <c r="DG460" s="72"/>
      <c r="DH460" s="72"/>
      <c r="DI460" s="72"/>
      <c r="DJ460" s="72"/>
      <c r="DK460" s="72"/>
      <c r="DL460" s="72"/>
      <c r="DM460" s="72"/>
      <c r="DN460" s="72"/>
      <c r="DO460" s="72"/>
      <c r="DP460" s="72"/>
      <c r="DQ460" s="72"/>
      <c r="DR460" s="72"/>
      <c r="DS460" s="72"/>
      <c r="DT460" s="72"/>
      <c r="DU460" s="72"/>
      <c r="DV460" s="72"/>
      <c r="DW460" s="72"/>
      <c r="DX460" s="72"/>
      <c r="DY460" s="72"/>
      <c r="DZ460" s="72"/>
      <c r="EA460" s="72"/>
      <c r="EB460" s="72"/>
      <c r="EC460" s="72"/>
      <c r="ED460" s="72"/>
      <c r="EE460" s="72"/>
      <c r="EF460" s="72"/>
      <c r="EG460" s="72"/>
      <c r="EH460" s="72"/>
      <c r="EI460" s="72"/>
      <c r="EJ460" s="72"/>
      <c r="EK460" s="72"/>
      <c r="EL460" s="72"/>
      <c r="EM460" s="72"/>
      <c r="EN460" s="72"/>
      <c r="EO460" s="72"/>
      <c r="EP460" s="72"/>
      <c r="EQ460" s="72"/>
      <c r="ER460" s="72"/>
      <c r="ES460" s="72"/>
      <c r="ET460" s="72"/>
      <c r="EU460" s="72"/>
      <c r="EV460" s="72"/>
      <c r="EW460" s="72"/>
      <c r="EX460" s="72"/>
      <c r="EY460" s="72"/>
      <c r="EZ460" s="72"/>
      <c r="FA460" s="72"/>
      <c r="FB460" s="72"/>
      <c r="FC460" s="72"/>
      <c r="FD460" s="72"/>
    </row>
    <row r="461" spans="1:160" ht="15">
      <c r="A461" s="145"/>
      <c r="B461" s="145"/>
      <c r="C461" s="145"/>
      <c r="D461" s="145"/>
      <c r="E461" s="146"/>
      <c r="F461" s="145"/>
      <c r="G461" s="145"/>
      <c r="H461" s="145"/>
      <c r="I461" s="325"/>
      <c r="J461" s="145"/>
      <c r="K461" s="323"/>
      <c r="L461" s="72"/>
      <c r="M461" s="324"/>
      <c r="N461" s="146"/>
      <c r="O461" s="72"/>
      <c r="P461" s="72"/>
      <c r="Q461" s="145"/>
      <c r="R461" s="145"/>
      <c r="S461" s="145"/>
      <c r="T461" s="145"/>
      <c r="U461" s="145"/>
      <c r="V461" s="145"/>
      <c r="W461" s="145"/>
      <c r="X461" s="145"/>
      <c r="Y461" s="145"/>
      <c r="Z461" s="145"/>
      <c r="AA461" s="150"/>
      <c r="AB461" s="151"/>
      <c r="AC461" s="150"/>
      <c r="AD461" s="150"/>
      <c r="AE461" s="150"/>
      <c r="AF461" s="150"/>
      <c r="AG461" s="150"/>
      <c r="AH461" s="150"/>
      <c r="AI461" s="150"/>
      <c r="AJ461" s="150"/>
      <c r="AK461" s="150"/>
      <c r="AL461" s="150"/>
      <c r="AM461" s="150"/>
      <c r="AN461" s="150"/>
      <c r="AO461" s="150"/>
      <c r="AP461" s="150"/>
      <c r="AQ461" s="150"/>
      <c r="AR461" s="150"/>
      <c r="AS461" s="150"/>
      <c r="AT461" s="150"/>
      <c r="AU461" s="150"/>
      <c r="AV461" s="150"/>
      <c r="AW461" s="150"/>
      <c r="AX461" s="150"/>
      <c r="AY461" s="150"/>
      <c r="AZ461" s="150"/>
      <c r="BA461" s="150"/>
      <c r="BB461" s="150"/>
      <c r="BC461" s="150"/>
      <c r="BD461" s="150"/>
      <c r="BE461" s="150"/>
      <c r="BF461" s="150"/>
      <c r="BG461" s="150"/>
      <c r="BH461" s="150"/>
      <c r="BI461" s="150"/>
      <c r="BJ461" s="150"/>
      <c r="BK461" s="150"/>
      <c r="BL461" s="150"/>
      <c r="BM461" s="150"/>
      <c r="BN461" s="72"/>
      <c r="BO461" s="72"/>
      <c r="BP461" s="72"/>
      <c r="BQ461" s="72"/>
      <c r="BR461" s="72"/>
      <c r="BS461" s="72"/>
      <c r="BT461" s="72"/>
      <c r="BU461" s="72"/>
      <c r="BV461" s="72"/>
      <c r="BW461" s="72"/>
      <c r="BX461" s="72"/>
      <c r="BY461" s="72"/>
      <c r="BZ461" s="72"/>
      <c r="CA461" s="72"/>
      <c r="CB461" s="72"/>
      <c r="CC461" s="72"/>
      <c r="CD461" s="72"/>
      <c r="CE461" s="72"/>
      <c r="CF461" s="72"/>
      <c r="CG461" s="72"/>
      <c r="CH461" s="72"/>
      <c r="CI461" s="72"/>
      <c r="CJ461" s="72"/>
      <c r="CK461" s="72"/>
      <c r="CL461" s="72"/>
      <c r="CM461" s="72"/>
      <c r="CN461" s="72"/>
      <c r="CO461" s="72"/>
      <c r="CP461" s="72"/>
      <c r="CQ461" s="72"/>
      <c r="CR461" s="72"/>
      <c r="CS461" s="72"/>
      <c r="CT461" s="150"/>
      <c r="CU461" s="152"/>
      <c r="CV461" s="72"/>
      <c r="CW461" s="72"/>
      <c r="CX461" s="72"/>
      <c r="CY461" s="72"/>
      <c r="CZ461" s="72"/>
      <c r="DA461" s="72"/>
      <c r="DB461" s="72"/>
      <c r="DC461" s="72"/>
      <c r="DD461" s="72"/>
      <c r="DE461" s="72"/>
      <c r="DF461" s="72"/>
      <c r="DG461" s="72"/>
      <c r="DH461" s="72"/>
      <c r="DI461" s="72"/>
      <c r="DJ461" s="72"/>
      <c r="DK461" s="72"/>
      <c r="DL461" s="72"/>
      <c r="DM461" s="72"/>
      <c r="DN461" s="72"/>
      <c r="DO461" s="72"/>
      <c r="DP461" s="72"/>
      <c r="DQ461" s="72"/>
      <c r="DR461" s="72"/>
      <c r="DS461" s="72"/>
      <c r="DT461" s="72"/>
      <c r="DU461" s="72"/>
      <c r="DV461" s="72"/>
      <c r="DW461" s="72"/>
      <c r="DX461" s="72"/>
      <c r="DY461" s="72"/>
      <c r="DZ461" s="72"/>
      <c r="EA461" s="72"/>
      <c r="EB461" s="72"/>
      <c r="EC461" s="72"/>
      <c r="ED461" s="72"/>
      <c r="EE461" s="72"/>
      <c r="EF461" s="72"/>
      <c r="EG461" s="72"/>
      <c r="EH461" s="72"/>
      <c r="EI461" s="72"/>
      <c r="EJ461" s="72"/>
      <c r="EK461" s="72"/>
      <c r="EL461" s="72"/>
      <c r="EM461" s="72"/>
      <c r="EN461" s="72"/>
      <c r="EO461" s="72"/>
      <c r="EP461" s="72"/>
      <c r="EQ461" s="72"/>
      <c r="ER461" s="72"/>
      <c r="ES461" s="72"/>
      <c r="ET461" s="72"/>
      <c r="EU461" s="72"/>
      <c r="EV461" s="72"/>
      <c r="EW461" s="72"/>
      <c r="EX461" s="72"/>
      <c r="EY461" s="72"/>
      <c r="EZ461" s="72"/>
      <c r="FA461" s="72"/>
      <c r="FB461" s="72"/>
      <c r="FC461" s="72"/>
      <c r="FD461" s="72"/>
    </row>
    <row r="462" spans="1:160" ht="15">
      <c r="A462" s="145"/>
      <c r="B462" s="145"/>
      <c r="C462" s="145"/>
      <c r="D462" s="145"/>
      <c r="E462" s="146"/>
      <c r="F462" s="145"/>
      <c r="G462" s="145"/>
      <c r="H462" s="145"/>
      <c r="I462" s="325"/>
      <c r="J462" s="145"/>
      <c r="K462" s="323"/>
      <c r="L462" s="72"/>
      <c r="M462" s="324"/>
      <c r="N462" s="146"/>
      <c r="O462" s="72"/>
      <c r="P462" s="72"/>
      <c r="Q462" s="145"/>
      <c r="R462" s="145"/>
      <c r="S462" s="145"/>
      <c r="T462" s="145"/>
      <c r="U462" s="145"/>
      <c r="V462" s="145"/>
      <c r="W462" s="145"/>
      <c r="X462" s="145"/>
      <c r="Y462" s="145"/>
      <c r="Z462" s="145"/>
      <c r="AA462" s="150"/>
      <c r="AB462" s="151"/>
      <c r="AC462" s="150"/>
      <c r="AD462" s="150"/>
      <c r="AE462" s="150"/>
      <c r="AF462" s="150"/>
      <c r="AG462" s="150"/>
      <c r="AH462" s="150"/>
      <c r="AI462" s="150"/>
      <c r="AJ462" s="150"/>
      <c r="AK462" s="150"/>
      <c r="AL462" s="150"/>
      <c r="AM462" s="150"/>
      <c r="AN462" s="150"/>
      <c r="AO462" s="150"/>
      <c r="AP462" s="150"/>
      <c r="AQ462" s="150"/>
      <c r="AR462" s="150"/>
      <c r="AS462" s="150"/>
      <c r="AT462" s="150"/>
      <c r="AU462" s="150"/>
      <c r="AV462" s="150"/>
      <c r="AW462" s="150"/>
      <c r="AX462" s="150"/>
      <c r="AY462" s="150"/>
      <c r="AZ462" s="150"/>
      <c r="BA462" s="150"/>
      <c r="BB462" s="150"/>
      <c r="BC462" s="150"/>
      <c r="BD462" s="150"/>
      <c r="BE462" s="150"/>
      <c r="BF462" s="150"/>
      <c r="BG462" s="150"/>
      <c r="BH462" s="150"/>
      <c r="BI462" s="150"/>
      <c r="BJ462" s="150"/>
      <c r="BK462" s="150"/>
      <c r="BL462" s="150"/>
      <c r="BM462" s="150"/>
      <c r="BN462" s="72"/>
      <c r="BO462" s="72"/>
      <c r="BP462" s="72"/>
      <c r="BQ462" s="72"/>
      <c r="BR462" s="72"/>
      <c r="BS462" s="72"/>
      <c r="BT462" s="72"/>
      <c r="BU462" s="72"/>
      <c r="BV462" s="72"/>
      <c r="BW462" s="72"/>
      <c r="BX462" s="72"/>
      <c r="BY462" s="72"/>
      <c r="BZ462" s="72"/>
      <c r="CA462" s="72"/>
      <c r="CB462" s="72"/>
      <c r="CC462" s="72"/>
      <c r="CD462" s="72"/>
      <c r="CE462" s="72"/>
      <c r="CF462" s="72"/>
      <c r="CG462" s="72"/>
      <c r="CH462" s="72"/>
      <c r="CI462" s="72"/>
      <c r="CJ462" s="72"/>
      <c r="CK462" s="72"/>
      <c r="CL462" s="72"/>
      <c r="CM462" s="72"/>
      <c r="CN462" s="72"/>
      <c r="CO462" s="72"/>
      <c r="CP462" s="72"/>
      <c r="CQ462" s="72"/>
      <c r="CR462" s="72"/>
      <c r="CS462" s="72"/>
      <c r="CT462" s="150"/>
      <c r="CU462" s="152"/>
      <c r="CV462" s="72"/>
      <c r="CW462" s="72"/>
      <c r="CX462" s="72"/>
      <c r="CY462" s="72"/>
      <c r="CZ462" s="72"/>
      <c r="DA462" s="72"/>
      <c r="DB462" s="72"/>
      <c r="DC462" s="72"/>
      <c r="DD462" s="72"/>
      <c r="DE462" s="72"/>
      <c r="DF462" s="72"/>
      <c r="DG462" s="72"/>
      <c r="DH462" s="72"/>
      <c r="DI462" s="72"/>
      <c r="DJ462" s="72"/>
      <c r="DK462" s="72"/>
      <c r="DL462" s="72"/>
      <c r="DM462" s="72"/>
      <c r="DN462" s="72"/>
      <c r="DO462" s="72"/>
      <c r="DP462" s="72"/>
      <c r="DQ462" s="72"/>
      <c r="DR462" s="72"/>
      <c r="DS462" s="72"/>
      <c r="DT462" s="72"/>
      <c r="DU462" s="72"/>
      <c r="DV462" s="72"/>
      <c r="DW462" s="72"/>
      <c r="DX462" s="72"/>
      <c r="DY462" s="72"/>
      <c r="DZ462" s="72"/>
      <c r="EA462" s="72"/>
      <c r="EB462" s="72"/>
      <c r="EC462" s="72"/>
      <c r="ED462" s="72"/>
      <c r="EE462" s="72"/>
      <c r="EF462" s="72"/>
      <c r="EG462" s="72"/>
      <c r="EH462" s="72"/>
      <c r="EI462" s="72"/>
      <c r="EJ462" s="72"/>
      <c r="EK462" s="72"/>
      <c r="EL462" s="72"/>
      <c r="EM462" s="72"/>
      <c r="EN462" s="72"/>
      <c r="EO462" s="72"/>
      <c r="EP462" s="72"/>
      <c r="EQ462" s="72"/>
      <c r="ER462" s="72"/>
      <c r="ES462" s="72"/>
      <c r="ET462" s="72"/>
      <c r="EU462" s="72"/>
      <c r="EV462" s="72"/>
      <c r="EW462" s="72"/>
      <c r="EX462" s="72"/>
      <c r="EY462" s="72"/>
      <c r="EZ462" s="72"/>
      <c r="FA462" s="72"/>
      <c r="FB462" s="72"/>
      <c r="FC462" s="72"/>
      <c r="FD462" s="72"/>
    </row>
    <row r="463" spans="1:160" ht="15">
      <c r="A463" s="145"/>
      <c r="B463" s="145"/>
      <c r="C463" s="145"/>
      <c r="D463" s="145"/>
      <c r="E463" s="146"/>
      <c r="F463" s="145"/>
      <c r="G463" s="145"/>
      <c r="H463" s="145"/>
      <c r="I463" s="325"/>
      <c r="J463" s="145"/>
      <c r="K463" s="323"/>
      <c r="L463" s="72"/>
      <c r="M463" s="324"/>
      <c r="N463" s="146"/>
      <c r="O463" s="72"/>
      <c r="P463" s="72"/>
      <c r="Q463" s="145"/>
      <c r="R463" s="145"/>
      <c r="S463" s="145"/>
      <c r="T463" s="145"/>
      <c r="U463" s="145"/>
      <c r="V463" s="145"/>
      <c r="W463" s="145"/>
      <c r="X463" s="145"/>
      <c r="Y463" s="145"/>
      <c r="Z463" s="145"/>
      <c r="AA463" s="150"/>
      <c r="AB463" s="151"/>
      <c r="AC463" s="150"/>
      <c r="AD463" s="150"/>
      <c r="AE463" s="150"/>
      <c r="AF463" s="150"/>
      <c r="AG463" s="150"/>
      <c r="AH463" s="150"/>
      <c r="AI463" s="150"/>
      <c r="AJ463" s="150"/>
      <c r="AK463" s="150"/>
      <c r="AL463" s="150"/>
      <c r="AM463" s="150"/>
      <c r="AN463" s="150"/>
      <c r="AO463" s="150"/>
      <c r="AP463" s="150"/>
      <c r="AQ463" s="150"/>
      <c r="AR463" s="150"/>
      <c r="AS463" s="150"/>
      <c r="AT463" s="150"/>
      <c r="AU463" s="150"/>
      <c r="AV463" s="150"/>
      <c r="AW463" s="150"/>
      <c r="AX463" s="150"/>
      <c r="AY463" s="150"/>
      <c r="AZ463" s="150"/>
      <c r="BA463" s="150"/>
      <c r="BB463" s="150"/>
      <c r="BC463" s="150"/>
      <c r="BD463" s="150"/>
      <c r="BE463" s="150"/>
      <c r="BF463" s="150"/>
      <c r="BG463" s="150"/>
      <c r="BH463" s="150"/>
      <c r="BI463" s="150"/>
      <c r="BJ463" s="150"/>
      <c r="BK463" s="150"/>
      <c r="BL463" s="150"/>
      <c r="BM463" s="150"/>
      <c r="BN463" s="72"/>
      <c r="BO463" s="72"/>
      <c r="BP463" s="72"/>
      <c r="BQ463" s="72"/>
      <c r="BR463" s="72"/>
      <c r="BS463" s="72"/>
      <c r="BT463" s="72"/>
      <c r="BU463" s="72"/>
      <c r="BV463" s="72"/>
      <c r="BW463" s="72"/>
      <c r="BX463" s="72"/>
      <c r="BY463" s="72"/>
      <c r="BZ463" s="72"/>
      <c r="CA463" s="72"/>
      <c r="CB463" s="72"/>
      <c r="CC463" s="72"/>
      <c r="CD463" s="72"/>
      <c r="CE463" s="72"/>
      <c r="CF463" s="72"/>
      <c r="CG463" s="72"/>
      <c r="CH463" s="72"/>
      <c r="CI463" s="72"/>
      <c r="CJ463" s="72"/>
      <c r="CK463" s="72"/>
      <c r="CL463" s="72"/>
      <c r="CM463" s="72"/>
      <c r="CN463" s="72"/>
      <c r="CO463" s="72"/>
      <c r="CP463" s="72"/>
      <c r="CQ463" s="72"/>
      <c r="CR463" s="72"/>
      <c r="CS463" s="72"/>
      <c r="CT463" s="150"/>
      <c r="CU463" s="152"/>
      <c r="CV463" s="72"/>
      <c r="CW463" s="72"/>
      <c r="CX463" s="72"/>
      <c r="CY463" s="72"/>
      <c r="CZ463" s="72"/>
      <c r="DA463" s="72"/>
      <c r="DB463" s="72"/>
      <c r="DC463" s="72"/>
      <c r="DD463" s="72"/>
      <c r="DE463" s="72"/>
      <c r="DF463" s="72"/>
      <c r="DG463" s="72"/>
      <c r="DH463" s="72"/>
      <c r="DI463" s="72"/>
      <c r="DJ463" s="72"/>
      <c r="DK463" s="72"/>
      <c r="DL463" s="72"/>
      <c r="DM463" s="72"/>
      <c r="DN463" s="72"/>
      <c r="DO463" s="72"/>
      <c r="DP463" s="72"/>
      <c r="DQ463" s="72"/>
      <c r="DR463" s="72"/>
      <c r="DS463" s="72"/>
      <c r="DT463" s="72"/>
      <c r="DU463" s="72"/>
      <c r="DV463" s="72"/>
      <c r="DW463" s="72"/>
      <c r="DX463" s="72"/>
      <c r="DY463" s="72"/>
      <c r="DZ463" s="72"/>
      <c r="EA463" s="72"/>
      <c r="EB463" s="72"/>
      <c r="EC463" s="72"/>
      <c r="ED463" s="72"/>
      <c r="EE463" s="72"/>
      <c r="EF463" s="72"/>
      <c r="EG463" s="72"/>
      <c r="EH463" s="72"/>
      <c r="EI463" s="72"/>
      <c r="EJ463" s="72"/>
      <c r="EK463" s="72"/>
      <c r="EL463" s="72"/>
      <c r="EM463" s="72"/>
      <c r="EN463" s="72"/>
      <c r="EO463" s="72"/>
      <c r="EP463" s="72"/>
      <c r="EQ463" s="72"/>
      <c r="ER463" s="72"/>
      <c r="ES463" s="72"/>
      <c r="ET463" s="72"/>
      <c r="EU463" s="72"/>
      <c r="EV463" s="72"/>
      <c r="EW463" s="72"/>
      <c r="EX463" s="72"/>
      <c r="EY463" s="72"/>
      <c r="EZ463" s="72"/>
      <c r="FA463" s="72"/>
      <c r="FB463" s="72"/>
      <c r="FC463" s="72"/>
      <c r="FD463" s="72"/>
    </row>
    <row r="464" spans="1:160" ht="15">
      <c r="A464" s="145"/>
      <c r="B464" s="145"/>
      <c r="C464" s="145"/>
      <c r="D464" s="145"/>
      <c r="E464" s="146"/>
      <c r="F464" s="145"/>
      <c r="G464" s="145"/>
      <c r="H464" s="145"/>
      <c r="I464" s="325"/>
      <c r="J464" s="145"/>
      <c r="K464" s="323"/>
      <c r="L464" s="72"/>
      <c r="M464" s="324"/>
      <c r="N464" s="146"/>
      <c r="O464" s="72"/>
      <c r="P464" s="72"/>
      <c r="Q464" s="145"/>
      <c r="R464" s="145"/>
      <c r="S464" s="145"/>
      <c r="T464" s="145"/>
      <c r="U464" s="145"/>
      <c r="V464" s="145"/>
      <c r="W464" s="145"/>
      <c r="X464" s="145"/>
      <c r="Y464" s="145"/>
      <c r="Z464" s="145"/>
      <c r="AA464" s="150"/>
      <c r="AB464" s="151"/>
      <c r="AC464" s="150"/>
      <c r="AD464" s="150"/>
      <c r="AE464" s="150"/>
      <c r="AF464" s="150"/>
      <c r="AG464" s="150"/>
      <c r="AH464" s="150"/>
      <c r="AI464" s="150"/>
      <c r="AJ464" s="150"/>
      <c r="AK464" s="150"/>
      <c r="AL464" s="150"/>
      <c r="AM464" s="150"/>
      <c r="AN464" s="150"/>
      <c r="AO464" s="150"/>
      <c r="AP464" s="150"/>
      <c r="AQ464" s="150"/>
      <c r="AR464" s="150"/>
      <c r="AS464" s="150"/>
      <c r="AT464" s="150"/>
      <c r="AU464" s="150"/>
      <c r="AV464" s="150"/>
      <c r="AW464" s="150"/>
      <c r="AX464" s="150"/>
      <c r="AY464" s="150"/>
      <c r="AZ464" s="150"/>
      <c r="BA464" s="150"/>
      <c r="BB464" s="150"/>
      <c r="BC464" s="150"/>
      <c r="BD464" s="150"/>
      <c r="BE464" s="150"/>
      <c r="BF464" s="150"/>
      <c r="BG464" s="150"/>
      <c r="BH464" s="150"/>
      <c r="BI464" s="150"/>
      <c r="BJ464" s="150"/>
      <c r="BK464" s="150"/>
      <c r="BL464" s="150"/>
      <c r="BM464" s="150"/>
      <c r="BN464" s="72"/>
      <c r="BO464" s="72"/>
      <c r="BP464" s="72"/>
      <c r="BQ464" s="72"/>
      <c r="BR464" s="72"/>
      <c r="BS464" s="72"/>
      <c r="BT464" s="72"/>
      <c r="BU464" s="72"/>
      <c r="BV464" s="72"/>
      <c r="BW464" s="72"/>
      <c r="BX464" s="72"/>
      <c r="BY464" s="72"/>
      <c r="BZ464" s="72"/>
      <c r="CA464" s="72"/>
      <c r="CB464" s="72"/>
      <c r="CC464" s="72"/>
      <c r="CD464" s="72"/>
      <c r="CE464" s="72"/>
      <c r="CF464" s="72"/>
      <c r="CG464" s="72"/>
      <c r="CH464" s="72"/>
      <c r="CI464" s="72"/>
      <c r="CJ464" s="72"/>
      <c r="CK464" s="72"/>
      <c r="CL464" s="72"/>
      <c r="CM464" s="72"/>
      <c r="CN464" s="72"/>
      <c r="CO464" s="72"/>
      <c r="CP464" s="72"/>
      <c r="CQ464" s="72"/>
      <c r="CR464" s="72"/>
      <c r="CS464" s="72"/>
      <c r="CT464" s="150"/>
      <c r="CU464" s="152"/>
      <c r="CV464" s="72"/>
      <c r="CW464" s="72"/>
      <c r="CX464" s="72"/>
      <c r="CY464" s="72"/>
      <c r="CZ464" s="72"/>
      <c r="DA464" s="72"/>
      <c r="DB464" s="72"/>
      <c r="DC464" s="72"/>
      <c r="DD464" s="72"/>
      <c r="DE464" s="72"/>
      <c r="DF464" s="72"/>
      <c r="DG464" s="72"/>
      <c r="DH464" s="72"/>
      <c r="DI464" s="72"/>
      <c r="DJ464" s="72"/>
      <c r="DK464" s="72"/>
      <c r="DL464" s="72"/>
      <c r="DM464" s="72"/>
      <c r="DN464" s="72"/>
      <c r="DO464" s="72"/>
      <c r="DP464" s="72"/>
      <c r="DQ464" s="72"/>
      <c r="DR464" s="72"/>
      <c r="DS464" s="72"/>
      <c r="DT464" s="72"/>
      <c r="DU464" s="72"/>
      <c r="DV464" s="72"/>
      <c r="DW464" s="72"/>
      <c r="DX464" s="72"/>
      <c r="DY464" s="72"/>
      <c r="DZ464" s="72"/>
      <c r="EA464" s="72"/>
      <c r="EB464" s="72"/>
      <c r="EC464" s="72"/>
      <c r="ED464" s="72"/>
      <c r="EE464" s="72"/>
      <c r="EF464" s="72"/>
      <c r="EG464" s="72"/>
      <c r="EH464" s="72"/>
      <c r="EI464" s="72"/>
      <c r="EJ464" s="72"/>
      <c r="EK464" s="72"/>
      <c r="EL464" s="72"/>
      <c r="EM464" s="72"/>
      <c r="EN464" s="72"/>
      <c r="EO464" s="72"/>
      <c r="EP464" s="72"/>
      <c r="EQ464" s="72"/>
      <c r="ER464" s="72"/>
      <c r="ES464" s="72"/>
      <c r="ET464" s="72"/>
      <c r="EU464" s="72"/>
      <c r="EV464" s="72"/>
      <c r="EW464" s="72"/>
      <c r="EX464" s="72"/>
      <c r="EY464" s="72"/>
      <c r="EZ464" s="72"/>
      <c r="FA464" s="72"/>
      <c r="FB464" s="72"/>
      <c r="FC464" s="72"/>
      <c r="FD464" s="72"/>
    </row>
    <row r="465" spans="1:160" ht="15">
      <c r="A465" s="145"/>
      <c r="B465" s="145"/>
      <c r="C465" s="145"/>
      <c r="D465" s="145"/>
      <c r="E465" s="146"/>
      <c r="F465" s="145"/>
      <c r="G465" s="145"/>
      <c r="H465" s="145"/>
      <c r="I465" s="325"/>
      <c r="J465" s="145"/>
      <c r="K465" s="323"/>
      <c r="L465" s="72"/>
      <c r="M465" s="324"/>
      <c r="N465" s="146"/>
      <c r="O465" s="72"/>
      <c r="P465" s="72"/>
      <c r="Q465" s="145"/>
      <c r="R465" s="145"/>
      <c r="S465" s="145"/>
      <c r="T465" s="145"/>
      <c r="U465" s="145"/>
      <c r="V465" s="145"/>
      <c r="W465" s="145"/>
      <c r="X465" s="145"/>
      <c r="Y465" s="145"/>
      <c r="Z465" s="145"/>
      <c r="AA465" s="150"/>
      <c r="AB465" s="151"/>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0"/>
      <c r="AY465" s="150"/>
      <c r="AZ465" s="150"/>
      <c r="BA465" s="150"/>
      <c r="BB465" s="150"/>
      <c r="BC465" s="150"/>
      <c r="BD465" s="150"/>
      <c r="BE465" s="150"/>
      <c r="BF465" s="150"/>
      <c r="BG465" s="150"/>
      <c r="BH465" s="150"/>
      <c r="BI465" s="150"/>
      <c r="BJ465" s="150"/>
      <c r="BK465" s="150"/>
      <c r="BL465" s="150"/>
      <c r="BM465" s="150"/>
      <c r="BN465" s="72"/>
      <c r="BO465" s="72"/>
      <c r="BP465" s="72"/>
      <c r="BQ465" s="72"/>
      <c r="BR465" s="72"/>
      <c r="BS465" s="72"/>
      <c r="BT465" s="72"/>
      <c r="BU465" s="72"/>
      <c r="BV465" s="72"/>
      <c r="BW465" s="72"/>
      <c r="BX465" s="72"/>
      <c r="BY465" s="72"/>
      <c r="BZ465" s="72"/>
      <c r="CA465" s="72"/>
      <c r="CB465" s="72"/>
      <c r="CC465" s="72"/>
      <c r="CD465" s="72"/>
      <c r="CE465" s="72"/>
      <c r="CF465" s="72"/>
      <c r="CG465" s="72"/>
      <c r="CH465" s="72"/>
      <c r="CI465" s="72"/>
      <c r="CJ465" s="72"/>
      <c r="CK465" s="72"/>
      <c r="CL465" s="72"/>
      <c r="CM465" s="72"/>
      <c r="CN465" s="72"/>
      <c r="CO465" s="72"/>
      <c r="CP465" s="72"/>
      <c r="CQ465" s="72"/>
      <c r="CR465" s="72"/>
      <c r="CS465" s="72"/>
      <c r="CT465" s="150"/>
      <c r="CU465" s="152"/>
      <c r="CV465" s="72"/>
      <c r="CW465" s="72"/>
      <c r="CX465" s="72"/>
      <c r="CY465" s="72"/>
      <c r="CZ465" s="72"/>
      <c r="DA465" s="72"/>
      <c r="DB465" s="72"/>
      <c r="DC465" s="72"/>
      <c r="DD465" s="72"/>
      <c r="DE465" s="72"/>
      <c r="DF465" s="72"/>
      <c r="DG465" s="72"/>
      <c r="DH465" s="72"/>
      <c r="DI465" s="72"/>
      <c r="DJ465" s="72"/>
      <c r="DK465" s="72"/>
      <c r="DL465" s="72"/>
      <c r="DM465" s="72"/>
      <c r="DN465" s="72"/>
      <c r="DO465" s="72"/>
      <c r="DP465" s="72"/>
      <c r="DQ465" s="72"/>
      <c r="DR465" s="72"/>
      <c r="DS465" s="72"/>
      <c r="DT465" s="72"/>
      <c r="DU465" s="72"/>
      <c r="DV465" s="72"/>
      <c r="DW465" s="72"/>
      <c r="DX465" s="72"/>
      <c r="DY465" s="72"/>
      <c r="DZ465" s="72"/>
      <c r="EA465" s="72"/>
      <c r="EB465" s="72"/>
      <c r="EC465" s="72"/>
      <c r="ED465" s="72"/>
      <c r="EE465" s="72"/>
      <c r="EF465" s="72"/>
      <c r="EG465" s="72"/>
      <c r="EH465" s="72"/>
      <c r="EI465" s="72"/>
      <c r="EJ465" s="72"/>
      <c r="EK465" s="72"/>
      <c r="EL465" s="72"/>
      <c r="EM465" s="72"/>
      <c r="EN465" s="72"/>
      <c r="EO465" s="72"/>
      <c r="EP465" s="72"/>
      <c r="EQ465" s="72"/>
      <c r="ER465" s="72"/>
      <c r="ES465" s="72"/>
      <c r="ET465" s="72"/>
      <c r="EU465" s="72"/>
      <c r="EV465" s="72"/>
      <c r="EW465" s="72"/>
      <c r="EX465" s="72"/>
      <c r="EY465" s="72"/>
      <c r="EZ465" s="72"/>
      <c r="FA465" s="72"/>
      <c r="FB465" s="72"/>
      <c r="FC465" s="72"/>
      <c r="FD465" s="72"/>
    </row>
    <row r="466" spans="1:160" ht="15">
      <c r="A466" s="145"/>
      <c r="B466" s="145"/>
      <c r="C466" s="145"/>
      <c r="D466" s="145"/>
      <c r="E466" s="146"/>
      <c r="F466" s="145"/>
      <c r="G466" s="145"/>
      <c r="H466" s="145"/>
      <c r="I466" s="325"/>
      <c r="J466" s="145"/>
      <c r="K466" s="323"/>
      <c r="L466" s="72"/>
      <c r="M466" s="324"/>
      <c r="N466" s="146"/>
      <c r="O466" s="72"/>
      <c r="P466" s="72"/>
      <c r="Q466" s="145"/>
      <c r="R466" s="145"/>
      <c r="S466" s="145"/>
      <c r="T466" s="145"/>
      <c r="U466" s="145"/>
      <c r="V466" s="145"/>
      <c r="W466" s="145"/>
      <c r="X466" s="145"/>
      <c r="Y466" s="145"/>
      <c r="Z466" s="145"/>
      <c r="AA466" s="150"/>
      <c r="AB466" s="151"/>
      <c r="AC466" s="150"/>
      <c r="AD466" s="150"/>
      <c r="AE466" s="150"/>
      <c r="AF466" s="150"/>
      <c r="AG466" s="150"/>
      <c r="AH466" s="150"/>
      <c r="AI466" s="150"/>
      <c r="AJ466" s="150"/>
      <c r="AK466" s="150"/>
      <c r="AL466" s="150"/>
      <c r="AM466" s="150"/>
      <c r="AN466" s="150"/>
      <c r="AO466" s="150"/>
      <c r="AP466" s="150"/>
      <c r="AQ466" s="150"/>
      <c r="AR466" s="150"/>
      <c r="AS466" s="150"/>
      <c r="AT466" s="150"/>
      <c r="AU466" s="150"/>
      <c r="AV466" s="150"/>
      <c r="AW466" s="150"/>
      <c r="AX466" s="150"/>
      <c r="AY466" s="150"/>
      <c r="AZ466" s="150"/>
      <c r="BA466" s="150"/>
      <c r="BB466" s="150"/>
      <c r="BC466" s="150"/>
      <c r="BD466" s="150"/>
      <c r="BE466" s="150"/>
      <c r="BF466" s="150"/>
      <c r="BG466" s="150"/>
      <c r="BH466" s="150"/>
      <c r="BI466" s="150"/>
      <c r="BJ466" s="150"/>
      <c r="BK466" s="150"/>
      <c r="BL466" s="150"/>
      <c r="BM466" s="150"/>
      <c r="BN466" s="72"/>
      <c r="BO466" s="72"/>
      <c r="BP466" s="72"/>
      <c r="BQ466" s="72"/>
      <c r="BR466" s="72"/>
      <c r="BS466" s="72"/>
      <c r="BT466" s="72"/>
      <c r="BU466" s="72"/>
      <c r="BV466" s="72"/>
      <c r="BW466" s="72"/>
      <c r="BX466" s="72"/>
      <c r="BY466" s="72"/>
      <c r="BZ466" s="72"/>
      <c r="CA466" s="72"/>
      <c r="CB466" s="72"/>
      <c r="CC466" s="72"/>
      <c r="CD466" s="72"/>
      <c r="CE466" s="72"/>
      <c r="CF466" s="72"/>
      <c r="CG466" s="72"/>
      <c r="CH466" s="72"/>
      <c r="CI466" s="72"/>
      <c r="CJ466" s="72"/>
      <c r="CK466" s="72"/>
      <c r="CL466" s="72"/>
      <c r="CM466" s="72"/>
      <c r="CN466" s="72"/>
      <c r="CO466" s="72"/>
      <c r="CP466" s="72"/>
      <c r="CQ466" s="72"/>
      <c r="CR466" s="72"/>
      <c r="CS466" s="72"/>
      <c r="CT466" s="150"/>
      <c r="CU466" s="152"/>
      <c r="CV466" s="72"/>
      <c r="CW466" s="72"/>
      <c r="CX466" s="72"/>
      <c r="CY466" s="72"/>
      <c r="CZ466" s="72"/>
      <c r="DA466" s="72"/>
      <c r="DB466" s="72"/>
      <c r="DC466" s="72"/>
      <c r="DD466" s="72"/>
      <c r="DE466" s="72"/>
      <c r="DF466" s="72"/>
      <c r="DG466" s="72"/>
      <c r="DH466" s="72"/>
      <c r="DI466" s="72"/>
      <c r="DJ466" s="72"/>
      <c r="DK466" s="72"/>
      <c r="DL466" s="72"/>
      <c r="DM466" s="72"/>
      <c r="DN466" s="72"/>
      <c r="DO466" s="72"/>
      <c r="DP466" s="72"/>
      <c r="DQ466" s="72"/>
      <c r="DR466" s="72"/>
      <c r="DS466" s="72"/>
      <c r="DT466" s="72"/>
      <c r="DU466" s="72"/>
      <c r="DV466" s="72"/>
      <c r="DW466" s="72"/>
      <c r="DX466" s="72"/>
      <c r="DY466" s="72"/>
      <c r="DZ466" s="72"/>
      <c r="EA466" s="72"/>
      <c r="EB466" s="72"/>
      <c r="EC466" s="72"/>
      <c r="ED466" s="72"/>
      <c r="EE466" s="72"/>
      <c r="EF466" s="72"/>
      <c r="EG466" s="72"/>
      <c r="EH466" s="72"/>
      <c r="EI466" s="72"/>
      <c r="EJ466" s="72"/>
      <c r="EK466" s="72"/>
      <c r="EL466" s="72"/>
      <c r="EM466" s="72"/>
      <c r="EN466" s="72"/>
      <c r="EO466" s="72"/>
      <c r="EP466" s="72"/>
      <c r="EQ466" s="72"/>
      <c r="ER466" s="72"/>
      <c r="ES466" s="72"/>
      <c r="ET466" s="72"/>
      <c r="EU466" s="72"/>
      <c r="EV466" s="72"/>
      <c r="EW466" s="72"/>
      <c r="EX466" s="72"/>
      <c r="EY466" s="72"/>
      <c r="EZ466" s="72"/>
      <c r="FA466" s="72"/>
      <c r="FB466" s="72"/>
      <c r="FC466" s="72"/>
      <c r="FD466" s="72"/>
    </row>
    <row r="467" spans="1:160" ht="15">
      <c r="A467" s="145"/>
      <c r="B467" s="145"/>
      <c r="C467" s="145"/>
      <c r="D467" s="145"/>
      <c r="E467" s="146"/>
      <c r="F467" s="145"/>
      <c r="G467" s="145"/>
      <c r="H467" s="145"/>
      <c r="I467" s="325"/>
      <c r="J467" s="145"/>
      <c r="K467" s="323"/>
      <c r="L467" s="72"/>
      <c r="M467" s="324"/>
      <c r="N467" s="146"/>
      <c r="O467" s="72"/>
      <c r="P467" s="72"/>
      <c r="Q467" s="145"/>
      <c r="R467" s="145"/>
      <c r="S467" s="145"/>
      <c r="T467" s="145"/>
      <c r="U467" s="145"/>
      <c r="V467" s="145"/>
      <c r="W467" s="145"/>
      <c r="X467" s="145"/>
      <c r="Y467" s="145"/>
      <c r="Z467" s="145"/>
      <c r="AA467" s="150"/>
      <c r="AB467" s="151"/>
      <c r="AC467" s="150"/>
      <c r="AD467" s="150"/>
      <c r="AE467" s="150"/>
      <c r="AF467" s="150"/>
      <c r="AG467" s="150"/>
      <c r="AH467" s="150"/>
      <c r="AI467" s="150"/>
      <c r="AJ467" s="150"/>
      <c r="AK467" s="150"/>
      <c r="AL467" s="150"/>
      <c r="AM467" s="150"/>
      <c r="AN467" s="150"/>
      <c r="AO467" s="150"/>
      <c r="AP467" s="150"/>
      <c r="AQ467" s="150"/>
      <c r="AR467" s="150"/>
      <c r="AS467" s="150"/>
      <c r="AT467" s="150"/>
      <c r="AU467" s="150"/>
      <c r="AV467" s="150"/>
      <c r="AW467" s="150"/>
      <c r="AX467" s="150"/>
      <c r="AY467" s="150"/>
      <c r="AZ467" s="150"/>
      <c r="BA467" s="150"/>
      <c r="BB467" s="150"/>
      <c r="BC467" s="150"/>
      <c r="BD467" s="150"/>
      <c r="BE467" s="150"/>
      <c r="BF467" s="150"/>
      <c r="BG467" s="150"/>
      <c r="BH467" s="150"/>
      <c r="BI467" s="150"/>
      <c r="BJ467" s="150"/>
      <c r="BK467" s="150"/>
      <c r="BL467" s="150"/>
      <c r="BM467" s="150"/>
      <c r="BN467" s="72"/>
      <c r="BO467" s="72"/>
      <c r="BP467" s="72"/>
      <c r="BQ467" s="72"/>
      <c r="BR467" s="72"/>
      <c r="BS467" s="72"/>
      <c r="BT467" s="72"/>
      <c r="BU467" s="72"/>
      <c r="BV467" s="72"/>
      <c r="BW467" s="72"/>
      <c r="BX467" s="72"/>
      <c r="BY467" s="72"/>
      <c r="BZ467" s="72"/>
      <c r="CA467" s="72"/>
      <c r="CB467" s="72"/>
      <c r="CC467" s="72"/>
      <c r="CD467" s="72"/>
      <c r="CE467" s="72"/>
      <c r="CF467" s="72"/>
      <c r="CG467" s="72"/>
      <c r="CH467" s="72"/>
      <c r="CI467" s="72"/>
      <c r="CJ467" s="72"/>
      <c r="CK467" s="72"/>
      <c r="CL467" s="72"/>
      <c r="CM467" s="72"/>
      <c r="CN467" s="72"/>
      <c r="CO467" s="72"/>
      <c r="CP467" s="72"/>
      <c r="CQ467" s="72"/>
      <c r="CR467" s="72"/>
      <c r="CS467" s="72"/>
      <c r="CT467" s="150"/>
      <c r="CU467" s="152"/>
      <c r="CV467" s="72"/>
      <c r="CW467" s="72"/>
      <c r="CX467" s="72"/>
      <c r="CY467" s="72"/>
      <c r="CZ467" s="72"/>
      <c r="DA467" s="72"/>
      <c r="DB467" s="72"/>
      <c r="DC467" s="72"/>
      <c r="DD467" s="72"/>
      <c r="DE467" s="72"/>
      <c r="DF467" s="72"/>
      <c r="DG467" s="72"/>
      <c r="DH467" s="72"/>
      <c r="DI467" s="72"/>
      <c r="DJ467" s="72"/>
      <c r="DK467" s="72"/>
      <c r="DL467" s="72"/>
      <c r="DM467" s="72"/>
      <c r="DN467" s="72"/>
      <c r="DO467" s="72"/>
      <c r="DP467" s="72"/>
      <c r="DQ467" s="72"/>
      <c r="DR467" s="72"/>
      <c r="DS467" s="72"/>
      <c r="DT467" s="72"/>
      <c r="DU467" s="72"/>
      <c r="DV467" s="72"/>
      <c r="DW467" s="72"/>
      <c r="DX467" s="72"/>
      <c r="DY467" s="72"/>
      <c r="DZ467" s="72"/>
      <c r="EA467" s="72"/>
      <c r="EB467" s="72"/>
      <c r="EC467" s="72"/>
      <c r="ED467" s="72"/>
      <c r="EE467" s="72"/>
      <c r="EF467" s="72"/>
      <c r="EG467" s="72"/>
      <c r="EH467" s="72"/>
      <c r="EI467" s="72"/>
      <c r="EJ467" s="72"/>
      <c r="EK467" s="72"/>
      <c r="EL467" s="72"/>
      <c r="EM467" s="72"/>
      <c r="EN467" s="72"/>
      <c r="EO467" s="72"/>
      <c r="EP467" s="72"/>
      <c r="EQ467" s="72"/>
      <c r="ER467" s="72"/>
      <c r="ES467" s="72"/>
      <c r="ET467" s="72"/>
      <c r="EU467" s="72"/>
      <c r="EV467" s="72"/>
      <c r="EW467" s="72"/>
      <c r="EX467" s="72"/>
      <c r="EY467" s="72"/>
      <c r="EZ467" s="72"/>
      <c r="FA467" s="72"/>
      <c r="FB467" s="72"/>
      <c r="FC467" s="72"/>
      <c r="FD467" s="72"/>
    </row>
    <row r="468" spans="1:160" ht="15">
      <c r="A468" s="145"/>
      <c r="B468" s="145"/>
      <c r="C468" s="145"/>
      <c r="D468" s="145"/>
      <c r="E468" s="146"/>
      <c r="F468" s="145"/>
      <c r="G468" s="145"/>
      <c r="H468" s="145"/>
      <c r="I468" s="325"/>
      <c r="J468" s="145"/>
      <c r="K468" s="323"/>
      <c r="L468" s="72"/>
      <c r="M468" s="318"/>
      <c r="N468" s="146"/>
      <c r="O468" s="72"/>
      <c r="P468" s="72"/>
      <c r="Q468" s="145"/>
      <c r="R468" s="145"/>
      <c r="S468" s="145"/>
      <c r="T468" s="145"/>
      <c r="U468" s="145"/>
      <c r="V468" s="145"/>
      <c r="W468" s="145"/>
      <c r="X468" s="145"/>
      <c r="Y468" s="145"/>
      <c r="Z468" s="145"/>
      <c r="AA468" s="150"/>
      <c r="AB468" s="151"/>
      <c r="AC468" s="150"/>
      <c r="AD468" s="150"/>
      <c r="AE468" s="150"/>
      <c r="AF468" s="150"/>
      <c r="AG468" s="150"/>
      <c r="AH468" s="150"/>
      <c r="AI468" s="150"/>
      <c r="AJ468" s="150"/>
      <c r="AK468" s="150"/>
      <c r="AL468" s="150"/>
      <c r="AM468" s="150"/>
      <c r="AN468" s="150"/>
      <c r="AO468" s="150"/>
      <c r="AP468" s="150"/>
      <c r="AQ468" s="150"/>
      <c r="AR468" s="150"/>
      <c r="AS468" s="150"/>
      <c r="AT468" s="150"/>
      <c r="AU468" s="150"/>
      <c r="AV468" s="150"/>
      <c r="AW468" s="150"/>
      <c r="AX468" s="150"/>
      <c r="AY468" s="150"/>
      <c r="AZ468" s="150"/>
      <c r="BA468" s="150"/>
      <c r="BB468" s="150"/>
      <c r="BC468" s="150"/>
      <c r="BD468" s="150"/>
      <c r="BE468" s="150"/>
      <c r="BF468" s="150"/>
      <c r="BG468" s="150"/>
      <c r="BH468" s="150"/>
      <c r="BI468" s="150"/>
      <c r="BJ468" s="150"/>
      <c r="BK468" s="150"/>
      <c r="BL468" s="150"/>
      <c r="BM468" s="150"/>
      <c r="BN468" s="72"/>
      <c r="BO468" s="72"/>
      <c r="BP468" s="72"/>
      <c r="BQ468" s="72"/>
      <c r="BR468" s="72"/>
      <c r="BS468" s="72"/>
      <c r="BT468" s="72"/>
      <c r="BU468" s="72"/>
      <c r="BV468" s="72"/>
      <c r="BW468" s="72"/>
      <c r="BX468" s="72"/>
      <c r="BY468" s="72"/>
      <c r="BZ468" s="72"/>
      <c r="CA468" s="72"/>
      <c r="CB468" s="72"/>
      <c r="CC468" s="72"/>
      <c r="CD468" s="72"/>
      <c r="CE468" s="72"/>
      <c r="CF468" s="72"/>
      <c r="CG468" s="72"/>
      <c r="CH468" s="72"/>
      <c r="CI468" s="72"/>
      <c r="CJ468" s="72"/>
      <c r="CK468" s="72"/>
      <c r="CL468" s="72"/>
      <c r="CM468" s="72"/>
      <c r="CN468" s="72"/>
      <c r="CO468" s="72"/>
      <c r="CP468" s="72"/>
      <c r="CQ468" s="72"/>
      <c r="CR468" s="72"/>
      <c r="CS468" s="72"/>
      <c r="CT468" s="150"/>
      <c r="CU468" s="152"/>
      <c r="CV468" s="72"/>
      <c r="CW468" s="72"/>
      <c r="CX468" s="72"/>
      <c r="CY468" s="72"/>
      <c r="CZ468" s="72"/>
      <c r="DA468" s="72"/>
      <c r="DB468" s="72"/>
      <c r="DC468" s="72"/>
      <c r="DD468" s="72"/>
      <c r="DE468" s="72"/>
      <c r="DF468" s="72"/>
      <c r="DG468" s="72"/>
      <c r="DH468" s="72"/>
      <c r="DI468" s="72"/>
      <c r="DJ468" s="72"/>
      <c r="DK468" s="72"/>
      <c r="DL468" s="72"/>
      <c r="DM468" s="72"/>
      <c r="DN468" s="72"/>
      <c r="DO468" s="72"/>
      <c r="DP468" s="72"/>
      <c r="DQ468" s="72"/>
      <c r="DR468" s="72"/>
      <c r="DS468" s="72"/>
      <c r="DT468" s="72"/>
      <c r="DU468" s="72"/>
      <c r="DV468" s="72"/>
      <c r="DW468" s="72"/>
      <c r="DX468" s="72"/>
      <c r="DY468" s="72"/>
      <c r="DZ468" s="72"/>
      <c r="EA468" s="72"/>
      <c r="EB468" s="72"/>
      <c r="EC468" s="72"/>
      <c r="ED468" s="72"/>
      <c r="EE468" s="72"/>
      <c r="EF468" s="72"/>
      <c r="EG468" s="72"/>
      <c r="EH468" s="72"/>
      <c r="EI468" s="72"/>
      <c r="EJ468" s="72"/>
      <c r="EK468" s="72"/>
      <c r="EL468" s="72"/>
      <c r="EM468" s="72"/>
      <c r="EN468" s="72"/>
      <c r="EO468" s="72"/>
      <c r="EP468" s="72"/>
      <c r="EQ468" s="72"/>
      <c r="ER468" s="72"/>
      <c r="ES468" s="72"/>
      <c r="ET468" s="72"/>
      <c r="EU468" s="72"/>
      <c r="EV468" s="72"/>
      <c r="EW468" s="72"/>
      <c r="EX468" s="72"/>
      <c r="EY468" s="72"/>
      <c r="EZ468" s="72"/>
      <c r="FA468" s="72"/>
      <c r="FB468" s="72"/>
      <c r="FC468" s="72"/>
      <c r="FD468" s="72"/>
    </row>
    <row r="469" spans="1:160" ht="15">
      <c r="A469" s="145"/>
      <c r="B469" s="145"/>
      <c r="C469" s="145"/>
      <c r="D469" s="145"/>
      <c r="E469" s="146"/>
      <c r="F469" s="145"/>
      <c r="G469" s="145"/>
      <c r="H469" s="145"/>
      <c r="I469" s="325"/>
      <c r="J469" s="145"/>
      <c r="K469" s="323"/>
      <c r="L469" s="72"/>
      <c r="M469" s="318"/>
      <c r="N469" s="146"/>
      <c r="O469" s="72"/>
      <c r="P469" s="72"/>
      <c r="Q469" s="145"/>
      <c r="R469" s="145"/>
      <c r="S469" s="145"/>
      <c r="T469" s="145"/>
      <c r="U469" s="145"/>
      <c r="V469" s="145"/>
      <c r="W469" s="145"/>
      <c r="X469" s="145"/>
      <c r="Y469" s="145"/>
      <c r="Z469" s="145"/>
      <c r="AA469" s="150"/>
      <c r="AB469" s="151"/>
      <c r="AC469" s="150"/>
      <c r="AD469" s="150"/>
      <c r="AE469" s="150"/>
      <c r="AF469" s="150"/>
      <c r="AG469" s="150"/>
      <c r="AH469" s="150"/>
      <c r="AI469" s="150"/>
      <c r="AJ469" s="150"/>
      <c r="AK469" s="150"/>
      <c r="AL469" s="150"/>
      <c r="AM469" s="150"/>
      <c r="AN469" s="150"/>
      <c r="AO469" s="150"/>
      <c r="AP469" s="150"/>
      <c r="AQ469" s="150"/>
      <c r="AR469" s="150"/>
      <c r="AS469" s="150"/>
      <c r="AT469" s="150"/>
      <c r="AU469" s="150"/>
      <c r="AV469" s="150"/>
      <c r="AW469" s="150"/>
      <c r="AX469" s="150"/>
      <c r="AY469" s="150"/>
      <c r="AZ469" s="150"/>
      <c r="BA469" s="150"/>
      <c r="BB469" s="150"/>
      <c r="BC469" s="150"/>
      <c r="BD469" s="150"/>
      <c r="BE469" s="150"/>
      <c r="BF469" s="150"/>
      <c r="BG469" s="150"/>
      <c r="BH469" s="150"/>
      <c r="BI469" s="150"/>
      <c r="BJ469" s="150"/>
      <c r="BK469" s="150"/>
      <c r="BL469" s="150"/>
      <c r="BM469" s="150"/>
      <c r="BN469" s="72"/>
      <c r="BO469" s="72"/>
      <c r="BP469" s="72"/>
      <c r="BQ469" s="72"/>
      <c r="BR469" s="72"/>
      <c r="BS469" s="72"/>
      <c r="BT469" s="72"/>
      <c r="BU469" s="72"/>
      <c r="BV469" s="72"/>
      <c r="BW469" s="72"/>
      <c r="BX469" s="72"/>
      <c r="BY469" s="72"/>
      <c r="BZ469" s="72"/>
      <c r="CA469" s="72"/>
      <c r="CB469" s="72"/>
      <c r="CC469" s="72"/>
      <c r="CD469" s="72"/>
      <c r="CE469" s="72"/>
      <c r="CF469" s="72"/>
      <c r="CG469" s="72"/>
      <c r="CH469" s="72"/>
      <c r="CI469" s="72"/>
      <c r="CJ469" s="72"/>
      <c r="CK469" s="72"/>
      <c r="CL469" s="72"/>
      <c r="CM469" s="72"/>
      <c r="CN469" s="72"/>
      <c r="CO469" s="72"/>
      <c r="CP469" s="72"/>
      <c r="CQ469" s="72"/>
      <c r="CR469" s="72"/>
      <c r="CS469" s="72"/>
      <c r="CT469" s="150"/>
      <c r="CU469" s="152"/>
      <c r="CV469" s="72"/>
      <c r="CW469" s="72"/>
      <c r="CX469" s="72"/>
      <c r="CY469" s="72"/>
      <c r="CZ469" s="72"/>
      <c r="DA469" s="72"/>
      <c r="DB469" s="72"/>
      <c r="DC469" s="72"/>
      <c r="DD469" s="72"/>
      <c r="DE469" s="72"/>
      <c r="DF469" s="72"/>
      <c r="DG469" s="72"/>
      <c r="DH469" s="72"/>
      <c r="DI469" s="72"/>
      <c r="DJ469" s="72"/>
      <c r="DK469" s="72"/>
      <c r="DL469" s="72"/>
      <c r="DM469" s="72"/>
      <c r="DN469" s="72"/>
      <c r="DO469" s="72"/>
      <c r="DP469" s="72"/>
      <c r="DQ469" s="72"/>
      <c r="DR469" s="72"/>
      <c r="DS469" s="72"/>
      <c r="DT469" s="72"/>
      <c r="DU469" s="72"/>
      <c r="DV469" s="72"/>
      <c r="DW469" s="72"/>
      <c r="DX469" s="72"/>
      <c r="DY469" s="72"/>
      <c r="DZ469" s="72"/>
      <c r="EA469" s="72"/>
      <c r="EB469" s="72"/>
      <c r="EC469" s="72"/>
      <c r="ED469" s="72"/>
      <c r="EE469" s="72"/>
      <c r="EF469" s="72"/>
      <c r="EG469" s="72"/>
      <c r="EH469" s="72"/>
      <c r="EI469" s="72"/>
      <c r="EJ469" s="72"/>
      <c r="EK469" s="72"/>
      <c r="EL469" s="72"/>
      <c r="EM469" s="72"/>
      <c r="EN469" s="72"/>
      <c r="EO469" s="72"/>
      <c r="EP469" s="72"/>
      <c r="EQ469" s="72"/>
      <c r="ER469" s="72"/>
      <c r="ES469" s="72"/>
      <c r="ET469" s="72"/>
      <c r="EU469" s="72"/>
      <c r="EV469" s="72"/>
      <c r="EW469" s="72"/>
      <c r="EX469" s="72"/>
      <c r="EY469" s="72"/>
      <c r="EZ469" s="72"/>
      <c r="FA469" s="72"/>
      <c r="FB469" s="72"/>
      <c r="FC469" s="72"/>
      <c r="FD469" s="72"/>
    </row>
    <row r="470" spans="1:160" ht="15">
      <c r="A470" s="145"/>
      <c r="B470" s="145"/>
      <c r="C470" s="145"/>
      <c r="D470" s="145"/>
      <c r="E470" s="146"/>
      <c r="F470" s="145"/>
      <c r="G470" s="145"/>
      <c r="H470" s="145"/>
      <c r="I470" s="325"/>
      <c r="J470" s="145"/>
      <c r="K470" s="323"/>
      <c r="L470" s="72"/>
      <c r="M470" s="324"/>
      <c r="N470" s="146"/>
      <c r="O470" s="72"/>
      <c r="P470" s="72"/>
      <c r="Q470" s="145"/>
      <c r="R470" s="145"/>
      <c r="S470" s="145"/>
      <c r="T470" s="145"/>
      <c r="U470" s="145"/>
      <c r="V470" s="145"/>
      <c r="W470" s="145"/>
      <c r="X470" s="145"/>
      <c r="Y470" s="145"/>
      <c r="Z470" s="145"/>
      <c r="AA470" s="150"/>
      <c r="AB470" s="151"/>
      <c r="AC470" s="150"/>
      <c r="AD470" s="150"/>
      <c r="AE470" s="150"/>
      <c r="AF470" s="150"/>
      <c r="AG470" s="150"/>
      <c r="AH470" s="150"/>
      <c r="AI470" s="150"/>
      <c r="AJ470" s="150"/>
      <c r="AK470" s="150"/>
      <c r="AL470" s="150"/>
      <c r="AM470" s="150"/>
      <c r="AN470" s="150"/>
      <c r="AO470" s="150"/>
      <c r="AP470" s="150"/>
      <c r="AQ470" s="150"/>
      <c r="AR470" s="150"/>
      <c r="AS470" s="150"/>
      <c r="AT470" s="150"/>
      <c r="AU470" s="150"/>
      <c r="AV470" s="150"/>
      <c r="AW470" s="150"/>
      <c r="AX470" s="150"/>
      <c r="AY470" s="150"/>
      <c r="AZ470" s="150"/>
      <c r="BA470" s="150"/>
      <c r="BB470" s="150"/>
      <c r="BC470" s="150"/>
      <c r="BD470" s="150"/>
      <c r="BE470" s="150"/>
      <c r="BF470" s="150"/>
      <c r="BG470" s="150"/>
      <c r="BH470" s="150"/>
      <c r="BI470" s="150"/>
      <c r="BJ470" s="150"/>
      <c r="BK470" s="150"/>
      <c r="BL470" s="150"/>
      <c r="BM470" s="150"/>
      <c r="BN470" s="72"/>
      <c r="BO470" s="72"/>
      <c r="BP470" s="72"/>
      <c r="BQ470" s="72"/>
      <c r="BR470" s="72"/>
      <c r="BS470" s="72"/>
      <c r="BT470" s="72"/>
      <c r="BU470" s="72"/>
      <c r="BV470" s="72"/>
      <c r="BW470" s="72"/>
      <c r="BX470" s="72"/>
      <c r="BY470" s="72"/>
      <c r="BZ470" s="72"/>
      <c r="CA470" s="72"/>
      <c r="CB470" s="72"/>
      <c r="CC470" s="72"/>
      <c r="CD470" s="72"/>
      <c r="CE470" s="72"/>
      <c r="CF470" s="72"/>
      <c r="CG470" s="72"/>
      <c r="CH470" s="72"/>
      <c r="CI470" s="72"/>
      <c r="CJ470" s="72"/>
      <c r="CK470" s="72"/>
      <c r="CL470" s="72"/>
      <c r="CM470" s="72"/>
      <c r="CN470" s="72"/>
      <c r="CO470" s="72"/>
      <c r="CP470" s="72"/>
      <c r="CQ470" s="72"/>
      <c r="CR470" s="72"/>
      <c r="CS470" s="72"/>
      <c r="CT470" s="150"/>
      <c r="CU470" s="152"/>
      <c r="CV470" s="72"/>
      <c r="CW470" s="72"/>
      <c r="CX470" s="72"/>
      <c r="CY470" s="72"/>
      <c r="CZ470" s="72"/>
      <c r="DA470" s="72"/>
      <c r="DB470" s="72"/>
      <c r="DC470" s="72"/>
      <c r="DD470" s="72"/>
      <c r="DE470" s="72"/>
      <c r="DF470" s="72"/>
      <c r="DG470" s="72"/>
      <c r="DH470" s="72"/>
      <c r="DI470" s="72"/>
      <c r="DJ470" s="72"/>
      <c r="DK470" s="72"/>
      <c r="DL470" s="72"/>
      <c r="DM470" s="72"/>
      <c r="DN470" s="72"/>
      <c r="DO470" s="72"/>
      <c r="DP470" s="72"/>
      <c r="DQ470" s="72"/>
      <c r="DR470" s="72"/>
      <c r="DS470" s="72"/>
      <c r="DT470" s="72"/>
      <c r="DU470" s="72"/>
      <c r="DV470" s="72"/>
      <c r="DW470" s="72"/>
      <c r="DX470" s="72"/>
      <c r="DY470" s="72"/>
      <c r="DZ470" s="72"/>
      <c r="EA470" s="72"/>
      <c r="EB470" s="72"/>
      <c r="EC470" s="72"/>
      <c r="ED470" s="72"/>
      <c r="EE470" s="72"/>
      <c r="EF470" s="72"/>
      <c r="EG470" s="72"/>
      <c r="EH470" s="72"/>
      <c r="EI470" s="72"/>
      <c r="EJ470" s="72"/>
      <c r="EK470" s="72"/>
      <c r="EL470" s="72"/>
      <c r="EM470" s="72"/>
      <c r="EN470" s="72"/>
      <c r="EO470" s="72"/>
      <c r="EP470" s="72"/>
      <c r="EQ470" s="72"/>
      <c r="ER470" s="72"/>
      <c r="ES470" s="72"/>
      <c r="ET470" s="72"/>
      <c r="EU470" s="72"/>
      <c r="EV470" s="72"/>
      <c r="EW470" s="72"/>
      <c r="EX470" s="72"/>
      <c r="EY470" s="72"/>
      <c r="EZ470" s="72"/>
      <c r="FA470" s="72"/>
      <c r="FB470" s="72"/>
      <c r="FC470" s="72"/>
      <c r="FD470" s="72"/>
    </row>
    <row r="471" spans="1:160" ht="15">
      <c r="A471" s="145"/>
      <c r="B471" s="145"/>
      <c r="C471" s="145"/>
      <c r="D471" s="145"/>
      <c r="E471" s="146"/>
      <c r="F471" s="145"/>
      <c r="G471" s="145"/>
      <c r="H471" s="145"/>
      <c r="I471" s="325"/>
      <c r="J471" s="145"/>
      <c r="K471" s="323"/>
      <c r="L471" s="323"/>
      <c r="M471" s="324"/>
      <c r="N471" s="146"/>
      <c r="O471" s="72"/>
      <c r="P471" s="72"/>
      <c r="Q471" s="145"/>
      <c r="R471" s="145"/>
      <c r="S471" s="145"/>
      <c r="T471" s="145"/>
      <c r="U471" s="145"/>
      <c r="V471" s="145"/>
      <c r="W471" s="145"/>
      <c r="X471" s="145"/>
      <c r="Y471" s="145"/>
      <c r="Z471" s="145"/>
      <c r="AA471" s="150"/>
      <c r="AB471" s="151"/>
      <c r="AC471" s="150"/>
      <c r="AD471" s="150"/>
      <c r="AE471" s="150"/>
      <c r="AF471" s="150"/>
      <c r="AG471" s="150"/>
      <c r="AH471" s="150"/>
      <c r="AI471" s="150"/>
      <c r="AJ471" s="150"/>
      <c r="AK471" s="150"/>
      <c r="AL471" s="150"/>
      <c r="AM471" s="150"/>
      <c r="AN471" s="150"/>
      <c r="AO471" s="150"/>
      <c r="AP471" s="150"/>
      <c r="AQ471" s="150"/>
      <c r="AR471" s="150"/>
      <c r="AS471" s="150"/>
      <c r="AT471" s="150"/>
      <c r="AU471" s="150"/>
      <c r="AV471" s="150"/>
      <c r="AW471" s="150"/>
      <c r="AX471" s="150"/>
      <c r="AY471" s="150"/>
      <c r="AZ471" s="150"/>
      <c r="BA471" s="150"/>
      <c r="BB471" s="150"/>
      <c r="BC471" s="150"/>
      <c r="BD471" s="150"/>
      <c r="BE471" s="150"/>
      <c r="BF471" s="150"/>
      <c r="BG471" s="150"/>
      <c r="BH471" s="150"/>
      <c r="BI471" s="150"/>
      <c r="BJ471" s="150"/>
      <c r="BK471" s="150"/>
      <c r="BL471" s="150"/>
      <c r="BM471" s="150"/>
      <c r="BN471" s="72"/>
      <c r="BO471" s="72"/>
      <c r="BP471" s="72"/>
      <c r="BQ471" s="72"/>
      <c r="BR471" s="72"/>
      <c r="BS471" s="72"/>
      <c r="BT471" s="72"/>
      <c r="BU471" s="72"/>
      <c r="BV471" s="72"/>
      <c r="BW471" s="72"/>
      <c r="BX471" s="72"/>
      <c r="BY471" s="72"/>
      <c r="BZ471" s="72"/>
      <c r="CA471" s="72"/>
      <c r="CB471" s="72"/>
      <c r="CC471" s="72"/>
      <c r="CD471" s="72"/>
      <c r="CE471" s="72"/>
      <c r="CF471" s="72"/>
      <c r="CG471" s="72"/>
      <c r="CH471" s="72"/>
      <c r="CI471" s="72"/>
      <c r="CJ471" s="72"/>
      <c r="CK471" s="72"/>
      <c r="CL471" s="72"/>
      <c r="CM471" s="72"/>
      <c r="CN471" s="72"/>
      <c r="CO471" s="72"/>
      <c r="CP471" s="72"/>
      <c r="CQ471" s="72"/>
      <c r="CR471" s="72"/>
      <c r="CS471" s="72"/>
      <c r="CT471" s="150"/>
      <c r="CU471" s="152"/>
      <c r="CV471" s="72"/>
      <c r="CW471" s="72"/>
      <c r="CX471" s="72"/>
      <c r="CY471" s="72"/>
      <c r="CZ471" s="72"/>
      <c r="DA471" s="72"/>
      <c r="DB471" s="72"/>
      <c r="DC471" s="72"/>
      <c r="DD471" s="72"/>
      <c r="DE471" s="72"/>
      <c r="DF471" s="72"/>
      <c r="DG471" s="72"/>
      <c r="DH471" s="72"/>
      <c r="DI471" s="72"/>
      <c r="DJ471" s="72"/>
      <c r="DK471" s="72"/>
      <c r="DL471" s="72"/>
      <c r="DM471" s="72"/>
      <c r="DN471" s="72"/>
      <c r="DO471" s="72"/>
      <c r="DP471" s="72"/>
      <c r="DQ471" s="72"/>
      <c r="DR471" s="72"/>
      <c r="DS471" s="72"/>
      <c r="DT471" s="72"/>
      <c r="DU471" s="72"/>
      <c r="DV471" s="72"/>
      <c r="DW471" s="72"/>
      <c r="DX471" s="72"/>
      <c r="DY471" s="72"/>
      <c r="DZ471" s="72"/>
      <c r="EA471" s="72"/>
      <c r="EB471" s="72"/>
      <c r="EC471" s="72"/>
      <c r="ED471" s="72"/>
      <c r="EE471" s="72"/>
      <c r="EF471" s="72"/>
      <c r="EG471" s="72"/>
      <c r="EH471" s="72"/>
      <c r="EI471" s="72"/>
      <c r="EJ471" s="72"/>
      <c r="EK471" s="72"/>
      <c r="EL471" s="72"/>
      <c r="EM471" s="72"/>
      <c r="EN471" s="72"/>
      <c r="EO471" s="72"/>
      <c r="EP471" s="72"/>
      <c r="EQ471" s="72"/>
      <c r="ER471" s="72"/>
      <c r="ES471" s="72"/>
      <c r="ET471" s="72"/>
      <c r="EU471" s="72"/>
      <c r="EV471" s="72"/>
      <c r="EW471" s="72"/>
      <c r="EX471" s="72"/>
      <c r="EY471" s="72"/>
      <c r="EZ471" s="72"/>
      <c r="FA471" s="72"/>
      <c r="FB471" s="72"/>
      <c r="FC471" s="72"/>
      <c r="FD471" s="72"/>
    </row>
    <row r="472" spans="1:160" ht="15">
      <c r="A472" s="145"/>
      <c r="B472" s="145"/>
      <c r="C472" s="145"/>
      <c r="D472" s="145"/>
      <c r="E472" s="146"/>
      <c r="F472" s="145"/>
      <c r="G472" s="145"/>
      <c r="H472" s="145"/>
      <c r="I472" s="325"/>
      <c r="J472" s="145"/>
      <c r="K472" s="323"/>
      <c r="L472" s="323"/>
      <c r="M472" s="324"/>
      <c r="N472" s="146"/>
      <c r="O472" s="72"/>
      <c r="P472" s="72"/>
      <c r="Q472" s="145"/>
      <c r="R472" s="145"/>
      <c r="S472" s="145"/>
      <c r="T472" s="145"/>
      <c r="U472" s="145"/>
      <c r="V472" s="145"/>
      <c r="W472" s="145"/>
      <c r="X472" s="145"/>
      <c r="Y472" s="145"/>
      <c r="Z472" s="145"/>
      <c r="AA472" s="150"/>
      <c r="AB472" s="151"/>
      <c r="AC472" s="150"/>
      <c r="AD472" s="150"/>
      <c r="AE472" s="150"/>
      <c r="AF472" s="150"/>
      <c r="AG472" s="150"/>
      <c r="AH472" s="150"/>
      <c r="AI472" s="150"/>
      <c r="AJ472" s="150"/>
      <c r="AK472" s="150"/>
      <c r="AL472" s="150"/>
      <c r="AM472" s="150"/>
      <c r="AN472" s="150"/>
      <c r="AO472" s="150"/>
      <c r="AP472" s="150"/>
      <c r="AQ472" s="150"/>
      <c r="AR472" s="150"/>
      <c r="AS472" s="150"/>
      <c r="AT472" s="150"/>
      <c r="AU472" s="150"/>
      <c r="AV472" s="150"/>
      <c r="AW472" s="150"/>
      <c r="AX472" s="150"/>
      <c r="AY472" s="150"/>
      <c r="AZ472" s="150"/>
      <c r="BA472" s="150"/>
      <c r="BB472" s="150"/>
      <c r="BC472" s="150"/>
      <c r="BD472" s="150"/>
      <c r="BE472" s="150"/>
      <c r="BF472" s="150"/>
      <c r="BG472" s="150"/>
      <c r="BH472" s="150"/>
      <c r="BI472" s="150"/>
      <c r="BJ472" s="150"/>
      <c r="BK472" s="150"/>
      <c r="BL472" s="150"/>
      <c r="BM472" s="150"/>
      <c r="BN472" s="72"/>
      <c r="BO472" s="72"/>
      <c r="BP472" s="72"/>
      <c r="BQ472" s="72"/>
      <c r="BR472" s="72"/>
      <c r="BS472" s="72"/>
      <c r="BT472" s="72"/>
      <c r="BU472" s="72"/>
      <c r="BV472" s="72"/>
      <c r="BW472" s="72"/>
      <c r="BX472" s="72"/>
      <c r="BY472" s="72"/>
      <c r="BZ472" s="72"/>
      <c r="CA472" s="72"/>
      <c r="CB472" s="72"/>
      <c r="CC472" s="72"/>
      <c r="CD472" s="72"/>
      <c r="CE472" s="72"/>
      <c r="CF472" s="72"/>
      <c r="CG472" s="72"/>
      <c r="CH472" s="72"/>
      <c r="CI472" s="72"/>
      <c r="CJ472" s="72"/>
      <c r="CK472" s="72"/>
      <c r="CL472" s="72"/>
      <c r="CM472" s="72"/>
      <c r="CN472" s="72"/>
      <c r="CO472" s="72"/>
      <c r="CP472" s="72"/>
      <c r="CQ472" s="72"/>
      <c r="CR472" s="72"/>
      <c r="CS472" s="72"/>
      <c r="CT472" s="150"/>
      <c r="CU472" s="152"/>
      <c r="CV472" s="72"/>
      <c r="CW472" s="72"/>
      <c r="CX472" s="72"/>
      <c r="CY472" s="72"/>
      <c r="CZ472" s="72"/>
      <c r="DA472" s="72"/>
      <c r="DB472" s="72"/>
      <c r="DC472" s="72"/>
      <c r="DD472" s="72"/>
      <c r="DE472" s="72"/>
      <c r="DF472" s="72"/>
      <c r="DG472" s="72"/>
      <c r="DH472" s="72"/>
      <c r="DI472" s="72"/>
      <c r="DJ472" s="72"/>
      <c r="DK472" s="72"/>
      <c r="DL472" s="72"/>
      <c r="DM472" s="72"/>
      <c r="DN472" s="72"/>
      <c r="DO472" s="72"/>
      <c r="DP472" s="72"/>
      <c r="DQ472" s="72"/>
      <c r="DR472" s="72"/>
      <c r="DS472" s="72"/>
      <c r="DT472" s="72"/>
      <c r="DU472" s="72"/>
      <c r="DV472" s="72"/>
      <c r="DW472" s="72"/>
      <c r="DX472" s="72"/>
      <c r="DY472" s="72"/>
      <c r="DZ472" s="72"/>
      <c r="EA472" s="72"/>
      <c r="EB472" s="72"/>
      <c r="EC472" s="72"/>
      <c r="ED472" s="72"/>
      <c r="EE472" s="72"/>
      <c r="EF472" s="72"/>
      <c r="EG472" s="72"/>
      <c r="EH472" s="72"/>
      <c r="EI472" s="72"/>
      <c r="EJ472" s="72"/>
      <c r="EK472" s="72"/>
      <c r="EL472" s="72"/>
      <c r="EM472" s="72"/>
      <c r="EN472" s="72"/>
      <c r="EO472" s="72"/>
      <c r="EP472" s="72"/>
      <c r="EQ472" s="72"/>
      <c r="ER472" s="72"/>
      <c r="ES472" s="72"/>
      <c r="ET472" s="72"/>
      <c r="EU472" s="72"/>
      <c r="EV472" s="72"/>
      <c r="EW472" s="72"/>
      <c r="EX472" s="72"/>
      <c r="EY472" s="72"/>
      <c r="EZ472" s="72"/>
      <c r="FA472" s="72"/>
      <c r="FB472" s="72"/>
      <c r="FC472" s="72"/>
      <c r="FD472" s="72"/>
    </row>
    <row r="473" spans="1:160" ht="15">
      <c r="A473" s="145"/>
      <c r="B473" s="145"/>
      <c r="C473" s="145"/>
      <c r="D473" s="145"/>
      <c r="E473" s="146"/>
      <c r="F473" s="145"/>
      <c r="G473" s="145"/>
      <c r="H473" s="145"/>
      <c r="I473" s="325"/>
      <c r="J473" s="145"/>
      <c r="K473" s="323"/>
      <c r="L473" s="323"/>
      <c r="M473" s="324"/>
      <c r="N473" s="146"/>
      <c r="O473" s="72"/>
      <c r="P473" s="72"/>
      <c r="Q473" s="145"/>
      <c r="R473" s="145"/>
      <c r="S473" s="145"/>
      <c r="T473" s="145"/>
      <c r="U473" s="145"/>
      <c r="V473" s="145"/>
      <c r="W473" s="145"/>
      <c r="X473" s="145"/>
      <c r="Y473" s="145"/>
      <c r="Z473" s="145"/>
      <c r="AA473" s="150"/>
      <c r="AB473" s="151"/>
      <c r="AC473" s="150"/>
      <c r="AD473" s="150"/>
      <c r="AE473" s="150"/>
      <c r="AF473" s="150"/>
      <c r="AG473" s="150"/>
      <c r="AH473" s="150"/>
      <c r="AI473" s="150"/>
      <c r="AJ473" s="150"/>
      <c r="AK473" s="150"/>
      <c r="AL473" s="150"/>
      <c r="AM473" s="150"/>
      <c r="AN473" s="150"/>
      <c r="AO473" s="150"/>
      <c r="AP473" s="150"/>
      <c r="AQ473" s="150"/>
      <c r="AR473" s="150"/>
      <c r="AS473" s="150"/>
      <c r="AT473" s="150"/>
      <c r="AU473" s="150"/>
      <c r="AV473" s="150"/>
      <c r="AW473" s="150"/>
      <c r="AX473" s="150"/>
      <c r="AY473" s="150"/>
      <c r="AZ473" s="150"/>
      <c r="BA473" s="150"/>
      <c r="BB473" s="150"/>
      <c r="BC473" s="150"/>
      <c r="BD473" s="150"/>
      <c r="BE473" s="150"/>
      <c r="BF473" s="150"/>
      <c r="BG473" s="150"/>
      <c r="BH473" s="150"/>
      <c r="BI473" s="150"/>
      <c r="BJ473" s="150"/>
      <c r="BK473" s="150"/>
      <c r="BL473" s="150"/>
      <c r="BM473" s="150"/>
      <c r="BN473" s="72"/>
      <c r="BO473" s="72"/>
      <c r="BP473" s="72"/>
      <c r="BQ473" s="72"/>
      <c r="BR473" s="72"/>
      <c r="BS473" s="72"/>
      <c r="BT473" s="72"/>
      <c r="BU473" s="72"/>
      <c r="BV473" s="72"/>
      <c r="BW473" s="72"/>
      <c r="BX473" s="72"/>
      <c r="BY473" s="72"/>
      <c r="BZ473" s="72"/>
      <c r="CA473" s="72"/>
      <c r="CB473" s="72"/>
      <c r="CC473" s="72"/>
      <c r="CD473" s="72"/>
      <c r="CE473" s="72"/>
      <c r="CF473" s="72"/>
      <c r="CG473" s="72"/>
      <c r="CH473" s="72"/>
      <c r="CI473" s="72"/>
      <c r="CJ473" s="72"/>
      <c r="CK473" s="72"/>
      <c r="CL473" s="72"/>
      <c r="CM473" s="72"/>
      <c r="CN473" s="72"/>
      <c r="CO473" s="72"/>
      <c r="CP473" s="72"/>
      <c r="CQ473" s="72"/>
      <c r="CR473" s="72"/>
      <c r="CS473" s="72"/>
      <c r="CT473" s="150"/>
      <c r="CU473" s="152"/>
      <c r="CV473" s="72"/>
      <c r="CW473" s="72"/>
      <c r="CX473" s="72"/>
      <c r="CY473" s="72"/>
      <c r="CZ473" s="72"/>
      <c r="DA473" s="72"/>
      <c r="DB473" s="72"/>
      <c r="DC473" s="72"/>
      <c r="DD473" s="72"/>
      <c r="DE473" s="72"/>
      <c r="DF473" s="72"/>
      <c r="DG473" s="72"/>
      <c r="DH473" s="72"/>
      <c r="DI473" s="72"/>
      <c r="DJ473" s="72"/>
      <c r="DK473" s="72"/>
      <c r="DL473" s="72"/>
      <c r="DM473" s="72"/>
      <c r="DN473" s="72"/>
      <c r="DO473" s="72"/>
      <c r="DP473" s="72"/>
      <c r="DQ473" s="72"/>
      <c r="DR473" s="72"/>
      <c r="DS473" s="72"/>
      <c r="DT473" s="72"/>
      <c r="DU473" s="72"/>
      <c r="DV473" s="72"/>
      <c r="DW473" s="72"/>
      <c r="DX473" s="72"/>
      <c r="DY473" s="72"/>
      <c r="DZ473" s="72"/>
      <c r="EA473" s="72"/>
      <c r="EB473" s="72"/>
      <c r="EC473" s="72"/>
      <c r="ED473" s="72"/>
      <c r="EE473" s="72"/>
      <c r="EF473" s="72"/>
      <c r="EG473" s="72"/>
      <c r="EH473" s="72"/>
      <c r="EI473" s="72"/>
      <c r="EJ473" s="72"/>
      <c r="EK473" s="72"/>
      <c r="EL473" s="72"/>
      <c r="EM473" s="72"/>
      <c r="EN473" s="72"/>
      <c r="EO473" s="72"/>
      <c r="EP473" s="72"/>
      <c r="EQ473" s="72"/>
      <c r="ER473" s="72"/>
      <c r="ES473" s="72"/>
      <c r="ET473" s="72"/>
      <c r="EU473" s="72"/>
      <c r="EV473" s="72"/>
      <c r="EW473" s="72"/>
      <c r="EX473" s="72"/>
      <c r="EY473" s="72"/>
      <c r="EZ473" s="72"/>
      <c r="FA473" s="72"/>
      <c r="FB473" s="72"/>
      <c r="FC473" s="72"/>
      <c r="FD473" s="72"/>
    </row>
    <row r="474" spans="1:160" ht="15">
      <c r="A474" s="145"/>
      <c r="B474" s="145"/>
      <c r="C474" s="145"/>
      <c r="D474" s="145"/>
      <c r="E474" s="146"/>
      <c r="F474" s="145"/>
      <c r="G474" s="145"/>
      <c r="H474" s="145"/>
      <c r="I474" s="325"/>
      <c r="J474" s="145"/>
      <c r="K474" s="323"/>
      <c r="L474" s="323"/>
      <c r="M474" s="324"/>
      <c r="N474" s="146"/>
      <c r="O474" s="72"/>
      <c r="P474" s="72"/>
      <c r="Q474" s="145"/>
      <c r="R474" s="145"/>
      <c r="S474" s="145"/>
      <c r="T474" s="145"/>
      <c r="U474" s="145"/>
      <c r="V474" s="145"/>
      <c r="W474" s="145"/>
      <c r="X474" s="145"/>
      <c r="Y474" s="145"/>
      <c r="Z474" s="145"/>
      <c r="AA474" s="150"/>
      <c r="AB474" s="151"/>
      <c r="AC474" s="150"/>
      <c r="AD474" s="150"/>
      <c r="AE474" s="150"/>
      <c r="AF474" s="150"/>
      <c r="AG474" s="150"/>
      <c r="AH474" s="150"/>
      <c r="AI474" s="150"/>
      <c r="AJ474" s="150"/>
      <c r="AK474" s="150"/>
      <c r="AL474" s="150"/>
      <c r="AM474" s="150"/>
      <c r="AN474" s="150"/>
      <c r="AO474" s="150"/>
      <c r="AP474" s="150"/>
      <c r="AQ474" s="150"/>
      <c r="AR474" s="150"/>
      <c r="AS474" s="150"/>
      <c r="AT474" s="150"/>
      <c r="AU474" s="150"/>
      <c r="AV474" s="150"/>
      <c r="AW474" s="150"/>
      <c r="AX474" s="150"/>
      <c r="AY474" s="150"/>
      <c r="AZ474" s="150"/>
      <c r="BA474" s="150"/>
      <c r="BB474" s="150"/>
      <c r="BC474" s="150"/>
      <c r="BD474" s="150"/>
      <c r="BE474" s="150"/>
      <c r="BF474" s="150"/>
      <c r="BG474" s="150"/>
      <c r="BH474" s="150"/>
      <c r="BI474" s="150"/>
      <c r="BJ474" s="150"/>
      <c r="BK474" s="150"/>
      <c r="BL474" s="150"/>
      <c r="BM474" s="150"/>
      <c r="BN474" s="72"/>
      <c r="BO474" s="72"/>
      <c r="BP474" s="72"/>
      <c r="BQ474" s="72"/>
      <c r="BR474" s="72"/>
      <c r="BS474" s="72"/>
      <c r="BT474" s="72"/>
      <c r="BU474" s="72"/>
      <c r="BV474" s="72"/>
      <c r="BW474" s="72"/>
      <c r="BX474" s="72"/>
      <c r="BY474" s="72"/>
      <c r="BZ474" s="72"/>
      <c r="CA474" s="72"/>
      <c r="CB474" s="72"/>
      <c r="CC474" s="72"/>
      <c r="CD474" s="72"/>
      <c r="CE474" s="72"/>
      <c r="CF474" s="72"/>
      <c r="CG474" s="72"/>
      <c r="CH474" s="72"/>
      <c r="CI474" s="72"/>
      <c r="CJ474" s="72"/>
      <c r="CK474" s="72"/>
      <c r="CL474" s="72"/>
      <c r="CM474" s="72"/>
      <c r="CN474" s="72"/>
      <c r="CO474" s="72"/>
      <c r="CP474" s="72"/>
      <c r="CQ474" s="72"/>
      <c r="CR474" s="72"/>
      <c r="CS474" s="72"/>
      <c r="CT474" s="150"/>
      <c r="CU474" s="152"/>
      <c r="CV474" s="72"/>
      <c r="CW474" s="72"/>
      <c r="CX474" s="72"/>
      <c r="CY474" s="72"/>
      <c r="CZ474" s="72"/>
      <c r="DA474" s="72"/>
      <c r="DB474" s="72"/>
      <c r="DC474" s="72"/>
      <c r="DD474" s="72"/>
      <c r="DE474" s="72"/>
      <c r="DF474" s="72"/>
      <c r="DG474" s="72"/>
      <c r="DH474" s="72"/>
      <c r="DI474" s="72"/>
      <c r="DJ474" s="72"/>
      <c r="DK474" s="72"/>
      <c r="DL474" s="72"/>
      <c r="DM474" s="72"/>
      <c r="DN474" s="72"/>
      <c r="DO474" s="72"/>
      <c r="DP474" s="72"/>
      <c r="DQ474" s="72"/>
      <c r="DR474" s="72"/>
      <c r="DS474" s="72"/>
      <c r="DT474" s="72"/>
      <c r="DU474" s="72"/>
      <c r="DV474" s="72"/>
      <c r="DW474" s="72"/>
      <c r="DX474" s="72"/>
      <c r="DY474" s="72"/>
      <c r="DZ474" s="72"/>
      <c r="EA474" s="72"/>
      <c r="EB474" s="72"/>
      <c r="EC474" s="72"/>
      <c r="ED474" s="72"/>
      <c r="EE474" s="72"/>
      <c r="EF474" s="72"/>
      <c r="EG474" s="72"/>
      <c r="EH474" s="72"/>
      <c r="EI474" s="72"/>
      <c r="EJ474" s="72"/>
      <c r="EK474" s="72"/>
      <c r="EL474" s="72"/>
      <c r="EM474" s="72"/>
      <c r="EN474" s="72"/>
      <c r="EO474" s="72"/>
      <c r="EP474" s="72"/>
      <c r="EQ474" s="72"/>
      <c r="ER474" s="72"/>
      <c r="ES474" s="72"/>
      <c r="ET474" s="72"/>
      <c r="EU474" s="72"/>
      <c r="EV474" s="72"/>
      <c r="EW474" s="72"/>
      <c r="EX474" s="72"/>
      <c r="EY474" s="72"/>
      <c r="EZ474" s="72"/>
      <c r="FA474" s="72"/>
      <c r="FB474" s="72"/>
      <c r="FC474" s="72"/>
      <c r="FD474" s="72"/>
    </row>
    <row r="475" spans="1:160" ht="15">
      <c r="A475" s="145"/>
      <c r="B475" s="145"/>
      <c r="C475" s="145"/>
      <c r="D475" s="145"/>
      <c r="E475" s="146"/>
      <c r="F475" s="145"/>
      <c r="G475" s="145"/>
      <c r="H475" s="145"/>
      <c r="I475" s="325"/>
      <c r="J475" s="145"/>
      <c r="K475" s="323"/>
      <c r="L475" s="323"/>
      <c r="M475" s="324"/>
      <c r="N475" s="146"/>
      <c r="O475" s="72"/>
      <c r="P475" s="72"/>
      <c r="Q475" s="145"/>
      <c r="R475" s="145"/>
      <c r="S475" s="145"/>
      <c r="T475" s="145"/>
      <c r="U475" s="145"/>
      <c r="V475" s="145"/>
      <c r="W475" s="145"/>
      <c r="X475" s="145"/>
      <c r="Y475" s="145"/>
      <c r="Z475" s="145"/>
      <c r="AA475" s="150"/>
      <c r="AB475" s="151"/>
      <c r="AC475" s="150"/>
      <c r="AD475" s="150"/>
      <c r="AE475" s="150"/>
      <c r="AF475" s="150"/>
      <c r="AG475" s="150"/>
      <c r="AH475" s="150"/>
      <c r="AI475" s="150"/>
      <c r="AJ475" s="150"/>
      <c r="AK475" s="150"/>
      <c r="AL475" s="150"/>
      <c r="AM475" s="150"/>
      <c r="AN475" s="150"/>
      <c r="AO475" s="150"/>
      <c r="AP475" s="150"/>
      <c r="AQ475" s="150"/>
      <c r="AR475" s="150"/>
      <c r="AS475" s="150"/>
      <c r="AT475" s="150"/>
      <c r="AU475" s="150"/>
      <c r="AV475" s="150"/>
      <c r="AW475" s="150"/>
      <c r="AX475" s="150"/>
      <c r="AY475" s="150"/>
      <c r="AZ475" s="150"/>
      <c r="BA475" s="150"/>
      <c r="BB475" s="150"/>
      <c r="BC475" s="150"/>
      <c r="BD475" s="150"/>
      <c r="BE475" s="150"/>
      <c r="BF475" s="150"/>
      <c r="BG475" s="150"/>
      <c r="BH475" s="150"/>
      <c r="BI475" s="150"/>
      <c r="BJ475" s="150"/>
      <c r="BK475" s="150"/>
      <c r="BL475" s="150"/>
      <c r="BM475" s="150"/>
      <c r="BN475" s="72"/>
      <c r="BO475" s="72"/>
      <c r="BP475" s="72"/>
      <c r="BQ475" s="72"/>
      <c r="BR475" s="72"/>
      <c r="BS475" s="72"/>
      <c r="BT475" s="72"/>
      <c r="BU475" s="72"/>
      <c r="BV475" s="72"/>
      <c r="BW475" s="72"/>
      <c r="BX475" s="72"/>
      <c r="BY475" s="72"/>
      <c r="BZ475" s="72"/>
      <c r="CA475" s="72"/>
      <c r="CB475" s="72"/>
      <c r="CC475" s="72"/>
      <c r="CD475" s="72"/>
      <c r="CE475" s="72"/>
      <c r="CF475" s="72"/>
      <c r="CG475" s="72"/>
      <c r="CH475" s="72"/>
      <c r="CI475" s="72"/>
      <c r="CJ475" s="72"/>
      <c r="CK475" s="72"/>
      <c r="CL475" s="72"/>
      <c r="CM475" s="72"/>
      <c r="CN475" s="72"/>
      <c r="CO475" s="72"/>
      <c r="CP475" s="72"/>
      <c r="CQ475" s="72"/>
      <c r="CR475" s="72"/>
      <c r="CS475" s="72"/>
      <c r="CT475" s="150"/>
      <c r="CU475" s="152"/>
      <c r="CV475" s="72"/>
      <c r="CW475" s="72"/>
      <c r="CX475" s="72"/>
      <c r="CY475" s="72"/>
      <c r="CZ475" s="72"/>
      <c r="DA475" s="72"/>
      <c r="DB475" s="72"/>
      <c r="DC475" s="72"/>
      <c r="DD475" s="72"/>
      <c r="DE475" s="72"/>
      <c r="DF475" s="72"/>
      <c r="DG475" s="72"/>
      <c r="DH475" s="72"/>
      <c r="DI475" s="72"/>
      <c r="DJ475" s="72"/>
      <c r="DK475" s="72"/>
      <c r="DL475" s="72"/>
      <c r="DM475" s="72"/>
      <c r="DN475" s="72"/>
      <c r="DO475" s="72"/>
      <c r="DP475" s="72"/>
      <c r="DQ475" s="72"/>
      <c r="DR475" s="72"/>
      <c r="DS475" s="72"/>
      <c r="DT475" s="72"/>
      <c r="DU475" s="72"/>
      <c r="DV475" s="72"/>
      <c r="DW475" s="72"/>
      <c r="DX475" s="72"/>
      <c r="DY475" s="72"/>
      <c r="DZ475" s="72"/>
      <c r="EA475" s="72"/>
      <c r="EB475" s="72"/>
      <c r="EC475" s="72"/>
      <c r="ED475" s="72"/>
      <c r="EE475" s="72"/>
      <c r="EF475" s="72"/>
      <c r="EG475" s="72"/>
      <c r="EH475" s="72"/>
      <c r="EI475" s="72"/>
      <c r="EJ475" s="72"/>
      <c r="EK475" s="72"/>
      <c r="EL475" s="72"/>
      <c r="EM475" s="72"/>
      <c r="EN475" s="72"/>
      <c r="EO475" s="72"/>
      <c r="EP475" s="72"/>
      <c r="EQ475" s="72"/>
      <c r="ER475" s="72"/>
      <c r="ES475" s="72"/>
      <c r="ET475" s="72"/>
      <c r="EU475" s="72"/>
      <c r="EV475" s="72"/>
      <c r="EW475" s="72"/>
      <c r="EX475" s="72"/>
      <c r="EY475" s="72"/>
      <c r="EZ475" s="72"/>
      <c r="FA475" s="72"/>
      <c r="FB475" s="72"/>
      <c r="FC475" s="72"/>
      <c r="FD475" s="72"/>
    </row>
    <row r="476" spans="1:160" ht="15">
      <c r="A476" s="145"/>
      <c r="B476" s="145"/>
      <c r="C476" s="145"/>
      <c r="D476" s="145"/>
      <c r="E476" s="146"/>
      <c r="F476" s="145"/>
      <c r="G476" s="145"/>
      <c r="H476" s="145"/>
      <c r="I476" s="325"/>
      <c r="J476" s="145"/>
      <c r="K476" s="323"/>
      <c r="L476" s="323"/>
      <c r="M476" s="324"/>
      <c r="N476" s="146"/>
      <c r="O476" s="72"/>
      <c r="P476" s="72"/>
      <c r="Q476" s="145"/>
      <c r="R476" s="145"/>
      <c r="S476" s="145"/>
      <c r="T476" s="145"/>
      <c r="U476" s="145"/>
      <c r="V476" s="145"/>
      <c r="W476" s="145"/>
      <c r="X476" s="145"/>
      <c r="Y476" s="145"/>
      <c r="Z476" s="145"/>
      <c r="AA476" s="150"/>
      <c r="AB476" s="151"/>
      <c r="AC476" s="150"/>
      <c r="AD476" s="150"/>
      <c r="AE476" s="150"/>
      <c r="AF476" s="150"/>
      <c r="AG476" s="150"/>
      <c r="AH476" s="150"/>
      <c r="AI476" s="150"/>
      <c r="AJ476" s="150"/>
      <c r="AK476" s="150"/>
      <c r="AL476" s="150"/>
      <c r="AM476" s="150"/>
      <c r="AN476" s="150"/>
      <c r="AO476" s="150"/>
      <c r="AP476" s="150"/>
      <c r="AQ476" s="150"/>
      <c r="AR476" s="150"/>
      <c r="AS476" s="150"/>
      <c r="AT476" s="150"/>
      <c r="AU476" s="150"/>
      <c r="AV476" s="150"/>
      <c r="AW476" s="150"/>
      <c r="AX476" s="150"/>
      <c r="AY476" s="150"/>
      <c r="AZ476" s="150"/>
      <c r="BA476" s="150"/>
      <c r="BB476" s="150"/>
      <c r="BC476" s="150"/>
      <c r="BD476" s="150"/>
      <c r="BE476" s="150"/>
      <c r="BF476" s="150"/>
      <c r="BG476" s="150"/>
      <c r="BH476" s="150"/>
      <c r="BI476" s="150"/>
      <c r="BJ476" s="150"/>
      <c r="BK476" s="150"/>
      <c r="BL476" s="150"/>
      <c r="BM476" s="150"/>
      <c r="BN476" s="72"/>
      <c r="BO476" s="72"/>
      <c r="BP476" s="72"/>
      <c r="BQ476" s="72"/>
      <c r="BR476" s="72"/>
      <c r="BS476" s="72"/>
      <c r="BT476" s="72"/>
      <c r="BU476" s="72"/>
      <c r="BV476" s="72"/>
      <c r="BW476" s="72"/>
      <c r="BX476" s="72"/>
      <c r="BY476" s="72"/>
      <c r="BZ476" s="72"/>
      <c r="CA476" s="72"/>
      <c r="CB476" s="72"/>
      <c r="CC476" s="72"/>
      <c r="CD476" s="72"/>
      <c r="CE476" s="72"/>
      <c r="CF476" s="72"/>
      <c r="CG476" s="72"/>
      <c r="CH476" s="72"/>
      <c r="CI476" s="72"/>
      <c r="CJ476" s="72"/>
      <c r="CK476" s="72"/>
      <c r="CL476" s="72"/>
      <c r="CM476" s="72"/>
      <c r="CN476" s="72"/>
      <c r="CO476" s="72"/>
      <c r="CP476" s="72"/>
      <c r="CQ476" s="72"/>
      <c r="CR476" s="72"/>
      <c r="CS476" s="72"/>
      <c r="CT476" s="150"/>
      <c r="CU476" s="152"/>
      <c r="CV476" s="72"/>
      <c r="CW476" s="72"/>
      <c r="CX476" s="72"/>
      <c r="CY476" s="72"/>
      <c r="CZ476" s="72"/>
      <c r="DA476" s="72"/>
      <c r="DB476" s="72"/>
      <c r="DC476" s="72"/>
      <c r="DD476" s="72"/>
      <c r="DE476" s="72"/>
      <c r="DF476" s="72"/>
      <c r="DG476" s="72"/>
      <c r="DH476" s="72"/>
      <c r="DI476" s="72"/>
      <c r="DJ476" s="72"/>
      <c r="DK476" s="72"/>
      <c r="DL476" s="72"/>
      <c r="DM476" s="72"/>
      <c r="DN476" s="72"/>
      <c r="DO476" s="72"/>
      <c r="DP476" s="72"/>
      <c r="DQ476" s="72"/>
      <c r="DR476" s="72"/>
      <c r="DS476" s="72"/>
      <c r="DT476" s="72"/>
      <c r="DU476" s="72"/>
      <c r="DV476" s="72"/>
      <c r="DW476" s="72"/>
      <c r="DX476" s="72"/>
      <c r="DY476" s="72"/>
      <c r="DZ476" s="72"/>
      <c r="EA476" s="72"/>
      <c r="EB476" s="72"/>
      <c r="EC476" s="72"/>
      <c r="ED476" s="72"/>
      <c r="EE476" s="72"/>
      <c r="EF476" s="72"/>
      <c r="EG476" s="72"/>
      <c r="EH476" s="72"/>
      <c r="EI476" s="72"/>
      <c r="EJ476" s="72"/>
      <c r="EK476" s="72"/>
      <c r="EL476" s="72"/>
      <c r="EM476" s="72"/>
      <c r="EN476" s="72"/>
      <c r="EO476" s="72"/>
      <c r="EP476" s="72"/>
      <c r="EQ476" s="72"/>
      <c r="ER476" s="72"/>
      <c r="ES476" s="72"/>
      <c r="ET476" s="72"/>
      <c r="EU476" s="72"/>
      <c r="EV476" s="72"/>
      <c r="EW476" s="72"/>
      <c r="EX476" s="72"/>
      <c r="EY476" s="72"/>
      <c r="EZ476" s="72"/>
      <c r="FA476" s="72"/>
      <c r="FB476" s="72"/>
      <c r="FC476" s="72"/>
      <c r="FD476" s="72"/>
    </row>
    <row r="477" spans="1:160" ht="15">
      <c r="I477" s="119"/>
      <c r="K477"/>
      <c r="L477"/>
      <c r="M477" s="204"/>
    </row>
    <row r="478" spans="1:160" ht="15">
      <c r="I478" s="119"/>
      <c r="K478"/>
      <c r="L478"/>
      <c r="M478" s="204"/>
    </row>
    <row r="479" spans="1:160" ht="15">
      <c r="I479" s="119"/>
      <c r="K479"/>
      <c r="L479"/>
      <c r="M479" s="204"/>
    </row>
    <row r="480" spans="1:160" ht="15">
      <c r="I480" s="119"/>
      <c r="K480"/>
      <c r="L480"/>
      <c r="M480" s="204"/>
    </row>
    <row r="481" spans="9:13" ht="15">
      <c r="I481" s="119"/>
      <c r="K481"/>
      <c r="L481"/>
      <c r="M481" s="204"/>
    </row>
    <row r="482" spans="9:13" ht="15">
      <c r="I482" s="119"/>
      <c r="K482"/>
      <c r="L482"/>
      <c r="M482" s="204"/>
    </row>
    <row r="483" spans="9:13" ht="15">
      <c r="I483" s="119"/>
      <c r="K483"/>
      <c r="L483"/>
      <c r="M483" s="204"/>
    </row>
    <row r="484" spans="9:13" ht="15">
      <c r="I484" s="119"/>
      <c r="K484"/>
      <c r="L484"/>
      <c r="M484" s="204"/>
    </row>
    <row r="485" spans="9:13" ht="15">
      <c r="I485" s="119"/>
      <c r="K485"/>
      <c r="L485"/>
      <c r="M485" s="204"/>
    </row>
    <row r="486" spans="9:13" ht="15">
      <c r="I486" s="119"/>
      <c r="K486"/>
      <c r="L486"/>
      <c r="M486" s="204"/>
    </row>
    <row r="487" spans="9:13" ht="15">
      <c r="I487" s="119"/>
      <c r="K487"/>
      <c r="L487"/>
      <c r="M487" s="204"/>
    </row>
    <row r="488" spans="9:13" ht="15">
      <c r="I488" s="119"/>
      <c r="K488"/>
      <c r="L488"/>
      <c r="M488" s="204"/>
    </row>
    <row r="489" spans="9:13" ht="15">
      <c r="L489"/>
      <c r="M489" s="204"/>
    </row>
    <row r="490" spans="9:13" ht="15">
      <c r="L490"/>
      <c r="M490" s="204"/>
    </row>
    <row r="491" spans="9:13" ht="15">
      <c r="L491"/>
      <c r="M491" s="204"/>
    </row>
    <row r="492" spans="9:13" ht="15">
      <c r="L492"/>
      <c r="M492" s="204"/>
    </row>
    <row r="493" spans="9:13" ht="15">
      <c r="L493"/>
      <c r="M493" s="204"/>
    </row>
    <row r="494" spans="9:13" ht="15">
      <c r="L494"/>
      <c r="M494" s="204"/>
    </row>
    <row r="495" spans="9:13" ht="15">
      <c r="L495"/>
    </row>
    <row r="496" spans="9:13" ht="15">
      <c r="L496"/>
    </row>
    <row r="497" spans="12:12" ht="15">
      <c r="L497"/>
    </row>
    <row r="498" spans="12:12" ht="15">
      <c r="L498"/>
    </row>
    <row r="499" spans="12:12" ht="15">
      <c r="L499"/>
    </row>
    <row r="500" spans="12:12" ht="15">
      <c r="L500"/>
    </row>
    <row r="501" spans="12:12" ht="15">
      <c r="L501"/>
    </row>
    <row r="502" spans="12:12" ht="15">
      <c r="L502"/>
    </row>
    <row r="503" spans="12:12" ht="15">
      <c r="L503"/>
    </row>
  </sheetData>
  <autoFilter ref="A1:OU371">
    <filterColumn colId="0">
      <filters>
        <filter val="MERNNR"/>
      </filters>
    </filterColumn>
  </autoFilter>
  <mergeCells count="19">
    <mergeCell ref="M260:M261"/>
    <mergeCell ref="M306:M309"/>
    <mergeCell ref="M288:M289"/>
    <mergeCell ref="M270:M272"/>
    <mergeCell ref="M266:M267"/>
    <mergeCell ref="M263:M264"/>
    <mergeCell ref="I6:I12"/>
    <mergeCell ref="I353:I355"/>
    <mergeCell ref="I184:I185"/>
    <mergeCell ref="I319:I320"/>
    <mergeCell ref="I16:I17"/>
    <mergeCell ref="I200:I202"/>
    <mergeCell ref="I203:I205"/>
    <mergeCell ref="I45:I48"/>
    <mergeCell ref="M45:M48"/>
    <mergeCell ref="Q45:Q48"/>
    <mergeCell ref="M41:M44"/>
    <mergeCell ref="I41:I44"/>
    <mergeCell ref="Q41:Q44"/>
  </mergeCells>
  <hyperlinks>
    <hyperlink ref="Z325" r:id="rId1" display="callto:0984-891-849"/>
    <hyperlink ref="Z326" r:id="rId2" display="callto:0987-214-812"/>
    <hyperlink ref="Z327" r:id="rId3" display="callto:0984-891-849"/>
    <hyperlink ref="Z16" r:id="rId4" display="callto:0993-270-723"/>
    <hyperlink ref="Z17" r:id="rId5" display="callto:0993-270-723"/>
    <hyperlink ref="Z146" r:id="rId6" display="callto:0998-041-880"/>
  </hyperlinks>
  <pageMargins left="0.7" right="0.7" top="0.75" bottom="0.75" header="0.3" footer="0.3"/>
  <pageSetup paperSize="9" scale="39" fitToHeight="0" orientation="landscape" r:id="rId7"/>
  <ignoredErrors>
    <ignoredError sqref="V29" numberStoredAsText="1"/>
    <ignoredError sqref="EJ120" formula="1"/>
  </ignoredErrors>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AsignadosXcapital</vt:lpstr>
      <vt:lpstr>TechosXcompXSubcomponente</vt:lpstr>
      <vt:lpstr>SaldosXCapitaDetalle</vt:lpstr>
      <vt:lpstr>AsignadosXcomponente</vt:lpstr>
      <vt:lpstr>AvFIS1</vt:lpstr>
      <vt:lpstr>AvanceFísicoAgosto2019</vt:lpstr>
      <vt:lpstr>AvanceFísicoSeptiembre2019</vt:lpstr>
      <vt:lpstr>AvFis2</vt:lpstr>
      <vt:lpstr>PLAN DE ADQUISICIONES BID II</vt:lpstr>
    </vt:vector>
  </TitlesOfParts>
  <Company>Inter-American Development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MarcelaH</dc:creator>
  <cp:lastModifiedBy>Rodrigo Antonio Briones Vizuete</cp:lastModifiedBy>
  <cp:lastPrinted>2019-10-07T20:25:23Z</cp:lastPrinted>
  <dcterms:created xsi:type="dcterms:W3CDTF">2016-01-13T17:12:20Z</dcterms:created>
  <dcterms:modified xsi:type="dcterms:W3CDTF">2020-04-02T01:42:47Z</dcterms:modified>
</cp:coreProperties>
</file>